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95" yWindow="2790" windowWidth="2205" windowHeight="5370" tabRatio="858" firstSheet="1" activeTab="1"/>
  </bookViews>
  <sheets>
    <sheet name="Q" sheetId="47" state="veryHidden" r:id="rId1"/>
    <sheet name="ImportantDisclosures" sheetId="51" r:id="rId2"/>
    <sheet name="SheetVisibilityStatus" sheetId="55" state="veryHidden" r:id="rId3"/>
    <sheet name="CircularReferenceAlert" sheetId="54" r:id="rId4"/>
    <sheet name="Income Statement" sheetId="43" state="veryHidden" r:id="rId5"/>
    <sheet name="Balance Sheet" sheetId="45" state="veryHidden" r:id="rId6"/>
    <sheet name="Cash Flow" sheetId="46" state="veryHidden" r:id="rId7"/>
    <sheet name="AT&amp;T Mobility" sheetId="44" state="veryHidden" r:id="rId8"/>
    <sheet name="Consumer Mobility" sheetId="41" state="veryHidden" r:id="rId9"/>
    <sheet name="Business Solutions" sheetId="39" state="veryHidden" r:id="rId10"/>
    <sheet name="E&amp;I + International" sheetId="48" state="veryHidden" r:id="rId11"/>
    <sheet name="Pension" sheetId="17" state="veryHidden" r:id="rId12"/>
    <sheet name="OPEB" sheetId="18" state="veryHidden" r:id="rId13"/>
    <sheet name="IndexInformation" sheetId="52" state="veryHidden" r:id="rId14"/>
    <sheet name="ModPubIndex" sheetId="53" state="veryHidden" r:id="rId15"/>
    <sheet name="Global links" sheetId="20" state="veryHidden" r:id="rId16"/>
  </sheets>
  <functionGroups builtInGroupCount="17"/>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s>
  <definedNames>
    <definedName name="__FDS_HYPERLINK_TOGGLE_STATE__" hidden="1">"ON"</definedName>
    <definedName name="_12__123Graph_Aｸﾞﾗﾌ_1" hidden="1">[1]ｾｸﾞﾒﾝﾄ!$E$164:$I$164</definedName>
    <definedName name="_13__123Graph_Aｸﾞﾗﾌ_2" hidden="1">[1]単独!$AR$14:$AR$18</definedName>
    <definedName name="_14__123Graph_Bｸﾞﾗﾌ_1" hidden="1">[1]ｾｸﾞﾒﾝﾄ!$E$165:$I$165</definedName>
    <definedName name="_15__123Graph_Dｸﾞﾗﾌ_1" hidden="1">[1]ｾｸﾞﾒﾝﾄ!$E$167:$I$167</definedName>
    <definedName name="_bdm.02A9219C9E054C18B109A5F30C2AAF82.edm" hidden="1">"Formula removed, name can be deleted."</definedName>
    <definedName name="_bdm.02E29E7B1053433EA3CCCBE4E5141596.edm" hidden="1">[2]Sheet1!$A:$IV</definedName>
    <definedName name="_bdm.0358B3F913074C2AA0410BC3969F1FB2.edm" hidden="1">'[3]Asset Values'!$A:$IV</definedName>
    <definedName name="_bdm.038C5618844B48D3AEDD0CA0C0EB3015.edm" hidden="1">"Formula removed, name can be deleted."</definedName>
    <definedName name="_bdm.05C7FF6C1B404E8080535DD7E1DBF9E2.edm" hidden="1">[4]Valuation!$IV$1</definedName>
    <definedName name="_bdm.060D0C45D1D3491F95F1138DD9B2CF86.edm" hidden="1">'[4]Segments OLD'!$IV$1</definedName>
    <definedName name="_bdm.0678E1A23BFD4C0889842B0D59996607.edm" hidden="1">'[5]FMV Summary'!$A:$IV</definedName>
    <definedName name="_bdm.06AD0B3B7E3840C2BF16DD30595794B8.edm" hidden="1">'[6]Geographic Breakdown'!$A:$IV</definedName>
    <definedName name="_bdm.0856D1201C304721AD7530A939698169.edm" hidden="1">"Formula removed, name can be deleted."</definedName>
    <definedName name="_bdm.09A4899922BB45E7935EAB919AE3D7DB.edm" hidden="1" xml:space="preserve">          [7]Estimates!$A:$IV</definedName>
    <definedName name="_bdm.09C92DEF80DA474DAFE70324E58A7AE4.edm" hidden="1" xml:space="preserve">          '[8]2Q10'!$A:$IV</definedName>
    <definedName name="_bdm.0B8AFC61EA354573960D6E135486DC32.edm" hidden="1">[7]Exhibits!$A:$IV</definedName>
    <definedName name="_bdm.0CCE61AD8E5B4D76BF7EFF04CB77D92D.edm" hidden="1" xml:space="preserve">          [7]Estimates!$A:$IV</definedName>
    <definedName name="_bdm.0E2D7F1898F14EF8A0C1AA65F6F487D0.edm" hidden="1" xml:space="preserve">          '[8]2Q10'!$A:$IV</definedName>
    <definedName name="_bdm.0FA5E7CF963E4590AA5B429B112D6D9B.edm" hidden="1" xml:space="preserve">          [7]Estimates!$A:$IV</definedName>
    <definedName name="_bdm.10DD25A1AE814D7AB7D6BEF38A0BA066.edm" hidden="1" xml:space="preserve">          [7]Estimates!$A:$IV</definedName>
    <definedName name="_bdm.11EB72ACE3374B1CB252FDD683429D59.edm" hidden="1">[9]C1500!$A:$IV</definedName>
    <definedName name="_bdm.12C3E89515AA4F41AFAD5B0FA26EE6B6.edm" hidden="1" xml:space="preserve">          [7]Estimates!$A:$IV</definedName>
    <definedName name="_bdm.15D813AF64F64B648176A1620F8B5D58.edm" hidden="1">"Formula removed, name can be deleted."</definedName>
    <definedName name="_bdm.1BA73AAD67F64162B161B441510D4660.edm" hidden="1">[10]GOOG!$A:$IV</definedName>
    <definedName name="_bdm.1C6981457A774F2E81F17119705C8551.edm" hidden="1">"Formula removed, name can be deleted."</definedName>
    <definedName name="_bdm.1E5205766E9F4AEDABEBDB041EE0CE04.edm" hidden="1">"Formula removed, name can be deleted."</definedName>
    <definedName name="_bdm.1FC1D2C7C5834CD79273D9CB4D2CEE06.edm" hidden="1" xml:space="preserve"> [11]ImportantDisclosures!$A:$IV</definedName>
    <definedName name="_bdm.1FF84CFCF1384863A303237D795FB357.edm" hidden="1">[4]Valuation!$IV$1</definedName>
    <definedName name="_bdm.204F2A39BEB240D29F69E59FF20303E8.edm" hidden="1">'[4]Segments OLD'!$IV$1</definedName>
    <definedName name="_bdm.22278B9230174FEE9DB15D7D99D5B99C.edm" hidden="1" xml:space="preserve">          [7]Estimates!$A:$IV</definedName>
    <definedName name="_bdm.22C6BCDA71694CA1AA902D2ABCEFD774.edm" hidden="1">"Formula removed, name can be deleted."</definedName>
    <definedName name="_bdm.267F13B1DD4B4365A19338E7C2D91840.edm" hidden="1" xml:space="preserve">           [11]ImportantDisclosures!$A:$IV</definedName>
    <definedName name="_bdm.272B59115A69404ABD1EE00F4672D32E.edm" hidden="1">"Formula removed, name can be deleted."</definedName>
    <definedName name="_bdm.27B48B5204544A84AC7ADDAC3C2E04D4.edm" hidden="1" xml:space="preserve">          [7]Estimates!$A:$IV</definedName>
    <definedName name="_bdm.2A670007732C450EA5BDE6C126EB4CF6.edm" hidden="1" xml:space="preserve">                      [11]ImportantDisclosures!$A:$IV</definedName>
    <definedName name="_bdm.2BDCF05BE7314910BC0C39461F69947A.edm" hidden="1">[8]BS!$A:$IV</definedName>
    <definedName name="_bdm.2C84B724D4454BBAA3D9825B81F6F674.edm" hidden="1">"Formula removed, name can be deleted."</definedName>
    <definedName name="_bdm.2E9A498975BD42258AED4BC2350AB603.edm" hidden="1">"Formula removed, name can be deleted."</definedName>
    <definedName name="_bdm.31494242745148A99CE18BF229DB6269.edm" hidden="1">"Formula removed, name can be deleted."</definedName>
    <definedName name="_bdm.32D3D785463B4EC6938F47C644B41455.edm" hidden="1">"Formula removed, name can be deleted."</definedName>
    <definedName name="_bdm.35FC400AE1954CCC9307ADE16BFD634A.edm" hidden="1" xml:space="preserve">          '[8]2Q10'!$A:$IV</definedName>
    <definedName name="_bdm.36CEAC33BD964AC685DB8B61EEAB56E1.edm" hidden="1">'[12]FMV 2005'!$A:$IV</definedName>
    <definedName name="_bdm.3799C04A47DB4FD0ADB91B8C2D46AADE.edm" hidden="1" xml:space="preserve">          [7]Estimates!$A:$IV</definedName>
    <definedName name="_bdm.37CD429B9FB14D92A3524DFEA5533C49.edm" hidden="1">"Formula removed, name can be deleted."</definedName>
    <definedName name="_bdm.38A4C40D0D924B2ABDD1848AC651400C.edm" hidden="1">"Formula removed, name can be deleted."</definedName>
    <definedName name="_bdm.38C42FC5B4CF4FA499500B241622ECA5.edm" hidden="1" xml:space="preserve">                      [11]ImportantDisclosures!$A:$IV</definedName>
    <definedName name="_bdm.395D2E13232045E984B16E343B4CC2A7.edm" hidden="1">'[13]Pixar Integration (2)'!$A:$IV</definedName>
    <definedName name="_bdm.3BDCDD187EAD45128ED2FD875C02DCFD.edm" hidden="1">'[14]GAAP Financial Statements'!$A:$IV</definedName>
    <definedName name="_bdm.3CDF6673AF024C64B2D2C3AAF9D67A35.edm" hidden="1">"Formula removed, name can be deleted."</definedName>
    <definedName name="_bdm.3DBB9C8D017543A8AB9164401E9E72A1.edm" hidden="1">"Formula removed, name can be deleted."</definedName>
    <definedName name="_bdm.3E408E2FE1F841FF8A405BAD737CC038.edm" hidden="1">"Formula removed, name can be deleted."</definedName>
    <definedName name="_bdm.3E6EE9BA6C194C53B83B184D0379880F.edm" hidden="1" xml:space="preserve">          [7]Estimates!$A:$IV</definedName>
    <definedName name="_bdm.3F0915E1E6D9476A8D86FDDF1FC39E21.edm" hidden="1">[7]DCFOld!$A:$IV</definedName>
    <definedName name="_bdm.404826CB46884A478983B154C35B0C6E.edm" hidden="1">"Formula removed, name can be deleted."</definedName>
    <definedName name="_bdm.412A751F839F4982840FE7303122046D.edm" hidden="1" xml:space="preserve">          '[8]2Q10'!$A:$IV</definedName>
    <definedName name="_bdm.424F0BCFA32D43B79DC50C3AEEE550DD.edm" hidden="1" xml:space="preserve">          [7]Estimates!$A:$IV</definedName>
    <definedName name="_bdm.46E7AB6123854DD7A23277A13119A661.edm" hidden="1">[4]Value!$A:$IV</definedName>
    <definedName name="_bdm.482242B5BE5047B4A26F3A4030BC89E4.edm" hidden="1">[6]Domestic!$A:$IV</definedName>
    <definedName name="_bdm.48DE4EDF25D644759A1F147863A16DD1.edm" hidden="1">"Formula removed, name can be deleted."</definedName>
    <definedName name="_bdm.492B04848A17489DA37F8402159D546E.edm" hidden="1">"Formula removed, name can be deleted."</definedName>
    <definedName name="_bdm.49D0C710006348CE9194987E313BF43C.edm" hidden="1">"Formula removed, name can be deleted."</definedName>
    <definedName name="_bdm.4AC19DB68EEC4C25BFAEB2FE9CEEC510.edm" hidden="1">"Formula removed, name can be deleted."</definedName>
    <definedName name="_bdm.4C883490774E423AA464CCEFCBF231A2.edm" hidden="1">[8]CF!$A:$IV</definedName>
    <definedName name="_bdm.4FDD7D343C0E4B7D9D1A7F4A158E5B17.edm" hidden="1">"Formula removed, name can be deleted."</definedName>
    <definedName name="_bdm.50193517D44045B28FB29D52BA0311EE.edm" hidden="1">'[10]FMV''07'!$A:$IV</definedName>
    <definedName name="_bdm.55F9665CF5944235ACA0DC39F6FC5569.edm" hidden="1" xml:space="preserve">           [11]ImportantDisclosures!$A:$IV</definedName>
    <definedName name="_bdm.57055F13C3AC4CCD8A029129B2B2EDF7.edm" hidden="1">"Formula removed, name can be deleted."</definedName>
    <definedName name="_bdm.575D6C4139E248E892D115988BE5582E.edm" hidden="1">[4]CFS!$A:$IV</definedName>
    <definedName name="_bdm.585ED2767D0E4B2A97CB7FC959C53EE3.edm" hidden="1" xml:space="preserve">          [7]Estimates!$A:$IV</definedName>
    <definedName name="_bdm.599E0F2B55DF4D8EA7AC423F2D469463.edm" hidden="1">"Formula removed, name can be deleted."</definedName>
    <definedName name="_bdm.5E75B3F1FCF44E519BBE399444BCF263.edm" hidden="1" xml:space="preserve">          [7]Estimates!$A:$IV</definedName>
    <definedName name="_bdm.5EC0F453A8014E1BB469F76BFBDE951E.edm" hidden="1" xml:space="preserve">          [7]Estimates!$A:$IV</definedName>
    <definedName name="_bdm.625314D6BCCF4147B4A6E8B4C75143A0.edm" hidden="1" xml:space="preserve">          [7]Estimates!$A:$IV</definedName>
    <definedName name="_bdm.6799AD06063E47E5876EAF81E83A4172.edm" hidden="1">'[6]QVC Germany'!$A:$IV</definedName>
    <definedName name="_bdm.67F13678F2D84C96A2AAD0705285C36E.edm" hidden="1">[4]Valuation!$IV$1</definedName>
    <definedName name="_bdm.682EF599420140FDBF01DEB63100D627.edm" hidden="1" xml:space="preserve">                      [11]ImportantDisclosures!$A:$IV</definedName>
    <definedName name="_bdm.68B3415B4116422F8F2D711F93507CAA.edm" hidden="1" xml:space="preserve"> [11]ImportantDisclosures!$A:$IV</definedName>
    <definedName name="_bdm.6BD64747486D450DB0D018CA09DEE18C.edm" hidden="1" xml:space="preserve">           [11]ImportantDisclosures!$A:$IV</definedName>
    <definedName name="_bdm.6C36467C814A433B99314A55CF6975E1.edm" hidden="1">[7]BS!$A:$IV</definedName>
    <definedName name="_bdm.6C5DBF256D74485884DABF8D5424223C.edm" hidden="1">"Formula removed, name can be deleted."</definedName>
    <definedName name="_bdm.6D543028941947A88DFE4E1436176DD6.edm" hidden="1" xml:space="preserve">          [7]Estimates!$A:$IV</definedName>
    <definedName name="_bdm.71C38992B2984212895987BFAEB52B81.edm" hidden="1">"Formula removed, name can be deleted."</definedName>
    <definedName name="_bdm.72355986E14848A8BF6C5963C981B549.edm" hidden="1">"Formula removed, name can be deleted."</definedName>
    <definedName name="_bdm.75188DAE769F45A48C5C23A509C3B539.edm" hidden="1">"Formula removed, name can be deleted."</definedName>
    <definedName name="_bdm.7591F189AF8B4DFDA49BB5B4D00B09AB.edm" hidden="1">"Formula removed, name can be deleted."</definedName>
    <definedName name="_bdm.776C7EE5131542C3A844AFB1677C8D07.edm" hidden="1">[6]Japan!$A:$IV</definedName>
    <definedName name="_bdm.77B64C7DA0BE411FAE4FB16233BB9256.edm" hidden="1" xml:space="preserve">          '[8]2Q10'!$A:$IV</definedName>
    <definedName name="_bdm.7A66F26DE978472089B630CB87A889DA.edm" hidden="1" xml:space="preserve">           [11]ImportantDisclosures!$A:$IV</definedName>
    <definedName name="_bdm.7B6F027D7CF343F8BB01E365C068C708.edm" hidden="1">"Formula removed, name can be deleted."</definedName>
    <definedName name="_bdm.7B9669674D6848659835836D0943CE6D.edm" hidden="1">"Formula removed, name can be deleted."</definedName>
    <definedName name="_bdm.7C582F8846A84B41AD406B058F3066E8.edm" hidden="1">'[10]Theatrical Ultimates'!$A:$IV</definedName>
    <definedName name="_bdm.81C1C600145146019B9100123AC15F1B.edm" hidden="1">"Formula removed, name can be deleted."</definedName>
    <definedName name="_bdm.82387A958C5C4564A87AD09136A2CB1B.edm" hidden="1">'[10]FMV''06'!$A:$IV</definedName>
    <definedName name="_bdm.82CDFA33C2004B50B55384CC7AA60D8F.edm" hidden="1" xml:space="preserve">          [7]Estimates!$A:$IV</definedName>
    <definedName name="_bdm.8388EBFCA3A5463192904E0F220D3E85.edm" hidden="1" xml:space="preserve">          '[8]2Q10'!$A:$IV</definedName>
    <definedName name="_bdm.869946EFD9194C4C98A232AA83ED1FBB.edm" hidden="1">"Formula removed, name can be deleted."</definedName>
    <definedName name="_bdm.86FB5429EDBE4793AF82A690E2DFBBA7.edm" hidden="1" xml:space="preserve">          [7]Estimates!$A:$IV</definedName>
    <definedName name="_bdm.8B08E24C7AC3426C81934E7C9E509D3C.edm" hidden="1">"Formula removed, name can be deleted."</definedName>
    <definedName name="_bdm.8D11F2C61FCB49F0A7B0312C2F54DD28.edm" hidden="1">[8]IS!$A:$IV</definedName>
    <definedName name="_bdm.8D15893452FB49598629EE0733B50C8B.edm" hidden="1">[7]Markets!$A:$IV</definedName>
    <definedName name="_bdm.8D32C947C89B4E28B219CD913C796E01.edm" hidden="1">[7]Lease!$A:$IV</definedName>
    <definedName name="_bdm.8E795170B3E04E51B4EC3D8EEBF51940.edm" hidden="1">[4]Cover!$A:$IV</definedName>
    <definedName name="_bdm.96771C331AAD4682BF0F5F58783FF274.edm" hidden="1">"Formula removed, name can be deleted."</definedName>
    <definedName name="_bdm.98155052B54A4E64990A595FB8E9737D.edm" hidden="1">"Formula removed, name can be deleted."</definedName>
    <definedName name="_bdm.9986195BBC7E4C738FE945038D62F1C9.edm" hidden="1">"Formula removed, name can be deleted."</definedName>
    <definedName name="_bdm.99A6B2E18FE7476DAB8C4440BB05E672.edm" hidden="1">"Formula removed, name can be deleted."</definedName>
    <definedName name="_bdm.9B04ED632670401DAB8C5CC3D53B3779.edm" hidden="1">[10]hello!$A:$IV</definedName>
    <definedName name="_bdm.9B247A99A9514B638FEEDA78CC5EA347.edm" hidden="1">"Formula removed, name can be deleted."</definedName>
    <definedName name="_bdm.9F28745FC84349ECA6CAF614C1EFB290.edm" hidden="1">'[15]FMV''06'!$A:$IV</definedName>
    <definedName name="_bdm.A5BCA2418A6A4DF8AB9AA4D0F620C51B.edm" hidden="1">"Formula removed, name can be deleted."</definedName>
    <definedName name="_bdm.A7FB7B7A25064F28ACE4DCA01F4B4C8E.edm" hidden="1" xml:space="preserve">          [7]Estimates!$A:$IV</definedName>
    <definedName name="_bdm.A8AC84A24A5648E595A8DAAF51437DA0.edm" hidden="1" xml:space="preserve">                      [11]ImportantDisclosures!$A:$IV</definedName>
    <definedName name="_bdm.AA022DD49802430BB106E7AB777135A4.edm" hidden="1" xml:space="preserve">          '[8]2Q10'!$A:$IV</definedName>
    <definedName name="_bdm.AADC1838A33F46D9B7EBA29CBF449343.edm" hidden="1" xml:space="preserve">          [7]Estimates!$A:$IV</definedName>
    <definedName name="_bdm.ABCD2168C1224DB18D239FABF7DD5E85.edm" hidden="1">"Formula removed, name can be deleted."</definedName>
    <definedName name="_bdm.AD4CA35CD0654154827A2BC5B28152F2.edm" hidden="1" xml:space="preserve">           [11]ImportantDisclosures!$A:$IV</definedName>
    <definedName name="_bdm.AEA306653F374D77BEED2F3DABD4EAD0.edm" hidden="1" xml:space="preserve"> [11]ImportantDisclosures!$A:$IV</definedName>
    <definedName name="_bdm.AF5BCE89CF07495B94E6C29BE9506B27.edm" hidden="1">"Formula removed, name can be deleted."</definedName>
    <definedName name="_bdm.AFCF3A66F569418CAEFF1B5FC4D18FDB.edm" hidden="1">"Formula removed, name can be deleted."</definedName>
    <definedName name="_bdm.B06D75418A24450184BFA8C22B610F48.edm" hidden="1" xml:space="preserve">          [7]Estimates!$A:$IV</definedName>
    <definedName name="_bdm.B194BD43DFCA4EADA795D3DAD202FF03.edm" hidden="1">'[4]OLD Segments'!$A:$IV</definedName>
    <definedName name="_bdm.B1A36DBA92164DAAB826EBA45C1AF227.edm" hidden="1" xml:space="preserve">          [7]Estimates!$A:$IV</definedName>
    <definedName name="_bdm.B2F58EADA35D47EC87D524FDD62F0901.edm" hidden="1">"Formula removed, name can be deleted."</definedName>
    <definedName name="_bdm.B30E8EC771F54A22BF4341F0BF93A044.edm" hidden="1" xml:space="preserve">          [7]Estimates!$A:$IV</definedName>
    <definedName name="_bdm.B3782920504D40AB97F6C03318F87E3D.edm" hidden="1">[7]IS!$A:$IV</definedName>
    <definedName name="_bdm.B40A7F0F135940BCAF6152283DAEA799.edm" hidden="1">"Formula removed, name can be deleted."</definedName>
    <definedName name="_bdm.B6B1202A5A924E49A1D78A98551E9E20.edm" hidden="1" xml:space="preserve">                      [11]ImportantDisclosures!$A:$IV</definedName>
    <definedName name="_bdm.B6D7E1D86AC940E8914E9732016FF9EE.edm" hidden="1">"Formula removed, name can be deleted."</definedName>
    <definedName name="_bdm.B6E9E008F31F46E9A4A8742969103359.edm" hidden="1">"Formula removed, name can be deleted."</definedName>
    <definedName name="_bdm.BB251E2AE9D042709F4373789831F177.edm" hidden="1" xml:space="preserve">          [7]Estimates!$A:$IV</definedName>
    <definedName name="_bdm.BBAD8BE883A84C8FB15E1E8CD3774D8E.edm" hidden="1" xml:space="preserve">          '[8]2Q10'!$A:$IV</definedName>
    <definedName name="_bdm.BE04F2E6A56A4D32A9FD5F6925BF989C.edm" hidden="1">"Formula removed, name can be deleted."</definedName>
    <definedName name="_bdm.C0A6D7060E47453D80C576B5A9639F08.edm" hidden="1">[4]BS!$A:$IV</definedName>
    <definedName name="_bdm.C3900A07E3F04773AD1B5398F56067B0.edm" hidden="1" xml:space="preserve">           '[16]Quick Comment'!$A:$IV</definedName>
    <definedName name="_bdm.C3D28E63931D42CABAD3C3BE79E4A0C9.edm" hidden="1">'[13]Critical Drivers'!$A:$IV</definedName>
    <definedName name="_bdm.CA349B6B6F4E4EBE9309F66D600FAD97.edm" hidden="1">'[17]Quick Comment'!$A:$IV</definedName>
    <definedName name="_bdm.CA7D11C3A33841B58E4F6B75BF295077.edm" hidden="1" xml:space="preserve">                      [11]ImportantDisclosures!$A:$IV</definedName>
    <definedName name="_bdm.CBF1ED6DE0944E13A8FDAC5FE80F3A6E.edm" hidden="1">"Formula removed, name can be deleted."</definedName>
    <definedName name="_bdm.CD2C0AE2598B439EA4D78F2A111F6E34.edm" hidden="1" xml:space="preserve">          '[8]2Q10'!$A:$IV</definedName>
    <definedName name="_bdm.CE0A9F6EA7944E1B8B96F5944FB2CD3C.edm" hidden="1" xml:space="preserve">          [7]Estimates!$A:$IV</definedName>
    <definedName name="_bdm.D1117DFED7D04BFB9BA135653BD38794.edm" hidden="1" xml:space="preserve">          '[8]2Q10'!$A:$IV</definedName>
    <definedName name="_bdm.D11F20BCEF5047EAA300AF9812DBA00F.edm" hidden="1">"Formula removed, name can be deleted."</definedName>
    <definedName name="_bdm.D27F3E3A187244B69ED31D6E6D216F3C.edm" hidden="1" xml:space="preserve">          [7]Estimates!$A:$IV</definedName>
    <definedName name="_bdm.D389ADAA967F414FA186894186EB1FA3.edm" hidden="1">"Formula removed, name can be deleted."</definedName>
    <definedName name="_bdm.D3CD4F9A46934686BBB17B06D727408E.edm" hidden="1" xml:space="preserve">          '[8]2Q10'!$A:$IV</definedName>
    <definedName name="_bdm.D4113C3BC0CC44EDBBD332282ABD6FD0.edm" hidden="1">"Formula removed, name can be deleted."</definedName>
    <definedName name="_bdm.D46F7AA43EF247FB9F58D215DFB0E89B.edm" hidden="1" xml:space="preserve">          '[8]2Q10'!$A:$IV</definedName>
    <definedName name="_bdm.D4A153B5D8564E70A50E4B74872964CC.edm" hidden="1" xml:space="preserve">          [7]Estimates!$A:$IV</definedName>
    <definedName name="_bdm.D5283448DF0D46A3A197B510C7365E12.edm" hidden="1" xml:space="preserve">                      [11]ImportantDisclosures!$A:$IV</definedName>
    <definedName name="_bdm.D64786B89BEB411EB383E9A21FAA8A03.edm" hidden="1">[8]Exhibits!$A:$IV</definedName>
    <definedName name="_bdm.D7A4F4DE36F64707B868D659ABEF6C2C.edm" hidden="1" xml:space="preserve">          '[8]2Q10'!$A:$IV</definedName>
    <definedName name="_bdm.DAFCE95C7A6549EFA658536F0C8FF976.edm" hidden="1">"Formula removed, name can be deleted."</definedName>
    <definedName name="_bdm.DD8CF19960B84372BC6C44D1E352ADA6.edm" hidden="1">"Formula removed, name can be deleted."</definedName>
    <definedName name="_bdm.DEF0745D2A734F37957107F5876B6288.edm" hidden="1">"Formula removed, name can be deleted."</definedName>
    <definedName name="_bdm.E1121E8C75864D56AB46A6185DD2935F.edm" hidden="1">"Formula removed, name can be deleted."</definedName>
    <definedName name="_bdm.E1D02269F33E4F56B89AACF0B07B4234.edm" hidden="1" xml:space="preserve">          [7]Estimates!$A:$IV</definedName>
    <definedName name="_bdm.E4AF37B4926741D4854D85AD124C597C.edm" hidden="1" xml:space="preserve">          [7]Estimates!$A:$IV</definedName>
    <definedName name="_bdm.E540315C7BD642B099830D405EB40BA1.edm" hidden="1" xml:space="preserve">          '[8]2Q10'!$A:$IV</definedName>
    <definedName name="_bdm.E54E65158B774221BC0B9397DB223B25.edm" hidden="1" xml:space="preserve">          [7]Estimates!$A:$IV</definedName>
    <definedName name="_bdm.E5F895637D87415DB05F4239120212FF.edm" hidden="1" xml:space="preserve">          '[8]2Q10'!$A:$IV</definedName>
    <definedName name="_bdm.E60F8F8D763F4F6E832F2AC6759D3A4E.edm" hidden="1" xml:space="preserve">          [7]Estimates!$A:$IV</definedName>
    <definedName name="_bdm.E698F9A6CEB74349897CF4E037205CDB.edm" hidden="1" xml:space="preserve">           [11]ImportantDisclosures!$A:$IV</definedName>
    <definedName name="_bdm.E7A15AF665E448CAB27C6F1C8D70D19A.edm" hidden="1">[7]Valuation!$A:$IV</definedName>
    <definedName name="_bdm.E92A8D55ED3A4D0482911446E5C8D9FD.edm" hidden="1" xml:space="preserve">          [7]Estimates!$A:$IV</definedName>
    <definedName name="_bdm.E9F287F0D7B3474B9F9A6760BB08C88F.edm" hidden="1">"Formula removed, name can be deleted."</definedName>
    <definedName name="_bdm.EA81C9C4425C4290B4A3CD1C11CABDC5.edm" hidden="1">'[8]2Q10'!$A:$IV</definedName>
    <definedName name="_bdm.EAA91ACAD68747E6B45DB2C8B04008BD.edm" hidden="1">"Formula removed, name can be deleted."</definedName>
    <definedName name="_bdm.EBCD58C3D5EC4A1B9AEAC7841000070E.edm" hidden="1">[8]Rev!$A:$IV</definedName>
    <definedName name="_bdm.ED46AFAC9D264D8989021031B428B15D.edm" hidden="1">[6]UK!$A:$IV</definedName>
    <definedName name="_bdm.ED7A45CB23AB4C9FA15023AD1343A31F.edm" hidden="1">[7]Estimates!$A:$IV</definedName>
    <definedName name="_bdm.EF24D72AB6664FBB9A3ED5A60E4D9636.edm" hidden="1" xml:space="preserve">          [7]Estimates!$A:$IV</definedName>
    <definedName name="_bdm.EF42F62CC98E4104A924B6201284C016.edm" hidden="1">[4]IS!$A:$IV</definedName>
    <definedName name="_bdm.EF9E024CD1FD49339141A479C3B778AC.edm" hidden="1">"Formula removed, name can be deleted."</definedName>
    <definedName name="_bdm.F05A7FA7B2A74FFCAFCA316ACB4A1192.edm" hidden="1">"Formula removed, name can be deleted."</definedName>
    <definedName name="_bdm.F0CBD270390A4E8B983B36698544438C.edm" hidden="1">"Formula removed, name can be deleted."</definedName>
    <definedName name="_bdm.F1B7415AE6274FA388D5C404E5305698.edm" hidden="1">"Formula removed, name can be deleted."</definedName>
    <definedName name="_bdm.F432D1536CF34525AAD3CAECA6D192CA.edm" hidden="1">"Formula removed, name can be deleted."</definedName>
    <definedName name="_bdm.F5AE7888031740B485DFC4F86396E8F7.edm" hidden="1" xml:space="preserve"> [11]ImportantDisclosures!$A:$IV</definedName>
    <definedName name="_bdm.F7580A9D412D498180315C569F6015C1.edm" hidden="1">"Formula removed, name can be deleted."</definedName>
    <definedName name="_bdm.F7CD4447BECD4FACBA564AC20D341DA1.edm" hidden="1">"Formula removed, name can be deleted."</definedName>
    <definedName name="_bdm.F7CDB0B6614B44968DB5748B6958C397.edm" hidden="1" xml:space="preserve">          [7]Estimates!$A:$IV</definedName>
    <definedName name="_bdm.F8E1FD693838476885E5302335719C1E.edm" hidden="1">"Formula removed, name can be deleted."</definedName>
    <definedName name="_bdm.F93C0152D7CB4B3CB9A960DD585D5AE6.edm" hidden="1">[7]CF!$A:$IV</definedName>
    <definedName name="_bdm.FAA1E71D47AB4CC09DE76C4189930ABA.edm" hidden="1">"Formula removed, name can be deleted."</definedName>
    <definedName name="_bdm.FC814BDDC13546BFAC98F99FB89A0197.edm" hidden="1" xml:space="preserve">          [7]Estimates!$A:$IV</definedName>
    <definedName name="_bdm.FD3C731D36524F88992E67EBD46F6209.edm" hidden="1">"Formula removed, name can be deleted."</definedName>
    <definedName name="_bdm.FEFD1D12ED7C4416A2AB13D703A67501.edm" hidden="1">"Formula removed, name can be deleted."</definedName>
    <definedName name="_BSAnnual">"Formula removed, name can be deleted."</definedName>
    <definedName name="_CFAnnual">"Formula removed, name can be deleted."</definedName>
    <definedName name="_DIS2"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_fye01">[18]OldIS!$I$1:$I$65536</definedName>
    <definedName name="_fye02">[18]OldIS!$J$1:$J$65536</definedName>
    <definedName name="_fye99">[18]RptdInputs!$G$1:$G$65536</definedName>
    <definedName name="_ISAnnual">"Formula removed, name can be deleted."</definedName>
    <definedName name="_ISQtly">[7]IS!$A$8:$BA$70</definedName>
    <definedName name="_Key1" hidden="1">[1]単独!$U$1</definedName>
    <definedName name="_Order1" localSheetId="0" hidden="1">0</definedName>
    <definedName name="_Order1" hidden="1">255</definedName>
    <definedName name="_Sort" hidden="1">[1]単独!$A$512:$AC$552</definedName>
    <definedName name="_switch">1</definedName>
    <definedName name="_switch2">#N/A</definedName>
    <definedName name="a">[19]TABLE!$R$134</definedName>
    <definedName name="abc">Q!$D$2:$Z$52</definedName>
    <definedName name="Actual" hidden="1">{#N/A,#N/A,TRUE,"Historicals";#N/A,#N/A,TRUE,"Charts";#N/A,#N/A,TRUE,"Forecasts"}</definedName>
    <definedName name="AdditionalInstructions">IndexInformation!$B$42</definedName>
    <definedName name="Address" localSheetId="1">ImportantDisclosures!$A$2:$A$2</definedName>
    <definedName name="Aditya">0</definedName>
    <definedName name="ANA" localSheetId="14">ModPubIndex!$A$7</definedName>
    <definedName name="anscount" hidden="1">1</definedName>
    <definedName name="AssetsCurrentAccountsReceivableAllowance">0</definedName>
    <definedName name="AssetsCurrentAccountsReceivableGross">0</definedName>
    <definedName name="AssetsCurrentDeferredIncomeTaxes">0</definedName>
    <definedName name="AssetsCurrentOther">0</definedName>
    <definedName name="AssetsCurrentPrepaidExpens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TCF_sh_1997">[19]TABLE!$R$135</definedName>
    <definedName name="ATCF_sh_1998">[19]TABLE!$X$135</definedName>
    <definedName name="attMobility">'AT&amp;T Mobility'!$B$6:$BA$31</definedName>
    <definedName name="Authors" localSheetId="1">ImportantDisclosures!$A$7</definedName>
    <definedName name="Authors" localSheetId="13">IndexInformation!$B$18</definedName>
    <definedName name="balanceSheet">'Balance Sheet'!$B$6:$BA$49</definedName>
    <definedName name="BRO" localSheetId="14">ModPubIndex!$A$1</definedName>
    <definedName name="bs_eighteen">'Balance Sheet'!$B$6:$BI$49</definedName>
    <definedName name="bsseventeen">'Balance Sheet'!$B$6:$BE$49</definedName>
    <definedName name="Buttons" localSheetId="3">CircularReferenceAlert!$B$13:$B$15</definedName>
    <definedName name="Case">"Formula removed, name can be deleted."</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fs">'Cash Flow'!$B$6:$BA$64</definedName>
    <definedName name="cfs_eighteen">'Cash Flow'!$B$6:$BI$64</definedName>
    <definedName name="cfsseventeen">'Cash Flow'!$B$6:$BE$64</definedName>
    <definedName name="Consolidated_Income_Statement">"A1AnnIS"</definedName>
    <definedName name="CopyrightStamp">ImportantDisclosures!$A$29</definedName>
    <definedName name="COU" localSheetId="14">ModPubIndex!$A$5</definedName>
    <definedName name="CQEnd" localSheetId="13">IndexInformation!$B$31</definedName>
    <definedName name="Currency" localSheetId="13">IndexInformation!$B$24</definedName>
    <definedName name="Currency_ISOcode" localSheetId="12">OPEB!$AP$162</definedName>
    <definedName name="Currency_ISOcode" localSheetId="11">Pension!$AP$158</definedName>
    <definedName name="currentFY" localSheetId="12">"Formula removed, name can be deleted."</definedName>
    <definedName name="currentFY">"Formula removed, name can be deleted."</definedName>
    <definedName name="CurrentStockPrice" localSheetId="13">IndexInformation!$B$23</definedName>
    <definedName name="CurrQtrEPS" localSheetId="13">IndexInformation!$B$29</definedName>
    <definedName name="CurrYearEPS" localSheetId="13">IndexInformation!$B$11</definedName>
    <definedName name="CurrYearTotalRevenue" localSheetId="13">IndexInformation!$B$10</definedName>
    <definedName name="CurrYearTotalRevenueActual" localSheetId="13">IndexInformation!$B$32</definedName>
    <definedName name="CUSIP" localSheetId="13">IndexInformation!$B$20</definedName>
    <definedName name="CYEnd" localSheetId="13">IndexInformation!$B$30</definedName>
    <definedName name="d">{"Client Name or Project Name"}</definedName>
    <definedName name="Daniel">{"Client Name or Project Name"}</definedName>
    <definedName name="datalength">"Formula removed, name can be deleted."</definedName>
    <definedName name="dataseries4">OFFSET([20]c1!$G$12,0,0,COUNTA([20]c1!$G$12:$G$31),1)</definedName>
    <definedName name="Date" localSheetId="1">ImportantDisclosures!$A$8</definedName>
    <definedName name="de" hidden="1">{#N/A,#N/A,FALSE,"Initial Year";#N/A,#N/A,FALSE,"Historical";#N/A,#N/A,FALSE,"balsheet";#N/A,#N/A,FALSE,"incstate";#N/A,#N/A,FALSE,"Fleet"}</definedName>
    <definedName name="del">Q!$D$2:$AA$52</definedName>
    <definedName name="Deleted" localSheetId="13">IndexInformation!$B$27</definedName>
    <definedName name="Description" localSheetId="13">IndexInformation!$B$7</definedName>
    <definedName name="DEVELOPMENT">5</definedName>
    <definedName name="DiffTable">Q!$D$2:$Y$42</definedName>
    <definedName name="Discipline" localSheetId="13">IndexInformation!$B$3</definedName>
    <definedName name="DISCIPLINE" localSheetId="14">ModPubIndex!$A$12</definedName>
    <definedName name="DisclosuresText">ImportantDisclosures!$A$24</definedName>
    <definedName name="Distribution" localSheetId="13">IndexInformation!$B$26</definedName>
    <definedName name="DistTable" localSheetId="1">ImportantDisclosures!#REF!</definedName>
    <definedName name="DistTablePreamble" localSheetId="1">ImportantDisclosures!#REF!</definedName>
    <definedName name="DOCDAT" localSheetId="14">ModPubIndex!$A$2</definedName>
    <definedName name="DOCTIME" localSheetId="14">ModPubIndex!$A$3</definedName>
    <definedName name="DocType" localSheetId="13">IndexInformation!$B$5</definedName>
    <definedName name="dropDown">Pension!$AY$15</definedName>
    <definedName name="dropDown2">OPEB!$AY$15</definedName>
    <definedName name="eighteenguide">Q!$AD$4:$AG$10</definedName>
    <definedName name="EMAIL_ALERT" localSheetId="14">ModPubIndex!$A$10</definedName>
    <definedName name="EmailAlert" localSheetId="13">IndexInformation!$B$28</definedName>
    <definedName name="EntertainmentInternet" localSheetId="10">'E&amp;I + International'!$B$6:$BA$21</definedName>
    <definedName name="entertainmentseventeen" localSheetId="10">'E&amp;I + International'!$B$6:$BE$21</definedName>
    <definedName name="EquityAdjustments">0</definedName>
    <definedName name="EquityEmployeeStockOwnershipPlan">0</definedName>
    <definedName name="EquityOther" localSheetId="0">[21]AITDATA!A$290+[21]AITDATA!A$292+[21]AITDATA!A$294</definedName>
    <definedName name="EquityOther">0</definedName>
    <definedName name="EquityPaidInCapital">0</definedName>
    <definedName name="EquityTreasuryStock">0</definedName>
    <definedName name="est">Q!$D$2:$AA$57</definedName>
    <definedName name="estimates">Q!$D$2:$AA$43</definedName>
    <definedName name="f">[18]Wless!$Q$1</definedName>
    <definedName name="ｆ" hidden="1">"iQShowAnnual"</definedName>
    <definedName name="FiveYearGrowthRate" localSheetId="13">IndexInformation!$B$16</definedName>
    <definedName name="FollowingYearEPS" localSheetId="13">IndexInformation!$B$15</definedName>
    <definedName name="FollowingYearTotalRevenue" localSheetId="13">IndexInformation!$B$14</definedName>
    <definedName name="FollowingYearTotalRevenueActual" localSheetId="13">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xold">'[22]Transaction Summary'!$AA$4</definedName>
    <definedName name="fye00">[18]DomTelco!$H$1:$H$65536</definedName>
    <definedName name="guidance">Q!$AD$2:$AG$39</definedName>
    <definedName name="High_Ratio">" 100+"</definedName>
    <definedName name="hjhjhj" hidden="1">{#N/A,#N/A,FALSE,"Index";"Stmts_Qtrs",#N/A,FALSE,"Summary";"Stmts_24 mo",#N/A,FALSE,"Summary";"Summary_24",#N/A,FALSE,"Revenue";"Month_24",#N/A,FALSE,"Engineering";"Month_24",#N/A,FALSE,"Marketing";"Month_24",#N/A,FALSE,"G &amp; A";"Month_24",#N/A,FALSE,"Manufacturing"}</definedName>
    <definedName name="HL" localSheetId="14">ModPubIndex!$A$8</definedName>
    <definedName name="i" hidden="1">{"Qtr Op Mgd Q3",#N/A,FALSE,"Qtr-Op (Mng)";"Qtr Op Rpt Q3",#N/A,FALSE,"Qtr-Op (Rpt)";"Operating Vs Reported",#N/A,FALSE,"Rpt-Op Inc"}</definedName>
    <definedName name="in_millions__expect_per_share_data">"QtlyErngsBook_AnnIS"</definedName>
    <definedName name="IncomeEPSFullyDiluted">0</definedName>
    <definedName name="IncomeEPSPrimary">0</definedName>
    <definedName name="IncomeEPSRegular">0</definedName>
    <definedName name="incomeStmt">'Income Statement'!$B$6:$BA$64</definedName>
    <definedName name="IND" localSheetId="14">ModPubIndex!$A$9</definedName>
    <definedName name="Industry" localSheetId="1">ImportantDisclosures!$A$12</definedName>
    <definedName name="IndustryId">IndexInformation!$B$40</definedName>
    <definedName name="IndustryRating" localSheetId="1">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DATE" hidden="1">"c1634"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39353.5777893519</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s_eighteen">'Income Statement'!$B$6:$BI$64</definedName>
    <definedName name="isseventeen">'Income Statement'!$B$6:$BE$64</definedName>
    <definedName name="KeepVersions" localSheetId="13">IndexInformation!$B$8</definedName>
    <definedName name="klklklkl" hidden="1">{#N/A,#N/A,FALSE,"Index";"Stmts_Qtrs",#N/A,FALSE,"Summary";"Stmts_24 mo",#N/A,FALSE,"Summary";"Summary_24",#N/A,FALSE,"Revenue";"Month_24",#N/A,FALSE,"Engineering";"Month_24",#N/A,FALSE,"Marketing";"Month_24",#N/A,FALSE,"G &amp; A";"Month_24",#N/A,FALSE,"Manufacturing"}</definedName>
    <definedName name="LanguageCode">IndexInformation!$B$38</definedName>
    <definedName name="LastCell" localSheetId="1">ImportantDisclosures!$A$24</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 localSheetId="0" xml:space="preserve">      Q!$D$2:$Y$42</definedName>
    <definedName name="Linking_10" localSheetId="10">'E&amp;I + International'!$A$5:$BJ$22</definedName>
    <definedName name="Linking_11" localSheetId="10">'E&amp;I + International'!$A$22:$BJ$51</definedName>
    <definedName name="Linking_14">'Balance Sheet'!$A$5:$BJ$50</definedName>
    <definedName name="Linking_15">'Income Statement'!$B$6:$AW$64</definedName>
    <definedName name="Linking_16">'Balance Sheet'!$B$6:$AW$49</definedName>
    <definedName name="Linking_17">'Cash Flow'!$B$6:$AW$64</definedName>
    <definedName name="Linking_18">'AT&amp;T Mobility'!$B$6:$AW$31</definedName>
    <definedName name="Linking_19" localSheetId="10">'E&amp;I + International'!$B$6:$AW$21</definedName>
    <definedName name="Linking_2" localSheetId="0" xml:space="preserve">      Q!$D$2:$Y$42</definedName>
    <definedName name="Linking_20" xml:space="preserve">            Q!$D$2:$AA$43</definedName>
    <definedName name="Linking_21" xml:space="preserve">                        Q!$D$2:$AA$43</definedName>
    <definedName name="Linking_22" xml:space="preserve">            Q!$AD$2:$AG$39</definedName>
    <definedName name="Linking_23" xml:space="preserve">            'Income Statement'!$B$6:$BA$64</definedName>
    <definedName name="Linking_24" xml:space="preserve">            'Balance Sheet'!$B$6:$BA$49</definedName>
    <definedName name="Linking_25" xml:space="preserve">            'Cash Flow'!$B$6:$BA$64</definedName>
    <definedName name="Linking_26" xml:space="preserve">            'AT&amp;T Mobility'!$B$6:$BA$31</definedName>
    <definedName name="Linking_27" localSheetId="10" xml:space="preserve">            'E&amp;I + International'!$B$6:$BA$21</definedName>
    <definedName name="Linking_28" xml:space="preserve">                        Q!$AD$29:$AG$39</definedName>
    <definedName name="Linking_29" xml:space="preserve">            Q!$D$2:$Z$52</definedName>
    <definedName name="Linking_3" localSheetId="0" xml:space="preserve">            Q!$D$2:$AA$42</definedName>
    <definedName name="Linking_30" xml:space="preserve">                        'Income Statement'!$B$6:$BE$64</definedName>
    <definedName name="Linking_31" xml:space="preserve">            'Balance Sheet'!$B$6:$BE$49</definedName>
    <definedName name="Linking_32" xml:space="preserve">            'Cash Flow'!$B$6:$BE$64</definedName>
    <definedName name="Linking_33" xml:space="preserve">            'AT&amp;T Mobility'!$B$6:$BE$31</definedName>
    <definedName name="Linking_34" localSheetId="10" xml:space="preserve">            'E&amp;I + International'!$B$6:$BE$21</definedName>
    <definedName name="Linking_35" xml:space="preserve">            'Consumer Mobility'!$B$6:$BE$33</definedName>
    <definedName name="Linking_36" xml:space="preserve">                        'Consumer Mobility'!$B$6:$BE$33</definedName>
    <definedName name="Linking_37" xml:space="preserve">            Q!$D$2:$AA$52</definedName>
    <definedName name="Linking_38" xml:space="preserve">                        Q!$D$2:$AA$52</definedName>
    <definedName name="Linking_39" xml:space="preserve">                        Q!$D$2:$AA$52</definedName>
    <definedName name="Linking_4" localSheetId="0" xml:space="preserve">                  Q!$D$2:$AA$36</definedName>
    <definedName name="Linking_40" xml:space="preserve">                        Q!$AD$14:$AI$27</definedName>
    <definedName name="Linking_41" xml:space="preserve">                  Q!$D$2:$AA$57</definedName>
    <definedName name="Linking_42" xml:space="preserve">                                    Q!$D$2:$AA$57</definedName>
    <definedName name="Linking_43" xml:space="preserve">                  'Income Statement'!$B$6:$BI$64</definedName>
    <definedName name="Linking_44" xml:space="preserve">                  Q!$AD$4:$AG$10</definedName>
    <definedName name="Linking_45" xml:space="preserve">                  'Cash Flow'!$B$6:$BI$61</definedName>
    <definedName name="Linking_5" localSheetId="0" xml:space="preserve">                  Q!$D$2:$AA$36</definedName>
    <definedName name="Linking_5">'Income Statement'!$A$5:$BJ$65</definedName>
    <definedName name="Linking_6">'Cash Flow'!$A$5:$BJ$62</definedName>
    <definedName name="Linking_7">'AT&amp;T Mobility'!$A$5:$BJ$87</definedName>
    <definedName name="Linking_8">'Consumer Mobility'!$A$5:$BJ$101</definedName>
    <definedName name="Linking_9">'Business Solutions'!$A$5:$BJ$115</definedName>
    <definedName name="Linking_Range_24" localSheetId="0">Q!$D$2:$AA$42</definedName>
    <definedName name="Linking_Text_1">[4]CFS!$M$69</definedName>
    <definedName name="Linking_Text_2">[4]Charts!$C$37</definedName>
    <definedName name="Linking_Text_3">"Equity Value"</definedName>
    <definedName name="Linking_Text_4">47130</definedName>
    <definedName name="m" hidden="1">{#N/A,#N/A,TRUE,"Historicals";#N/A,#N/A,TRUE,"Charts";#N/A,#N/A,TRUE,"Forecasts"}</definedName>
    <definedName name="MacroVersion" localSheetId="13">IndexInformation!$B$1</definedName>
    <definedName name="MACRS_schedule">[23]Analysis!$C$2</definedName>
    <definedName name="MACRSoptions">[24]MACRS!$C$4:$C$8</definedName>
    <definedName name="MaxChange" localSheetId="3">CircularReferenceAlert!$B$9</definedName>
    <definedName name="MaxIterations" localSheetId="3">CircularReferenceAlert!$B$8</definedName>
    <definedName name="MBookQ">"Formula removed, name can be deleted."</definedName>
    <definedName name="MBookY">"Formula removed, name can be deleted."</definedName>
    <definedName name="Mobility">'AT&amp;T Mobility'!$B$6:$BA$31</definedName>
    <definedName name="ModelPrice" localSheetId="1">ImportantDisclosures!$A$14</definedName>
    <definedName name="mstagrange">OPEB!$AU$18:$AY$18</definedName>
    <definedName name="mstagrange1">Pension!$AU$18:$AY$18</definedName>
    <definedName name="Multiplier" localSheetId="13">IndexInformation!$B$35</definedName>
    <definedName name="multSecurities_L">[25]MultipleSecurities!$A$2:$A$17</definedName>
    <definedName name="na">"  n/a "</definedName>
    <definedName name="new" localSheetId="12">{"Client Name or Project Name"}</definedName>
    <definedName name="new" localSheetId="11">{"Client Name or Project Name"}</definedName>
    <definedName name="new">{"Client Name or Project Name"}</definedName>
    <definedName name="NextYearEPS" localSheetId="13">IndexInformation!$B$13</definedName>
    <definedName name="NextYearTotalRevenue" localSheetId="13">IndexInformation!$B$12</definedName>
    <definedName name="NextYearTotalRevenueActual" localSheetId="13">IndexInformation!$B$33</definedName>
    <definedName name="nmnmm" hidden="1">{#N/A,#N/A,FALSE,"Index";"Stmts_Qtrs",#N/A,FALSE,"Summary";"Stmts_24 mo",#N/A,FALSE,"Summary";"Summary_24",#N/A,FALSE,"Revenue";"Month_24",#N/A,FALSE,"Engineering";"Month_24",#N/A,FALSE,"Marketing";"Month_24",#N/A,FALSE,"G &amp; A";"Month_24",#N/A,FALSE,"Manufacturing"}</definedName>
    <definedName name="Normalized_Income_Statement">"IS_Annual"</definedName>
    <definedName name="ObjectType">IndexInformation!$B$37</definedName>
    <definedName name="OPEB_Guide">OPEB!$A$1</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therExTotal">0</definedName>
    <definedName name="PANA" localSheetId="14">ModPubIndex!$A$11</definedName>
    <definedName name="PathName" localSheetId="13">IndexInformation!$B$25</definedName>
    <definedName name="Pension_Guide">Pension!$A$1</definedName>
    <definedName name="_xlnm.Print_Area" localSheetId="7">'AT&amp;T Mobility'!$B$6:$BA$86,'AT&amp;T Mobility'!$B$88:$BA$178</definedName>
    <definedName name="_xlnm.Print_Area" localSheetId="5">'Balance Sheet'!$B$6:$BA$70</definedName>
    <definedName name="_xlnm.Print_Area" localSheetId="9">'Business Solutions'!$B$6:$BA$62</definedName>
    <definedName name="_xlnm.Print_Area" localSheetId="6">'Cash Flow'!$B$6:$BA$92</definedName>
    <definedName name="_xlnm.Print_Area" localSheetId="8">'Consumer Mobility'!$B$6:$BA$70</definedName>
    <definedName name="_xlnm.Print_Area" localSheetId="10">'E&amp;I + International'!$B$6:$BA$62</definedName>
    <definedName name="_xlnm.Print_Area" localSheetId="4">'Income Statement'!$B$6:$BA$64</definedName>
    <definedName name="_xlnm.Print_Area" localSheetId="12">OPEB!$A$1:$Z$65</definedName>
    <definedName name="_xlnm.Print_Area" localSheetId="11">Pension!$A$1:$Z$65</definedName>
    <definedName name="_xlnm.Print_Area" localSheetId="0">Q!$D$2:$Y$42</definedName>
    <definedName name="_xlnm.Print_Area">"Formula removed, name can be deleted."</definedName>
    <definedName name="_xlnm.Print_Titles" localSheetId="7">'AT&amp;T Mobility'!$1:$6</definedName>
    <definedName name="_xlnm.Print_Titles">#REF!</definedName>
    <definedName name="PRODUCT" localSheetId="14">ModPubIndex!$A$6</definedName>
    <definedName name="ProjectName" localSheetId="12">{"Client Name or Project Name"}</definedName>
    <definedName name="ProjectName" localSheetId="11">{"Client Name or Project Name"}</definedName>
    <definedName name="ProjectName" localSheetId="0">{"Client Name or Project Name"}</definedName>
    <definedName name="ProjectName">{"Client Name or Project Name"}</definedName>
    <definedName name="PSYM" localSheetId="14">ModPubIndex!$A$4</definedName>
    <definedName name="PublishDate" localSheetId="13">IndexInformation!$B$2</definedName>
    <definedName name="q" hidden="1">{"Qtr Op Mgd Q2",#N/A,FALSE,"Qtr-Op (Mng)";"Qtr Op Rpt Q2",#N/A,FALSE,"Qtr-Op (Rpt)";"Operating Vs Reported",#N/A,FALSE,"Rpt-Op Inc"}</definedName>
    <definedName name="Rating" localSheetId="13">IndexInformation!$B$9</definedName>
    <definedName name="RatingsDefined" localSheetId="1">ImportantDisclosures!$A$23</definedName>
    <definedName name="RatingsDefs" localSheetId="1">ImportantDisclosures!#REF!</definedName>
    <definedName name="RegACDisclosure" localSheetId="1">ImportantDisclosures!#REF!</definedName>
    <definedName name="rep" hidden="1">{#N/A,#N/A,FALSE,"COVER";#N/A,#N/A,FALSE,"VALUATION";#N/A,#N/A,FALSE,"FORECAST";#N/A,#N/A,FALSE,"FY ANALYSIS ";#N/A,#N/A,FALSE," HY ANALYSIS"}</definedName>
    <definedName name="RepairedName0001">"Formula removed, name can be deleted."</definedName>
    <definedName name="RepairedName0067" hidden="1">"iQShowAnnual"</definedName>
    <definedName name="RepairedName0403" hidden="1">"iQShowAnnual"</definedName>
    <definedName name="RepairedName1846" hidden="1">"iQShowAnnual"</definedName>
    <definedName name="RepairedName5694" hidden="1">"iQShowAnnual"</definedName>
    <definedName name="ResearchTopic" localSheetId="13">IndexInformation!$B$4</definedName>
    <definedName name="Residual_Income_Model">[4]IS!$F$111:$L$124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evenuesWirelineLocal">[26]AITDATA!A$10+[26]AITDATA!A$17</definedName>
    <definedName name="revs00">'[27]Broadcast Comps'!$C$3</definedName>
    <definedName name="revs01">'[27]Broadcast Comps'!$D$3</definedName>
    <definedName name="revs02">'[27]Broadcast Comps'!$E$3</definedName>
    <definedName name="revs03">'[27]Broadcast Comps'!$F$3</definedName>
    <definedName name="revs04">'[27]Broadcast Comps'!$G$3</definedName>
    <definedName name="revs05">'[27]Broadcast Comps'!$H$3</definedName>
    <definedName name="revs06">'[27]Broadcast Comps'!$I$3</definedName>
    <definedName name="revs07">'[27]Broadcast Comps'!$J$3</definedName>
    <definedName name="revs08">'[27]Broadcast Comps'!$K$3</definedName>
    <definedName name="revs09">'[27]Broadcast Comps'!$L$3</definedName>
    <definedName name="revs10">'[27]Broadcast Comps'!$M$3</definedName>
    <definedName name="revs99">'[27]Broadcast Comps'!$B$3</definedName>
    <definedName name="RIC" localSheetId="13">IndexInformation!$B$21</definedName>
    <definedName name="rngStartYear" localSheetId="11">Pension!$BB$7</definedName>
    <definedName name="rngTicker" localSheetId="12">[28]Pension!$H$1</definedName>
    <definedName name="rngTicker" localSheetId="11">Pension!$H$1</definedName>
    <definedName name="SECSettlement" localSheetId="1">ImportantDisclosures!#REF!</definedName>
    <definedName name="SEDOL" localSheetId="13">IndexInformation!$B$22</definedName>
    <definedName name="Sedol" localSheetId="12">"Formula removed, name can be deleted."</definedName>
    <definedName name="Sedol">"Formula removed, name can be deleted."</definedName>
    <definedName name="seventeenguide">Q!$AD$14:$AI$27</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hrs00">'[27]Broadcast Comps'!$C$17</definedName>
    <definedName name="shrs01">'[27]Broadcast Comps'!$D$17</definedName>
    <definedName name="shrs02">'[27]Broadcast Comps'!$E$17</definedName>
    <definedName name="shrs03">'[27]Broadcast Comps'!$F$17</definedName>
    <definedName name="shrs04">'[27]Broadcast Comps'!$G$17</definedName>
    <definedName name="shrs05">'[27]Broadcast Comps'!$H$17</definedName>
    <definedName name="shrs06">'[27]Broadcast Comps'!$I$17</definedName>
    <definedName name="shrs07">'[27]Broadcast Comps'!$J$17</definedName>
    <definedName name="shrs08">'[27]Broadcast Comps'!$K$17</definedName>
    <definedName name="shrs09">'[27]Broadcast Comps'!$L$17</definedName>
    <definedName name="shrs10">'[27]Broadcast Comps'!$M$17</definedName>
    <definedName name="shrs99">'[27]Broadcast Comps'!$B$17</definedName>
    <definedName name="sixteenguide">Q!$AD$29:$AG$39</definedName>
    <definedName name="SourceDefined" localSheetId="1">ImportantDisclosures!$A$21</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1">ImportantDisclosures!$A$11</definedName>
    <definedName name="SubjectCode" localSheetId="13">IndexInformation!$B$6</definedName>
    <definedName name="SubmitterUserId">IndexInformation!$B$39</definedName>
    <definedName name="SUPPRESSED" localSheetId="14">ModPubIndex!$A$13</definedName>
    <definedName name="Table">Q!$D$2:$AA$36</definedName>
    <definedName name="TargetPrice" localSheetId="1">ImportantDisclosures!$A$15</definedName>
    <definedName name="TemplateRegion">IndexInformation!$B$36</definedName>
    <definedName name="Ticker" localSheetId="1">ImportantDisclosures!$A$10</definedName>
    <definedName name="ticker">OFFSET('[29]Exclusion List'!$A$1,1,0,COUNTA('[29]Exclusion List'!$A$1:$A$65536)-1,1)</definedName>
    <definedName name="TickerRegion">IndexInformation!$B$41</definedName>
    <definedName name="Tickers" localSheetId="13">IndexInformation!$B$19</definedName>
    <definedName name="trEdate">Pension!$AY$9</definedName>
    <definedName name="trSdate">Pension!$AY$8</definedName>
    <definedName name="UpdateReason" localSheetId="13">IndexInformation!$B$17</definedName>
    <definedName name="USRegDisclosures" localSheetId="1">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irelessseventeen">'AT&amp;T Mobility'!$B$6:$BE$31</definedName>
    <definedName name="wrn.2._.pagers." hidden="1">{"Cover",#N/A,FALSE,"Cover";"Summary",#N/A,FALSE,"Summarpage"}</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Industry.xls." hidden="1">{#N/A,#N/A,FALSE,"Earnings";#N/A,#N/A,FALSE,"Overview";#N/A,#N/A,FALSE,"Summary";#N/A,#N/A,FALSE,"Summary II";#N/A,#N/A,FALSE,"R&amp;D";#N/A,#N/A,FALSE,"R&amp;D Forecast";#N/A,#N/A,FALSE,"Tax Adj";#N/A,#N/A,FALSE,"Goodwill";#N/A,#N/A,FALSE,"FX ";#N/A,#N/A,FALSE,"Consolidation";#N/A,#N/A,FALSE,"Provisions"}</definedName>
    <definedName name="wrn.Leases.xls." hidden="1">{#N/A,#N/A,FALSE,"Initial Year";#N/A,#N/A,FALSE,"Historical";#N/A,#N/A,FALSE,"balsheet";#N/A,#N/A,FALSE,"incstate";#N/A,#N/A,FALSE,"Fleet"}</definedName>
    <definedName name="wrn.MOBIL." hidden="1">{"quarter",#N/A,FALSE,"MOB"}</definedName>
    <definedName name="wrn.Outlook._.for._.US._.Domestic._.Paging." hidden="1">{"Yearend_units",#N/A,TRUE,"Paging";"Unit_growth",#N/A,TRUE,"Paging";"Yearend_nationwide_units",#N/A,TRUE,"Paging";"nationwide_growth",#N/A,TRUE,"Paging";"ARPU",#N/A,TRUE,"Paging";"paging_industry_revenues",#N/A,TRUE,"Paging";"paging_net_add_breakdown",#N/A,TRUE,"Paging";"paging_churn",#N/A,TRUE,"Paging";"paging_gross_adds",#N/A,TRUE,"Paging"}</definedName>
    <definedName name="wrn.Print._.24." hidden="1">{#N/A,#N/A,FALSE,"Index";"Stmts_Qtrs",#N/A,FALSE,"Summary";"Stmts_24 mo",#N/A,FALSE,"Summary";"Summary_24",#N/A,FALSE,"Revenue";"Month_24",#N/A,FALSE,"Engineering";"Month_24",#N/A,FALSE,"Marketing";"Month_24",#N/A,FALSE,"G &amp; A";"Month_24",#N/A,FALSE,"Manufacturing"}</definedName>
    <definedName name="wrn.Pulp." hidden="1">{"Pulp Production",#N/A,FALSE,"Pulp";"Pulp Earnings",#N/A,FALSE,"Pulp"}</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port." hidden="1">{#N/A,#N/A,FALSE,"COVER";#N/A,#N/A,FALSE,"FORECAST";#N/A,#N/A,FALSE,"VALUATION";#N/A,#N/A,FALSE,"FY ANALYSIS ";#N/A,#N/A,FALSE," HY ANALYSIS"}</definedName>
    <definedName name="wrn.tresfax." hidden="1">{#N/A,#N/A,FALSE,"Printing Output";#N/A,#N/A,FALSE,"BS";#N/A,#N/A,FALSE,"CF"}</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YearRow">Pension!$D$4:$Z$4</definedName>
    <definedName name="yyy"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s>
  <calcPr calcId="145621" iterate="1"/>
</workbook>
</file>

<file path=xl/calcChain.xml><?xml version="1.0" encoding="utf-8"?>
<calcChain xmlns="http://schemas.openxmlformats.org/spreadsheetml/2006/main">
  <c r="BF86" i="46" l="1"/>
  <c r="I34" i="45"/>
  <c r="J14" i="46" s="1"/>
  <c r="J35" i="45" l="1"/>
  <c r="J22" i="46" s="1"/>
  <c r="BF14" i="46" l="1"/>
  <c r="BG41" i="46"/>
  <c r="BG86" i="46"/>
  <c r="BH41" i="46" s="1"/>
  <c r="BG56" i="45"/>
  <c r="BH56" i="45" s="1"/>
  <c r="BI56" i="45" s="1"/>
  <c r="BI38" i="39"/>
  <c r="BH38" i="39"/>
  <c r="BG38" i="39"/>
  <c r="BF38" i="39"/>
  <c r="BG195" i="44"/>
  <c r="BH195" i="44" s="1"/>
  <c r="BI195" i="44" s="1"/>
  <c r="BF195" i="44"/>
  <c r="K195" i="44"/>
  <c r="J195" i="44"/>
  <c r="BF186" i="44"/>
  <c r="BC185" i="44"/>
  <c r="BD185" i="44"/>
  <c r="BE185" i="44"/>
  <c r="BB185" i="44"/>
  <c r="BC183" i="44"/>
  <c r="BD183" i="44"/>
  <c r="BE183" i="44"/>
  <c r="BB183" i="44"/>
  <c r="BF185" i="44"/>
  <c r="BH86" i="46" l="1"/>
  <c r="BI41" i="46" s="1"/>
  <c r="BI87" i="46" l="1"/>
  <c r="BI86" i="46" s="1"/>
  <c r="J41" i="46" s="1"/>
  <c r="BI181" i="44" l="1"/>
  <c r="BH181" i="44"/>
  <c r="BG181" i="44"/>
  <c r="BF181" i="44"/>
  <c r="BD181" i="44"/>
  <c r="BC181" i="44"/>
  <c r="BB181" i="44"/>
  <c r="BA181" i="44"/>
  <c r="AZ181" i="44"/>
  <c r="AY181" i="44"/>
  <c r="AX181" i="44"/>
  <c r="AW181" i="44"/>
  <c r="AV181" i="44"/>
  <c r="AU181" i="44"/>
  <c r="AT181" i="44"/>
  <c r="P181" i="44"/>
  <c r="O181" i="44"/>
  <c r="N181" i="44"/>
  <c r="M181" i="44"/>
  <c r="L181" i="44"/>
  <c r="K181" i="44"/>
  <c r="J181" i="44"/>
  <c r="G181" i="44"/>
  <c r="F181" i="44"/>
  <c r="E181" i="44"/>
  <c r="D181" i="44"/>
  <c r="BG14" i="44"/>
  <c r="BH14" i="44"/>
  <c r="BI14" i="44"/>
  <c r="BF14" i="44"/>
  <c r="BH72" i="44"/>
  <c r="BG23" i="44"/>
  <c r="BH23" i="44"/>
  <c r="BI23" i="44" s="1"/>
  <c r="BF23" i="44"/>
  <c r="BF29" i="43"/>
  <c r="BG171" i="44"/>
  <c r="BH171" i="44" s="1"/>
  <c r="BI171" i="44" s="1"/>
  <c r="BF171" i="44"/>
  <c r="BI108" i="44"/>
  <c r="BH108" i="44"/>
  <c r="BG108" i="44"/>
  <c r="BE69" i="45"/>
  <c r="BE63" i="45"/>
  <c r="BE56" i="45"/>
  <c r="BE55" i="45"/>
  <c r="BE47" i="45"/>
  <c r="BE31" i="45"/>
  <c r="BE38" i="45" s="1"/>
  <c r="BE14" i="45"/>
  <c r="BE30" i="46"/>
  <c r="BE27" i="46"/>
  <c r="BE23" i="46"/>
  <c r="BE25" i="46" s="1"/>
  <c r="BE72" i="46"/>
  <c r="BE63" i="46"/>
  <c r="BE56" i="46"/>
  <c r="BE55" i="46"/>
  <c r="BE54" i="46"/>
  <c r="BE53" i="46"/>
  <c r="BE51" i="46"/>
  <c r="BE43" i="46"/>
  <c r="BE89" i="46"/>
  <c r="BE46" i="43"/>
  <c r="BE43" i="43"/>
  <c r="BE33" i="43"/>
  <c r="BE34" i="43"/>
  <c r="BE21" i="43"/>
  <c r="BE24" i="43"/>
  <c r="BE64" i="43"/>
  <c r="BE56" i="43"/>
  <c r="BE30" i="43"/>
  <c r="BE29" i="43"/>
  <c r="BE28" i="43"/>
  <c r="BE22" i="43"/>
  <c r="BE18" i="43"/>
  <c r="BE17" i="43"/>
  <c r="BE16" i="43"/>
  <c r="BE14" i="43"/>
  <c r="BE10" i="43"/>
  <c r="BE9" i="43"/>
  <c r="BE8" i="43"/>
  <c r="BE56" i="48"/>
  <c r="BE58" i="48"/>
  <c r="BE31" i="48"/>
  <c r="BE27" i="48"/>
  <c r="BE57" i="39"/>
  <c r="BE112" i="39"/>
  <c r="BE111" i="39"/>
  <c r="BE97" i="39"/>
  <c r="BE96" i="39"/>
  <c r="BE87" i="39"/>
  <c r="BE86" i="39"/>
  <c r="BE94" i="39" s="1"/>
  <c r="BE81" i="39"/>
  <c r="BE82" i="39" s="1"/>
  <c r="BE79" i="39"/>
  <c r="BE78" i="39"/>
  <c r="BE101" i="39" s="1"/>
  <c r="BE73" i="39"/>
  <c r="BE110" i="39" s="1"/>
  <c r="BE68" i="39"/>
  <c r="BE109" i="39" s="1"/>
  <c r="BE113" i="39" s="1"/>
  <c r="BE49" i="39"/>
  <c r="BE37" i="39"/>
  <c r="BE34" i="39"/>
  <c r="BE31" i="39"/>
  <c r="BE29" i="39"/>
  <c r="BE28" i="39"/>
  <c r="BE25" i="39"/>
  <c r="BE23" i="39"/>
  <c r="BE22" i="39"/>
  <c r="BE21" i="39"/>
  <c r="BE19" i="39"/>
  <c r="BE18" i="39"/>
  <c r="BE17" i="39"/>
  <c r="BE15" i="39"/>
  <c r="BE14" i="39"/>
  <c r="BE13" i="39"/>
  <c r="BE10" i="39"/>
  <c r="BE35" i="39" s="1"/>
  <c r="BE45" i="41"/>
  <c r="BE39" i="41"/>
  <c r="BE8" i="41"/>
  <c r="BE51" i="41" s="1"/>
  <c r="BE9" i="41"/>
  <c r="BE98" i="41"/>
  <c r="BE83" i="41"/>
  <c r="BE82" i="41"/>
  <c r="BE70" i="41"/>
  <c r="BE69" i="41"/>
  <c r="BE60" i="41"/>
  <c r="BE59" i="41"/>
  <c r="BE67" i="41" s="1"/>
  <c r="BE47" i="41"/>
  <c r="BE46" i="41"/>
  <c r="BE96" i="41"/>
  <c r="BE100" i="41" s="1"/>
  <c r="BE40" i="41"/>
  <c r="BE97" i="41" s="1"/>
  <c r="BE27" i="41"/>
  <c r="BE26" i="41"/>
  <c r="BE18" i="41"/>
  <c r="BE17" i="41"/>
  <c r="BE10" i="41"/>
  <c r="BE87" i="41" s="1"/>
  <c r="BE74" i="41"/>
  <c r="AY141" i="44"/>
  <c r="AZ141" i="44"/>
  <c r="BA141" i="44"/>
  <c r="BB141" i="44"/>
  <c r="BC141" i="44"/>
  <c r="BD141" i="44"/>
  <c r="BE141" i="44"/>
  <c r="BE127" i="44"/>
  <c r="BE125" i="44" s="1"/>
  <c r="BE177" i="44"/>
  <c r="BE178" i="44" s="1"/>
  <c r="BE174" i="44"/>
  <c r="BE175" i="44" s="1"/>
  <c r="BE163" i="44"/>
  <c r="BE145" i="44"/>
  <c r="BE131" i="44"/>
  <c r="BE130" i="44" s="1"/>
  <c r="BE126" i="44"/>
  <c r="BE121" i="44"/>
  <c r="BE114" i="44"/>
  <c r="BE113" i="44"/>
  <c r="BE112" i="44"/>
  <c r="BE116" i="44" s="1"/>
  <c r="BE111" i="44"/>
  <c r="BE99" i="44"/>
  <c r="BE98" i="44"/>
  <c r="BE86" i="44"/>
  <c r="BE85" i="44"/>
  <c r="BE74" i="44"/>
  <c r="BE71" i="44"/>
  <c r="BE68" i="44"/>
  <c r="BE67" i="44"/>
  <c r="BE140" i="44" s="1"/>
  <c r="BE65" i="44"/>
  <c r="BE64" i="44"/>
  <c r="BE63" i="44"/>
  <c r="BE59" i="44"/>
  <c r="BE60" i="44" s="1"/>
  <c r="BE55" i="44"/>
  <c r="BE54" i="44"/>
  <c r="BE45" i="44"/>
  <c r="BE39" i="44"/>
  <c r="BE52" i="44" s="1"/>
  <c r="BE25" i="44"/>
  <c r="BE24" i="44"/>
  <c r="BE16" i="44"/>
  <c r="BE15" i="44"/>
  <c r="BE10" i="44"/>
  <c r="BE14" i="44" s="1"/>
  <c r="AD50" i="47"/>
  <c r="W12" i="47"/>
  <c r="W56" i="47"/>
  <c r="W54" i="47"/>
  <c r="W10" i="47"/>
  <c r="AG6" i="47"/>
  <c r="Y56" i="47"/>
  <c r="Y54" i="47"/>
  <c r="P5" i="47"/>
  <c r="Q5" i="47"/>
  <c r="R5" i="47"/>
  <c r="S5" i="47"/>
  <c r="T5" i="47"/>
  <c r="U5" i="47"/>
  <c r="P6" i="47"/>
  <c r="Q6" i="47"/>
  <c r="R6" i="47"/>
  <c r="S6" i="47"/>
  <c r="T6" i="47"/>
  <c r="U6" i="47"/>
  <c r="P7" i="47"/>
  <c r="Q7" i="47"/>
  <c r="R7" i="47"/>
  <c r="S7" i="47"/>
  <c r="T7" i="47"/>
  <c r="U7" i="47"/>
  <c r="P8" i="47"/>
  <c r="Q8" i="47"/>
  <c r="R8" i="47"/>
  <c r="S8" i="47"/>
  <c r="T8" i="47"/>
  <c r="U8" i="47"/>
  <c r="P9" i="47"/>
  <c r="Q9" i="47"/>
  <c r="R9" i="47"/>
  <c r="S9" i="47"/>
  <c r="T9" i="47"/>
  <c r="U9" i="47"/>
  <c r="P14" i="47"/>
  <c r="Q14" i="47"/>
  <c r="R14" i="47"/>
  <c r="S14" i="47"/>
  <c r="T14" i="47"/>
  <c r="T15" i="47" s="1"/>
  <c r="U14" i="47"/>
  <c r="U15" i="47" s="1"/>
  <c r="P16" i="47"/>
  <c r="Q16" i="47"/>
  <c r="R16" i="47"/>
  <c r="S16" i="47"/>
  <c r="T16" i="47"/>
  <c r="T17" i="47" s="1"/>
  <c r="U16" i="47"/>
  <c r="U17" i="47" s="1"/>
  <c r="P18" i="47"/>
  <c r="Q18" i="47"/>
  <c r="R18" i="47"/>
  <c r="S18" i="47"/>
  <c r="T18" i="47"/>
  <c r="U18" i="47"/>
  <c r="P19" i="47"/>
  <c r="Q19" i="47"/>
  <c r="R19" i="47"/>
  <c r="S19" i="47"/>
  <c r="T19" i="47"/>
  <c r="U19" i="47"/>
  <c r="P20" i="47"/>
  <c r="Q20" i="47"/>
  <c r="R20" i="47"/>
  <c r="S20" i="47"/>
  <c r="T20" i="47"/>
  <c r="U20" i="47"/>
  <c r="P21" i="47"/>
  <c r="Q21" i="47"/>
  <c r="R21" i="47"/>
  <c r="S21" i="47"/>
  <c r="T21" i="47"/>
  <c r="U21" i="47"/>
  <c r="P22" i="47"/>
  <c r="Q22" i="47"/>
  <c r="R22" i="47"/>
  <c r="S22" i="47"/>
  <c r="T22" i="47"/>
  <c r="U22" i="47"/>
  <c r="P23" i="47"/>
  <c r="Q23" i="47"/>
  <c r="R23" i="47"/>
  <c r="S23" i="47"/>
  <c r="T23" i="47"/>
  <c r="U23" i="47"/>
  <c r="P24" i="47"/>
  <c r="Q24" i="47"/>
  <c r="R24" i="47"/>
  <c r="S24" i="47"/>
  <c r="T24" i="47"/>
  <c r="U24" i="47"/>
  <c r="P25" i="47"/>
  <c r="Q25" i="47"/>
  <c r="R25" i="47"/>
  <c r="S25" i="47"/>
  <c r="T25" i="47"/>
  <c r="U25" i="47"/>
  <c r="P26" i="47"/>
  <c r="Q26" i="47"/>
  <c r="R26" i="47"/>
  <c r="S26" i="47"/>
  <c r="T26" i="47"/>
  <c r="U26" i="47"/>
  <c r="U29" i="47"/>
  <c r="T29" i="47"/>
  <c r="Z35" i="47"/>
  <c r="Z36" i="47"/>
  <c r="P39" i="47"/>
  <c r="Q39" i="47"/>
  <c r="R39" i="47"/>
  <c r="S39" i="47"/>
  <c r="T39" i="47"/>
  <c r="T40" i="47" s="1"/>
  <c r="U39" i="47"/>
  <c r="U40" i="47"/>
  <c r="P41" i="47"/>
  <c r="Q41" i="47"/>
  <c r="R41" i="47"/>
  <c r="S41" i="47"/>
  <c r="T41" i="47"/>
  <c r="U41" i="47"/>
  <c r="P42" i="47"/>
  <c r="Q42" i="47"/>
  <c r="R42" i="47"/>
  <c r="S42" i="47"/>
  <c r="T42" i="47"/>
  <c r="U42" i="47"/>
  <c r="P44" i="47"/>
  <c r="Q44" i="47"/>
  <c r="R44" i="47"/>
  <c r="S44" i="47"/>
  <c r="T44" i="47"/>
  <c r="T45" i="47" s="1"/>
  <c r="U44" i="47"/>
  <c r="U45" i="47"/>
  <c r="P46" i="47"/>
  <c r="Q46" i="47"/>
  <c r="R46" i="47"/>
  <c r="S46" i="47"/>
  <c r="T46" i="47"/>
  <c r="U46" i="47"/>
  <c r="P47" i="47"/>
  <c r="Q47" i="47"/>
  <c r="R47" i="47"/>
  <c r="S47" i="47"/>
  <c r="T47" i="47"/>
  <c r="U47" i="47"/>
  <c r="P54" i="47"/>
  <c r="Q54" i="47"/>
  <c r="R54" i="47"/>
  <c r="S54" i="47"/>
  <c r="T54" i="47"/>
  <c r="T55" i="47" s="1"/>
  <c r="U54" i="47"/>
  <c r="U55" i="47"/>
  <c r="P56" i="47"/>
  <c r="Q56" i="47"/>
  <c r="R56" i="47"/>
  <c r="S56" i="47"/>
  <c r="T56" i="47"/>
  <c r="U56" i="47"/>
  <c r="BE33" i="46" l="1"/>
  <c r="BE49" i="45"/>
  <c r="BE70" i="45"/>
  <c r="BE91" i="46"/>
  <c r="BE45" i="46"/>
  <c r="BE59" i="46"/>
  <c r="BE52" i="46"/>
  <c r="BE74" i="46"/>
  <c r="BE12" i="43"/>
  <c r="BE32" i="43"/>
  <c r="BE36" i="43"/>
  <c r="BE25" i="43"/>
  <c r="BE20" i="43"/>
  <c r="BE50" i="48"/>
  <c r="BE40" i="48"/>
  <c r="BE46" i="48"/>
  <c r="BE60" i="48"/>
  <c r="BE55" i="48"/>
  <c r="BE114" i="39"/>
  <c r="BE38" i="39"/>
  <c r="BE50" i="39"/>
  <c r="BE27" i="39"/>
  <c r="BE45" i="39" s="1"/>
  <c r="BE47" i="39" s="1"/>
  <c r="BE104" i="39"/>
  <c r="BE102" i="39"/>
  <c r="BE89" i="39"/>
  <c r="BE39" i="39"/>
  <c r="BE52" i="39"/>
  <c r="BE83" i="39"/>
  <c r="BE30" i="39"/>
  <c r="BE40" i="39"/>
  <c r="BE84" i="39"/>
  <c r="BE54" i="41"/>
  <c r="BE52" i="41"/>
  <c r="BE77" i="41"/>
  <c r="BE75" i="41"/>
  <c r="BE88" i="41"/>
  <c r="BE62" i="41"/>
  <c r="BE12" i="41"/>
  <c r="BE135" i="44"/>
  <c r="BE137" i="44" s="1"/>
  <c r="BE172" i="44" s="1"/>
  <c r="BE170" i="44" s="1"/>
  <c r="BE171" i="44" s="1"/>
  <c r="BE115" i="44"/>
  <c r="BE47" i="44"/>
  <c r="BE48" i="44" s="1"/>
  <c r="BE76" i="44"/>
  <c r="BE83" i="44"/>
  <c r="BE78" i="44" s="1"/>
  <c r="BE164" i="44"/>
  <c r="BE139" i="44"/>
  <c r="BE23" i="44"/>
  <c r="BE162" i="44"/>
  <c r="BE11" i="44"/>
  <c r="BE18" i="44"/>
  <c r="BE60" i="46" l="1"/>
  <c r="BE64" i="46"/>
  <c r="BE57" i="46"/>
  <c r="BE44" i="43"/>
  <c r="BE38" i="43"/>
  <c r="BE37" i="43"/>
  <c r="BE60" i="39"/>
  <c r="BE61" i="39" s="1"/>
  <c r="BE43" i="39"/>
  <c r="BE46" i="39"/>
  <c r="BE58" i="39"/>
  <c r="BE32" i="39"/>
  <c r="BE92" i="39"/>
  <c r="BE91" i="39"/>
  <c r="BE90" i="39"/>
  <c r="BE105" i="39"/>
  <c r="BE107" i="39"/>
  <c r="BE106" i="39"/>
  <c r="BE55" i="39"/>
  <c r="BE54" i="39"/>
  <c r="BE53" i="39"/>
  <c r="BE25" i="41"/>
  <c r="BE16" i="41"/>
  <c r="BE20" i="41"/>
  <c r="BE13" i="41"/>
  <c r="BE55" i="41"/>
  <c r="BE57" i="41"/>
  <c r="BE56" i="41"/>
  <c r="BE95" i="41"/>
  <c r="BE99" i="41" s="1"/>
  <c r="BE90" i="41" s="1"/>
  <c r="BE41" i="41"/>
  <c r="BE65" i="41"/>
  <c r="BE64" i="41"/>
  <c r="BI64" i="41" s="1"/>
  <c r="BE63" i="41"/>
  <c r="BE79" i="41"/>
  <c r="BE78" i="41"/>
  <c r="BE80" i="41"/>
  <c r="BE155" i="44"/>
  <c r="BE144" i="44"/>
  <c r="BE152" i="44"/>
  <c r="BE154" i="44" s="1"/>
  <c r="BE49" i="44"/>
  <c r="BE81" i="44"/>
  <c r="BE120" i="44"/>
  <c r="BE123" i="44" s="1"/>
  <c r="BE124" i="44" s="1"/>
  <c r="BE80" i="44"/>
  <c r="BE79" i="44"/>
  <c r="BE50" i="44"/>
  <c r="BE148" i="44"/>
  <c r="BE157" i="44"/>
  <c r="BE159" i="44" s="1"/>
  <c r="BE146" i="44"/>
  <c r="BE19" i="44"/>
  <c r="BE29" i="44"/>
  <c r="BE20" i="44"/>
  <c r="BF64" i="41"/>
  <c r="BG64" i="41"/>
  <c r="BH64" i="41"/>
  <c r="BE49" i="43" l="1"/>
  <c r="BE53" i="43" s="1"/>
  <c r="BE60" i="43" s="1"/>
  <c r="BE61" i="43" s="1"/>
  <c r="BE47" i="43"/>
  <c r="BE62" i="39"/>
  <c r="BE21" i="41"/>
  <c r="BE31" i="41"/>
  <c r="BE22" i="41"/>
  <c r="BE91" i="41"/>
  <c r="BE93" i="41"/>
  <c r="BE92" i="41"/>
  <c r="BE31" i="44"/>
  <c r="BE30" i="44"/>
  <c r="K114" i="44"/>
  <c r="L114" i="44" s="1"/>
  <c r="M114" i="44" s="1"/>
  <c r="N114" i="44" s="1"/>
  <c r="O114" i="44" s="1"/>
  <c r="P114" i="44" s="1"/>
  <c r="J114" i="44"/>
  <c r="H38" i="44"/>
  <c r="H37" i="44"/>
  <c r="H36" i="44"/>
  <c r="I15" i="45"/>
  <c r="I41" i="46"/>
  <c r="I39" i="46"/>
  <c r="I38" i="46"/>
  <c r="I37" i="46"/>
  <c r="I36" i="46"/>
  <c r="I35" i="46"/>
  <c r="I31" i="46"/>
  <c r="I30" i="46"/>
  <c r="I29" i="46"/>
  <c r="I28" i="46"/>
  <c r="I23" i="46"/>
  <c r="I19" i="46"/>
  <c r="I15" i="46"/>
  <c r="I13" i="46"/>
  <c r="I12" i="46"/>
  <c r="I63" i="43"/>
  <c r="I43" i="43"/>
  <c r="I46" i="41"/>
  <c r="I29" i="41"/>
  <c r="I98" i="41"/>
  <c r="I96" i="41"/>
  <c r="I100" i="41" s="1"/>
  <c r="I114" i="44"/>
  <c r="I112" i="44"/>
  <c r="H44" i="44"/>
  <c r="I43" i="44"/>
  <c r="H43" i="44"/>
  <c r="I27" i="44"/>
  <c r="I153" i="44"/>
  <c r="I151" i="44"/>
  <c r="I147" i="44"/>
  <c r="BF6" i="46"/>
  <c r="BF66" i="46" s="1"/>
  <c r="BG6" i="46"/>
  <c r="BG66" i="46" s="1"/>
  <c r="BH6" i="46"/>
  <c r="BH66" i="46" s="1"/>
  <c r="BI6" i="46"/>
  <c r="BI49" i="46" s="1"/>
  <c r="BF40" i="46"/>
  <c r="BF43" i="46" s="1"/>
  <c r="BG49" i="46"/>
  <c r="BH49" i="46"/>
  <c r="BF6" i="45"/>
  <c r="BF61" i="45" s="1"/>
  <c r="BG6" i="45"/>
  <c r="BG61" i="45" s="1"/>
  <c r="BH6" i="45"/>
  <c r="BH61" i="45" s="1"/>
  <c r="BI6" i="45"/>
  <c r="BI61" i="45" s="1"/>
  <c r="BF10" i="45"/>
  <c r="BG10" i="45" s="1"/>
  <c r="BH10" i="45" s="1"/>
  <c r="BI10" i="45" s="1"/>
  <c r="I10" i="45" s="1"/>
  <c r="BF17" i="45"/>
  <c r="BG17" i="45"/>
  <c r="BH17" i="45" s="1"/>
  <c r="BI17" i="45" s="1"/>
  <c r="I17" i="45" s="1"/>
  <c r="BF18" i="45"/>
  <c r="BG18" i="45" s="1"/>
  <c r="BH18" i="45" s="1"/>
  <c r="BI18" i="45" s="1"/>
  <c r="I18" i="45" s="1"/>
  <c r="BF19" i="45"/>
  <c r="BG19" i="45" s="1"/>
  <c r="BH19" i="45" s="1"/>
  <c r="BI19" i="45" s="1"/>
  <c r="I19" i="45" s="1"/>
  <c r="BF20" i="45"/>
  <c r="BG20" i="45" s="1"/>
  <c r="BH20" i="45" s="1"/>
  <c r="BI20" i="45" s="1"/>
  <c r="I20" i="45" s="1"/>
  <c r="BF22" i="45"/>
  <c r="BG22" i="45"/>
  <c r="BH22" i="45" s="1"/>
  <c r="BI22" i="45" s="1"/>
  <c r="I22" i="45" s="1"/>
  <c r="BF28" i="45"/>
  <c r="BG28" i="45" s="1"/>
  <c r="BH28" i="45" s="1"/>
  <c r="BI28" i="45" s="1"/>
  <c r="I28" i="45" s="1"/>
  <c r="BF29" i="45"/>
  <c r="BG29" i="45" s="1"/>
  <c r="BH29" i="45" s="1"/>
  <c r="BI29" i="45" s="1"/>
  <c r="I29" i="45" s="1"/>
  <c r="BF30" i="45"/>
  <c r="BG30" i="45" s="1"/>
  <c r="BH30" i="45" s="1"/>
  <c r="BI30" i="45" s="1"/>
  <c r="I30" i="45" s="1"/>
  <c r="BF35" i="45"/>
  <c r="BG35" i="45" s="1"/>
  <c r="BF36" i="45"/>
  <c r="BG36" i="45" s="1"/>
  <c r="BH36" i="45" s="1"/>
  <c r="BI36" i="45" s="1"/>
  <c r="I36" i="45" s="1"/>
  <c r="BF40" i="45"/>
  <c r="BG40" i="45" s="1"/>
  <c r="BH40" i="45" s="1"/>
  <c r="BI40" i="45" s="1"/>
  <c r="I40" i="45" s="1"/>
  <c r="BF41" i="45"/>
  <c r="BG41" i="45"/>
  <c r="BH41" i="45" s="1"/>
  <c r="BI41" i="45" s="1"/>
  <c r="I41" i="45" s="1"/>
  <c r="BF44" i="45"/>
  <c r="BG44" i="45" s="1"/>
  <c r="BH44" i="45" s="1"/>
  <c r="BI44" i="45" s="1"/>
  <c r="I44" i="45" s="1"/>
  <c r="BF53" i="45"/>
  <c r="BG53" i="45"/>
  <c r="BH53" i="45"/>
  <c r="BI53" i="45"/>
  <c r="BF51" i="43"/>
  <c r="BG51" i="43" s="1"/>
  <c r="BF57" i="43"/>
  <c r="BF55" i="43" s="1"/>
  <c r="BF64" i="43"/>
  <c r="BG64" i="43"/>
  <c r="BH64" i="43"/>
  <c r="BI64" i="43"/>
  <c r="BF6" i="48"/>
  <c r="BF42" i="48" s="1"/>
  <c r="BG6" i="48"/>
  <c r="BG52" i="48" s="1"/>
  <c r="BH6" i="48"/>
  <c r="BH23" i="48" s="1"/>
  <c r="BI6" i="48"/>
  <c r="BI52" i="48" s="1"/>
  <c r="BF23" i="48"/>
  <c r="BF50" i="48"/>
  <c r="BG50" i="48"/>
  <c r="BH50" i="48"/>
  <c r="BF55" i="48"/>
  <c r="BG55" i="48"/>
  <c r="BH55" i="48"/>
  <c r="BF58" i="48"/>
  <c r="BF60" i="48" s="1"/>
  <c r="BF6" i="39"/>
  <c r="BF64" i="39" s="1"/>
  <c r="BG6" i="39"/>
  <c r="BG76" i="39" s="1"/>
  <c r="BH6" i="39"/>
  <c r="BH99" i="39" s="1"/>
  <c r="BI6" i="39"/>
  <c r="BI64" i="39" s="1"/>
  <c r="BF12" i="39"/>
  <c r="BF15" i="39" s="1"/>
  <c r="BG12" i="39"/>
  <c r="BH12" i="39"/>
  <c r="BH15" i="39" s="1"/>
  <c r="BI12" i="39"/>
  <c r="I12" i="39" s="1"/>
  <c r="BF14" i="39"/>
  <c r="BG14" i="39"/>
  <c r="BG15" i="39"/>
  <c r="BI15" i="39"/>
  <c r="BF16" i="39"/>
  <c r="BF20" i="39"/>
  <c r="BG20" i="39"/>
  <c r="BH20" i="39"/>
  <c r="BH22" i="39" s="1"/>
  <c r="BI20" i="39"/>
  <c r="I20" i="39" s="1"/>
  <c r="BF23" i="39"/>
  <c r="BG23" i="39"/>
  <c r="BF53" i="39"/>
  <c r="BH76" i="39"/>
  <c r="BF110" i="39"/>
  <c r="BF73" i="39" s="1"/>
  <c r="BG110" i="39"/>
  <c r="BG73" i="39" s="1"/>
  <c r="BH110" i="39"/>
  <c r="BH73" i="39" s="1"/>
  <c r="BF112" i="39"/>
  <c r="BF72" i="39" s="1"/>
  <c r="BG112" i="39"/>
  <c r="BG72" i="39" s="1"/>
  <c r="I72" i="39" s="1"/>
  <c r="BH112" i="39"/>
  <c r="BH72" i="39" s="1"/>
  <c r="BI112" i="39"/>
  <c r="BI72" i="39" s="1"/>
  <c r="BF114" i="39"/>
  <c r="BG114" i="39"/>
  <c r="BF6" i="41"/>
  <c r="BG6" i="41"/>
  <c r="BG35" i="41" s="1"/>
  <c r="BH6" i="41"/>
  <c r="BH35" i="41" s="1"/>
  <c r="BI6" i="41"/>
  <c r="BI49" i="41" s="1"/>
  <c r="BF16" i="41"/>
  <c r="BG16" i="41"/>
  <c r="BH16" i="41"/>
  <c r="BI16" i="41"/>
  <c r="BF25" i="41"/>
  <c r="BG25" i="41" s="1"/>
  <c r="BF35" i="41"/>
  <c r="BF46" i="41"/>
  <c r="BG46" i="41"/>
  <c r="BH46" i="41"/>
  <c r="BI46" i="41"/>
  <c r="BF49" i="41"/>
  <c r="BF54" i="41"/>
  <c r="BF62" i="41"/>
  <c r="BF69" i="41"/>
  <c r="BF68" i="41" s="1"/>
  <c r="BG69" i="41"/>
  <c r="BH69" i="41"/>
  <c r="BI69" i="41"/>
  <c r="BF72" i="41"/>
  <c r="BI72" i="41"/>
  <c r="BF83" i="41"/>
  <c r="BF44" i="41" s="1"/>
  <c r="BG83" i="41"/>
  <c r="BG44" i="41" s="1"/>
  <c r="BH83" i="41"/>
  <c r="BH44" i="41" s="1"/>
  <c r="BF85" i="41"/>
  <c r="BF90" i="41"/>
  <c r="BF91" i="41" s="1"/>
  <c r="BF96" i="41"/>
  <c r="BF45" i="41" s="1"/>
  <c r="BG96" i="41"/>
  <c r="BG45" i="41" s="1"/>
  <c r="BH96" i="41"/>
  <c r="BH45" i="41" s="1"/>
  <c r="BI96" i="41"/>
  <c r="BI45" i="41" s="1"/>
  <c r="I45" i="41" s="1"/>
  <c r="BF97" i="41"/>
  <c r="BF40" i="41" s="1"/>
  <c r="BF100" i="41"/>
  <c r="BG100" i="41"/>
  <c r="BH100" i="41"/>
  <c r="BI122" i="44"/>
  <c r="BH122" i="44"/>
  <c r="BG122" i="44"/>
  <c r="BF122" i="44"/>
  <c r="BI72" i="44"/>
  <c r="BH35" i="45" l="1"/>
  <c r="BG22" i="46"/>
  <c r="BF22" i="46"/>
  <c r="BG64" i="39"/>
  <c r="BG72" i="41"/>
  <c r="BG99" i="39"/>
  <c r="BI35" i="41"/>
  <c r="BI99" i="39"/>
  <c r="BH64" i="39"/>
  <c r="I42" i="43"/>
  <c r="BG23" i="48"/>
  <c r="BG85" i="41"/>
  <c r="BG49" i="41"/>
  <c r="BF49" i="46"/>
  <c r="BI66" i="46"/>
  <c r="BI76" i="39"/>
  <c r="BF63" i="46"/>
  <c r="BF46" i="48"/>
  <c r="BF31" i="48"/>
  <c r="BF40" i="48" s="1"/>
  <c r="BI23" i="39"/>
  <c r="BI100" i="41"/>
  <c r="BF93" i="41"/>
  <c r="I97" i="41"/>
  <c r="BE32" i="41"/>
  <c r="BE33" i="41"/>
  <c r="BI110" i="39"/>
  <c r="I72" i="44"/>
  <c r="J72" i="44" s="1"/>
  <c r="K72" i="44" s="1"/>
  <c r="L72" i="44" s="1"/>
  <c r="M72" i="44" s="1"/>
  <c r="N72" i="44" s="1"/>
  <c r="O72" i="44" s="1"/>
  <c r="P72" i="44" s="1"/>
  <c r="I112" i="39"/>
  <c r="I116" i="44"/>
  <c r="BI42" i="48"/>
  <c r="BI23" i="48"/>
  <c r="BI85" i="41"/>
  <c r="BH42" i="48"/>
  <c r="BH52" i="48"/>
  <c r="BG42" i="48"/>
  <c r="BF52" i="48"/>
  <c r="BH85" i="41"/>
  <c r="BH72" i="41"/>
  <c r="BF99" i="39"/>
  <c r="BH51" i="43"/>
  <c r="BH49" i="41"/>
  <c r="BG57" i="43"/>
  <c r="BG40" i="46" s="1"/>
  <c r="BF76" i="39"/>
  <c r="BF56" i="43"/>
  <c r="BG58" i="48"/>
  <c r="BG60" i="48" s="1"/>
  <c r="BG22" i="39"/>
  <c r="BF22" i="39"/>
  <c r="BF18" i="39"/>
  <c r="BF19" i="39"/>
  <c r="BF25" i="39"/>
  <c r="BF31" i="39" s="1"/>
  <c r="BH114" i="39"/>
  <c r="BI22" i="39"/>
  <c r="BI14" i="39"/>
  <c r="BH14" i="39"/>
  <c r="BG53" i="39"/>
  <c r="BH23" i="39"/>
  <c r="BF70" i="41"/>
  <c r="BG68" i="41"/>
  <c r="BF63" i="41"/>
  <c r="BF65" i="41"/>
  <c r="BG62" i="41"/>
  <c r="BF55" i="41"/>
  <c r="BF57" i="41"/>
  <c r="BH25" i="41"/>
  <c r="BG97" i="41"/>
  <c r="BG90" i="41"/>
  <c r="BF95" i="41"/>
  <c r="I95" i="41" s="1"/>
  <c r="I99" i="41" s="1"/>
  <c r="BD43" i="43"/>
  <c r="BF6" i="44"/>
  <c r="BF57" i="44" s="1"/>
  <c r="BG6" i="44"/>
  <c r="BG57" i="44" s="1"/>
  <c r="BH6" i="44"/>
  <c r="BH33" i="44" s="1"/>
  <c r="BI6" i="44"/>
  <c r="BI33" i="44" s="1"/>
  <c r="BF43" i="44"/>
  <c r="BG43" i="44"/>
  <c r="BH43" i="44"/>
  <c r="BI43" i="44"/>
  <c r="BF54" i="44"/>
  <c r="BF53" i="44" s="1"/>
  <c r="BG54" i="44"/>
  <c r="BH54" i="44"/>
  <c r="BI54" i="44"/>
  <c r="BF62" i="44"/>
  <c r="BH71" i="44"/>
  <c r="BF71" i="44"/>
  <c r="BF70" i="44" s="1"/>
  <c r="BG71" i="44"/>
  <c r="BI71" i="44"/>
  <c r="BF78" i="44"/>
  <c r="BF89" i="39" s="1"/>
  <c r="BG78" i="44"/>
  <c r="BH78" i="44"/>
  <c r="BI78" i="44"/>
  <c r="BF84" i="44"/>
  <c r="BG84" i="44"/>
  <c r="BH84" i="44"/>
  <c r="BF99" i="44"/>
  <c r="BF42" i="44" s="1"/>
  <c r="BG99" i="44"/>
  <c r="BG42" i="44" s="1"/>
  <c r="BH99" i="44"/>
  <c r="BH42" i="44" s="1"/>
  <c r="BI99" i="44"/>
  <c r="BF111" i="44"/>
  <c r="BF37" i="44" s="1"/>
  <c r="BF44" i="44"/>
  <c r="BG44" i="44"/>
  <c r="BH44" i="44"/>
  <c r="BI44" i="44"/>
  <c r="BF116" i="44"/>
  <c r="BG116" i="44"/>
  <c r="BI116" i="44"/>
  <c r="BF126" i="44"/>
  <c r="BG126" i="44" s="1"/>
  <c r="BH126" i="44"/>
  <c r="BI126" i="44" s="1"/>
  <c r="BF131" i="44"/>
  <c r="BG131" i="44" s="1"/>
  <c r="BH131" i="44"/>
  <c r="BI131" i="44" s="1"/>
  <c r="BF145" i="44"/>
  <c r="BG145" i="44"/>
  <c r="BH145" i="44"/>
  <c r="BI145" i="44"/>
  <c r="BH85" i="44" l="1"/>
  <c r="BH80" i="44"/>
  <c r="BG120" i="44"/>
  <c r="BG81" i="44"/>
  <c r="BG89" i="39"/>
  <c r="BG92" i="39" s="1"/>
  <c r="I71" i="44"/>
  <c r="BF92" i="39"/>
  <c r="BF90" i="39"/>
  <c r="BF80" i="44"/>
  <c r="BI35" i="45"/>
  <c r="BH22" i="46"/>
  <c r="BG33" i="44"/>
  <c r="BF33" i="44"/>
  <c r="BF118" i="44"/>
  <c r="BF101" i="44"/>
  <c r="BF133" i="44"/>
  <c r="BF168" i="44"/>
  <c r="BG43" i="46"/>
  <c r="BG63" i="46"/>
  <c r="BI51" i="43"/>
  <c r="I51" i="43" s="1"/>
  <c r="BG46" i="48"/>
  <c r="I50" i="48"/>
  <c r="BI55" i="48"/>
  <c r="BI50" i="48"/>
  <c r="BI73" i="39"/>
  <c r="I73" i="39" s="1"/>
  <c r="I110" i="39"/>
  <c r="I114" i="39" s="1"/>
  <c r="BI114" i="39"/>
  <c r="BI120" i="44"/>
  <c r="I78" i="44"/>
  <c r="BI42" i="44"/>
  <c r="BI83" i="41"/>
  <c r="BI44" i="41" s="1"/>
  <c r="I44" i="41" s="1"/>
  <c r="I99" i="44"/>
  <c r="I42" i="44" s="1"/>
  <c r="BF65" i="44"/>
  <c r="BG90" i="39"/>
  <c r="I44" i="44"/>
  <c r="BF63" i="44"/>
  <c r="BI101" i="44"/>
  <c r="BI57" i="44"/>
  <c r="BI118" i="44"/>
  <c r="BI88" i="44"/>
  <c r="BI168" i="44"/>
  <c r="BI133" i="44"/>
  <c r="BG133" i="44"/>
  <c r="BG118" i="44"/>
  <c r="BG101" i="44"/>
  <c r="BG168" i="44"/>
  <c r="BG88" i="44"/>
  <c r="BF88" i="44"/>
  <c r="BG55" i="43"/>
  <c r="BG56" i="43"/>
  <c r="BH57" i="43"/>
  <c r="BH40" i="46" s="1"/>
  <c r="BH58" i="48"/>
  <c r="BH60" i="48" s="1"/>
  <c r="BG16" i="39"/>
  <c r="BF37" i="39"/>
  <c r="BH53" i="39"/>
  <c r="BF52" i="39"/>
  <c r="BG54" i="41"/>
  <c r="BG91" i="41"/>
  <c r="BG93" i="41"/>
  <c r="BH90" i="41"/>
  <c r="BG40" i="41"/>
  <c r="BH97" i="41"/>
  <c r="BG63" i="41"/>
  <c r="BG65" i="41"/>
  <c r="BH62" i="41"/>
  <c r="BH89" i="39" s="1"/>
  <c r="BF39" i="41"/>
  <c r="BF99" i="41"/>
  <c r="BF87" i="41" s="1"/>
  <c r="I87" i="41" s="1"/>
  <c r="BG95" i="41"/>
  <c r="BI25" i="41"/>
  <c r="BG70" i="41"/>
  <c r="BH68" i="41"/>
  <c r="BG85" i="44"/>
  <c r="BI81" i="44"/>
  <c r="BG80" i="44"/>
  <c r="BI80" i="44"/>
  <c r="BF81" i="44"/>
  <c r="BF120" i="44"/>
  <c r="BH120" i="44"/>
  <c r="BH118" i="44"/>
  <c r="BH116" i="44"/>
  <c r="BH88" i="44"/>
  <c r="BH81" i="44"/>
  <c r="BF130" i="44"/>
  <c r="BG70" i="44"/>
  <c r="BH168" i="44"/>
  <c r="BF55" i="44"/>
  <c r="BG53" i="44"/>
  <c r="BH133" i="44"/>
  <c r="BH101" i="44"/>
  <c r="BH57" i="44"/>
  <c r="BG111" i="44"/>
  <c r="BG62" i="44"/>
  <c r="BF113" i="44"/>
  <c r="BF98" i="44"/>
  <c r="BG91" i="39" l="1"/>
  <c r="I120" i="44"/>
  <c r="BI22" i="46"/>
  <c r="I22" i="46" s="1"/>
  <c r="I35" i="45"/>
  <c r="BH63" i="46"/>
  <c r="BH43" i="46"/>
  <c r="BH46" i="48"/>
  <c r="BF27" i="48"/>
  <c r="BF82" i="41"/>
  <c r="BH90" i="39"/>
  <c r="BH91" i="39"/>
  <c r="BH92" i="39"/>
  <c r="BI57" i="43"/>
  <c r="BI40" i="46" s="1"/>
  <c r="I40" i="46" s="1"/>
  <c r="I43" i="46" s="1"/>
  <c r="BH55" i="43"/>
  <c r="BH56" i="43"/>
  <c r="BF39" i="39"/>
  <c r="BF40" i="39"/>
  <c r="BH16" i="39"/>
  <c r="BI16" i="39"/>
  <c r="BI53" i="39"/>
  <c r="BF54" i="39"/>
  <c r="BF55" i="39"/>
  <c r="BG18" i="39"/>
  <c r="BG19" i="39"/>
  <c r="BG25" i="39"/>
  <c r="BG39" i="41"/>
  <c r="BG99" i="41"/>
  <c r="BG87" i="41" s="1"/>
  <c r="BH95" i="41"/>
  <c r="BI90" i="41"/>
  <c r="BH91" i="41"/>
  <c r="BH93" i="41"/>
  <c r="BI97" i="41"/>
  <c r="BI40" i="41" s="1"/>
  <c r="I40" i="41" s="1"/>
  <c r="BH40" i="41"/>
  <c r="BG55" i="41"/>
  <c r="BG57" i="41"/>
  <c r="BH54" i="41"/>
  <c r="BF10" i="41"/>
  <c r="BF88" i="41"/>
  <c r="BH70" i="41"/>
  <c r="BI68" i="41"/>
  <c r="BI62" i="41"/>
  <c r="BI89" i="39" s="1"/>
  <c r="BH63" i="41"/>
  <c r="BH65" i="41"/>
  <c r="BG130" i="44"/>
  <c r="BH70" i="44"/>
  <c r="BG63" i="44"/>
  <c r="BG65" i="44"/>
  <c r="BH62" i="44"/>
  <c r="BF36" i="44"/>
  <c r="BG98" i="44"/>
  <c r="BG55" i="44"/>
  <c r="BH53" i="44"/>
  <c r="BF38" i="44"/>
  <c r="BF115" i="44"/>
  <c r="BG113" i="44"/>
  <c r="BG115" i="44" s="1"/>
  <c r="BG37" i="44"/>
  <c r="BH111" i="44"/>
  <c r="BI63" i="46" l="1"/>
  <c r="I63" i="46" s="1"/>
  <c r="BI43" i="46"/>
  <c r="I57" i="43"/>
  <c r="BI58" i="48"/>
  <c r="BI60" i="48" s="1"/>
  <c r="BG31" i="48"/>
  <c r="BG40" i="48" s="1"/>
  <c r="I16" i="39"/>
  <c r="I25" i="39" s="1"/>
  <c r="BF38" i="41"/>
  <c r="I82" i="41"/>
  <c r="BG82" i="41"/>
  <c r="BG38" i="41" s="1"/>
  <c r="BI91" i="39"/>
  <c r="I89" i="39"/>
  <c r="I62" i="41"/>
  <c r="BI46" i="48"/>
  <c r="BI55" i="43"/>
  <c r="BI56" i="43"/>
  <c r="BI18" i="39"/>
  <c r="BI19" i="39"/>
  <c r="BI25" i="39"/>
  <c r="BI52" i="39" s="1"/>
  <c r="BG31" i="39"/>
  <c r="BG37" i="39"/>
  <c r="BG52" i="39"/>
  <c r="BH18" i="39"/>
  <c r="BH19" i="39"/>
  <c r="BH25" i="39"/>
  <c r="BG10" i="41"/>
  <c r="BG88" i="41"/>
  <c r="BI70" i="41"/>
  <c r="BI95" i="41"/>
  <c r="BH39" i="41"/>
  <c r="BH99" i="41"/>
  <c r="BH87" i="41" s="1"/>
  <c r="BI63" i="41"/>
  <c r="BI65" i="41"/>
  <c r="BI93" i="41"/>
  <c r="BI91" i="41"/>
  <c r="BH55" i="41"/>
  <c r="BH57" i="41"/>
  <c r="BI54" i="41"/>
  <c r="BI62" i="44"/>
  <c r="BH65" i="44"/>
  <c r="BH63" i="44"/>
  <c r="BI70" i="44"/>
  <c r="BH130" i="44"/>
  <c r="BG38" i="44"/>
  <c r="BH113" i="44"/>
  <c r="BG36" i="44"/>
  <c r="BH98" i="44"/>
  <c r="BI111" i="44"/>
  <c r="I111" i="44" s="1"/>
  <c r="BH37" i="44"/>
  <c r="BI53" i="44"/>
  <c r="BH55" i="44"/>
  <c r="I55" i="43" l="1"/>
  <c r="I56" i="43"/>
  <c r="BG27" i="48"/>
  <c r="I58" i="48"/>
  <c r="I60" i="48" s="1"/>
  <c r="BH82" i="41"/>
  <c r="BH38" i="41" s="1"/>
  <c r="BI130" i="44"/>
  <c r="I130" i="44" s="1"/>
  <c r="I70" i="44"/>
  <c r="BH31" i="39"/>
  <c r="BH37" i="39"/>
  <c r="BH52" i="39"/>
  <c r="BI54" i="39" s="1"/>
  <c r="BG39" i="39"/>
  <c r="BG40" i="39"/>
  <c r="BI55" i="39"/>
  <c r="BI31" i="39"/>
  <c r="BI37" i="39"/>
  <c r="BG54" i="39"/>
  <c r="BG55" i="39"/>
  <c r="BI55" i="41"/>
  <c r="BI57" i="41"/>
  <c r="BH10" i="41"/>
  <c r="BH88" i="41"/>
  <c r="BI99" i="41"/>
  <c r="BI87" i="41" s="1"/>
  <c r="BI39" i="41"/>
  <c r="I39" i="41" s="1"/>
  <c r="BI37" i="44"/>
  <c r="I37" i="44" s="1"/>
  <c r="BI113" i="44"/>
  <c r="BH38" i="44"/>
  <c r="BI55" i="44"/>
  <c r="BI63" i="44"/>
  <c r="BI65" i="44"/>
  <c r="BH115" i="44"/>
  <c r="BI98" i="44"/>
  <c r="BH36" i="44"/>
  <c r="I46" i="48" l="1"/>
  <c r="BH27" i="48"/>
  <c r="BH31" i="48"/>
  <c r="BH40" i="48" s="1"/>
  <c r="BI36" i="44"/>
  <c r="I36" i="44" s="1"/>
  <c r="I98" i="44"/>
  <c r="BI82" i="41"/>
  <c r="BI38" i="41" s="1"/>
  <c r="I38" i="41" s="1"/>
  <c r="I52" i="39"/>
  <c r="BI38" i="44"/>
  <c r="I38" i="44" s="1"/>
  <c r="I113" i="44"/>
  <c r="I115" i="44" s="1"/>
  <c r="I37" i="39"/>
  <c r="BH54" i="39"/>
  <c r="BH55" i="39"/>
  <c r="BH39" i="39"/>
  <c r="BH40" i="39"/>
  <c r="BI39" i="39"/>
  <c r="BI40" i="39"/>
  <c r="BI88" i="41"/>
  <c r="BI10" i="41"/>
  <c r="I10" i="41" s="1"/>
  <c r="BI115" i="44"/>
  <c r="BI31" i="48" l="1"/>
  <c r="BI40" i="48" s="1"/>
  <c r="I38" i="39"/>
  <c r="J38" i="39" s="1"/>
  <c r="K38" i="39" s="1"/>
  <c r="L38" i="39" s="1"/>
  <c r="M38" i="39" s="1"/>
  <c r="N38" i="39" s="1"/>
  <c r="O38" i="39" s="1"/>
  <c r="P38" i="39" s="1"/>
  <c r="I53" i="39"/>
  <c r="I31" i="48" l="1"/>
  <c r="I40" i="48" s="1"/>
  <c r="BI27" i="48"/>
  <c r="I27" i="48" l="1"/>
  <c r="BD69" i="45"/>
  <c r="BD63" i="45"/>
  <c r="BD56" i="45"/>
  <c r="BD55" i="45"/>
  <c r="BD47" i="45"/>
  <c r="BD31" i="45"/>
  <c r="BD38" i="45" s="1"/>
  <c r="BD14" i="45"/>
  <c r="BD27" i="46"/>
  <c r="BD33" i="46" s="1"/>
  <c r="BD23" i="46"/>
  <c r="BD25" i="46" s="1"/>
  <c r="BD21" i="43"/>
  <c r="BD24" i="43" s="1"/>
  <c r="BD51" i="46" s="1"/>
  <c r="BD46" i="43"/>
  <c r="BD54" i="46" s="1"/>
  <c r="BD72" i="46"/>
  <c r="BD74" i="46" s="1"/>
  <c r="BD63" i="46"/>
  <c r="BD56" i="46"/>
  <c r="BD55" i="46"/>
  <c r="BD53" i="46"/>
  <c r="BD43" i="46"/>
  <c r="BD33" i="43"/>
  <c r="BD64" i="43"/>
  <c r="BD56" i="43"/>
  <c r="BD34" i="43"/>
  <c r="BD30" i="43"/>
  <c r="BD28" i="43"/>
  <c r="BD18" i="43"/>
  <c r="BD16" i="43"/>
  <c r="BD14" i="43"/>
  <c r="BD10" i="43"/>
  <c r="BD8" i="43"/>
  <c r="BD46" i="48"/>
  <c r="BD58" i="48"/>
  <c r="BD29" i="43"/>
  <c r="BD17" i="43"/>
  <c r="BD112" i="39"/>
  <c r="BD111" i="39"/>
  <c r="BD97" i="39"/>
  <c r="BD96" i="39"/>
  <c r="BD87" i="39"/>
  <c r="BD86" i="39"/>
  <c r="BD94" i="39" s="1"/>
  <c r="BD89" i="39" s="1"/>
  <c r="BD78" i="39"/>
  <c r="BD101" i="39" s="1"/>
  <c r="BD73" i="39"/>
  <c r="BD110" i="39" s="1"/>
  <c r="BD68" i="39"/>
  <c r="BD109" i="39" s="1"/>
  <c r="BD49" i="39"/>
  <c r="BD34" i="39"/>
  <c r="BD37" i="39" s="1"/>
  <c r="BD29" i="39"/>
  <c r="BD28" i="39"/>
  <c r="BD25" i="39"/>
  <c r="BD23" i="39"/>
  <c r="BD22" i="39"/>
  <c r="BD21" i="39"/>
  <c r="BD19" i="39"/>
  <c r="BD18" i="39"/>
  <c r="BD17" i="39"/>
  <c r="BD15" i="39"/>
  <c r="BD14" i="39"/>
  <c r="BD13" i="39"/>
  <c r="BD10" i="39"/>
  <c r="BD30" i="39" s="1"/>
  <c r="BD45" i="41"/>
  <c r="BD96" i="41" s="1"/>
  <c r="BC45" i="41"/>
  <c r="BB45" i="41"/>
  <c r="BC46" i="41"/>
  <c r="BD46" i="41" s="1"/>
  <c r="BB46" i="41"/>
  <c r="BD39" i="41"/>
  <c r="BC39" i="41"/>
  <c r="BB39" i="41"/>
  <c r="BC40" i="41"/>
  <c r="BD40" i="41" s="1"/>
  <c r="BB40" i="41"/>
  <c r="BD8" i="41"/>
  <c r="BD95" i="41"/>
  <c r="BD83" i="41"/>
  <c r="BD82" i="41"/>
  <c r="BD70" i="41"/>
  <c r="BD69" i="41"/>
  <c r="BD60" i="41"/>
  <c r="BD59" i="41"/>
  <c r="BD27" i="41"/>
  <c r="BD26" i="41"/>
  <c r="BD18" i="41"/>
  <c r="BD17" i="41"/>
  <c r="BD10" i="41"/>
  <c r="BD9" i="41"/>
  <c r="BD74" i="41" s="1"/>
  <c r="BD127" i="44"/>
  <c r="BD125" i="44" s="1"/>
  <c r="BD177" i="44"/>
  <c r="BD178" i="44" s="1"/>
  <c r="BD174" i="44"/>
  <c r="BD175" i="44" s="1"/>
  <c r="BD163" i="44"/>
  <c r="BD145" i="44"/>
  <c r="BD131" i="44"/>
  <c r="BD130" i="44"/>
  <c r="BD164" i="44" s="1"/>
  <c r="BD135" i="44"/>
  <c r="BD137" i="44" s="1"/>
  <c r="BD126" i="44"/>
  <c r="BD121" i="44"/>
  <c r="BD114" i="44"/>
  <c r="BD113" i="44"/>
  <c r="BD112" i="44"/>
  <c r="BD111" i="44"/>
  <c r="BD99" i="44"/>
  <c r="BD98" i="44"/>
  <c r="BD86" i="44"/>
  <c r="BD85" i="44"/>
  <c r="BD74" i="44"/>
  <c r="BD76" i="44" s="1"/>
  <c r="BD71" i="44"/>
  <c r="BD68" i="44"/>
  <c r="BD67" i="44"/>
  <c r="BD140" i="44" s="1"/>
  <c r="BD65" i="44"/>
  <c r="BD64" i="44"/>
  <c r="BD63" i="44"/>
  <c r="BD59" i="44"/>
  <c r="BD60" i="44" s="1"/>
  <c r="BD55" i="44"/>
  <c r="BD54" i="44"/>
  <c r="BD45" i="44"/>
  <c r="BD39" i="44"/>
  <c r="BD52" i="44" s="1"/>
  <c r="BD25" i="44"/>
  <c r="BD24" i="44"/>
  <c r="BD16" i="44"/>
  <c r="BD15" i="44"/>
  <c r="BD10" i="44"/>
  <c r="BD18" i="44" s="1"/>
  <c r="X23" i="47"/>
  <c r="AD52" i="47"/>
  <c r="W8" i="47" s="1"/>
  <c r="BD89" i="46" l="1"/>
  <c r="U10" i="47" s="1"/>
  <c r="BD27" i="48"/>
  <c r="BD50" i="48"/>
  <c r="BD60" i="48"/>
  <c r="BD31" i="48"/>
  <c r="BD40" i="48" s="1"/>
  <c r="BD9" i="43"/>
  <c r="BD12" i="43" s="1"/>
  <c r="BD81" i="39"/>
  <c r="BD49" i="45"/>
  <c r="BD70" i="45"/>
  <c r="BD91" i="46"/>
  <c r="U11" i="47" s="1"/>
  <c r="BD45" i="46"/>
  <c r="BD59" i="46"/>
  <c r="U12" i="47" s="1"/>
  <c r="BD52" i="46"/>
  <c r="BD36" i="43"/>
  <c r="BD25" i="43"/>
  <c r="BD22" i="43"/>
  <c r="BD20" i="43"/>
  <c r="BD32" i="43"/>
  <c r="BF32" i="43" s="1"/>
  <c r="BD14" i="48"/>
  <c r="U57" i="47" s="1"/>
  <c r="BD20" i="48"/>
  <c r="BD114" i="39"/>
  <c r="BD113" i="39"/>
  <c r="BD38" i="39"/>
  <c r="BD35" i="39"/>
  <c r="BD27" i="39"/>
  <c r="BD45" i="39" s="1"/>
  <c r="BD50" i="39"/>
  <c r="BD104" i="39"/>
  <c r="BD92" i="39"/>
  <c r="BD91" i="39"/>
  <c r="BD90" i="39"/>
  <c r="BD31" i="39"/>
  <c r="BD52" i="39"/>
  <c r="BD98" i="41"/>
  <c r="BD100" i="41" s="1"/>
  <c r="BD47" i="41"/>
  <c r="BD97" i="41"/>
  <c r="BD41" i="41"/>
  <c r="BD99" i="41"/>
  <c r="BD75" i="41"/>
  <c r="BD51" i="41"/>
  <c r="BD12" i="41"/>
  <c r="BD87" i="41"/>
  <c r="BD116" i="44"/>
  <c r="BD115" i="44"/>
  <c r="BD47" i="44"/>
  <c r="BD50" i="44" s="1"/>
  <c r="BD172" i="44"/>
  <c r="BD170" i="44" s="1"/>
  <c r="BD171" i="44" s="1"/>
  <c r="BD155" i="44"/>
  <c r="BD152" i="44"/>
  <c r="BD154" i="44" s="1"/>
  <c r="BD144" i="44"/>
  <c r="BD19" i="44"/>
  <c r="BD29" i="44"/>
  <c r="BD20" i="44"/>
  <c r="BD11" i="44"/>
  <c r="BD139" i="44"/>
  <c r="BD14" i="44"/>
  <c r="BD83" i="44"/>
  <c r="BD78" i="44" s="1"/>
  <c r="BD23" i="44"/>
  <c r="BD162" i="44"/>
  <c r="Y57" i="47"/>
  <c r="W57" i="47"/>
  <c r="N5" i="47"/>
  <c r="O5" i="47"/>
  <c r="N6" i="47"/>
  <c r="O6" i="47"/>
  <c r="N7" i="47"/>
  <c r="O7" i="47"/>
  <c r="N8" i="47"/>
  <c r="O8" i="47"/>
  <c r="N9" i="47"/>
  <c r="O9" i="47"/>
  <c r="N14" i="47"/>
  <c r="R15" i="47" s="1"/>
  <c r="O14" i="47"/>
  <c r="S15" i="47" s="1"/>
  <c r="N16" i="47"/>
  <c r="R17" i="47" s="1"/>
  <c r="O16" i="47"/>
  <c r="S17" i="47" s="1"/>
  <c r="N18" i="47"/>
  <c r="O18" i="47"/>
  <c r="N19" i="47"/>
  <c r="O19" i="47"/>
  <c r="N20" i="47"/>
  <c r="O20" i="47"/>
  <c r="N21" i="47"/>
  <c r="O21" i="47"/>
  <c r="N22" i="47"/>
  <c r="O22" i="47"/>
  <c r="N23" i="47"/>
  <c r="O23" i="47"/>
  <c r="N24" i="47"/>
  <c r="O24" i="47"/>
  <c r="N25" i="47"/>
  <c r="O25" i="47"/>
  <c r="N26" i="47"/>
  <c r="O26" i="47"/>
  <c r="R29" i="47"/>
  <c r="S29" i="47"/>
  <c r="N39" i="47"/>
  <c r="R40" i="47" s="1"/>
  <c r="O39" i="47"/>
  <c r="S40" i="47" s="1"/>
  <c r="N41" i="47"/>
  <c r="O41" i="47"/>
  <c r="N42" i="47"/>
  <c r="O42" i="47"/>
  <c r="N44" i="47"/>
  <c r="R45" i="47" s="1"/>
  <c r="O44" i="47"/>
  <c r="S45" i="47" s="1"/>
  <c r="N46" i="47"/>
  <c r="O46" i="47"/>
  <c r="N47" i="47"/>
  <c r="O47" i="47"/>
  <c r="BG32" i="43" l="1"/>
  <c r="BH32" i="43" s="1"/>
  <c r="BI32" i="43" s="1"/>
  <c r="BF12" i="43"/>
  <c r="BD60" i="46"/>
  <c r="BD57" i="46"/>
  <c r="BD64" i="46"/>
  <c r="BD44" i="43"/>
  <c r="BD38" i="43"/>
  <c r="BD37" i="43"/>
  <c r="BD58" i="39"/>
  <c r="BD32" i="39"/>
  <c r="BD43" i="39"/>
  <c r="BD47" i="39"/>
  <c r="BD46" i="39"/>
  <c r="BD60" i="39"/>
  <c r="BD53" i="39"/>
  <c r="BD52" i="41"/>
  <c r="BD88" i="41"/>
  <c r="BD16" i="41"/>
  <c r="BD20" i="41"/>
  <c r="BD13" i="41"/>
  <c r="BD25" i="41"/>
  <c r="BD48" i="44"/>
  <c r="BD49" i="44"/>
  <c r="BD81" i="44"/>
  <c r="BD120" i="44"/>
  <c r="BD123" i="44" s="1"/>
  <c r="BD124" i="44" s="1"/>
  <c r="BD80" i="44"/>
  <c r="BD79" i="44"/>
  <c r="BD31" i="44"/>
  <c r="BD30" i="44"/>
  <c r="BD157" i="44"/>
  <c r="BD159" i="44" s="1"/>
  <c r="BD146" i="44"/>
  <c r="BD148" i="44" s="1"/>
  <c r="I32" i="43" l="1"/>
  <c r="BG12" i="43"/>
  <c r="BH12" i="43" s="1"/>
  <c r="BI12" i="43" s="1"/>
  <c r="BD49" i="43"/>
  <c r="BD53" i="43" s="1"/>
  <c r="BD60" i="43" s="1"/>
  <c r="BD61" i="43" s="1"/>
  <c r="BD47" i="43"/>
  <c r="BD62" i="39"/>
  <c r="BD61" i="39"/>
  <c r="BD21" i="41"/>
  <c r="BD22" i="41"/>
  <c r="BD31" i="41"/>
  <c r="I12" i="43" l="1"/>
  <c r="BD33" i="41"/>
  <c r="BD32" i="41"/>
  <c r="BC29" i="43" l="1"/>
  <c r="BB29" i="43"/>
  <c r="BA29" i="43"/>
  <c r="AZ29" i="43"/>
  <c r="AY29" i="43"/>
  <c r="AX29" i="43"/>
  <c r="AW29" i="43"/>
  <c r="AV29" i="43"/>
  <c r="AU29" i="43"/>
  <c r="AT29" i="43"/>
  <c r="AS29" i="43"/>
  <c r="AR29" i="43"/>
  <c r="AQ29" i="43"/>
  <c r="AP29" i="43"/>
  <c r="AO29" i="43"/>
  <c r="AN29" i="43"/>
  <c r="AM29" i="43"/>
  <c r="AL29" i="43"/>
  <c r="G29" i="43"/>
  <c r="F29" i="43"/>
  <c r="E29" i="43"/>
  <c r="D29" i="43"/>
  <c r="BC17" i="43"/>
  <c r="BB17" i="43"/>
  <c r="BA17" i="43"/>
  <c r="AZ17" i="43"/>
  <c r="AY17" i="43"/>
  <c r="AX17" i="43"/>
  <c r="AW17" i="43"/>
  <c r="AV17" i="43"/>
  <c r="AU17" i="43"/>
  <c r="AT17" i="43"/>
  <c r="AS17" i="43"/>
  <c r="AR17" i="43"/>
  <c r="AQ17" i="43"/>
  <c r="AP17" i="43"/>
  <c r="AO17" i="43"/>
  <c r="AN17" i="43"/>
  <c r="AM17" i="43"/>
  <c r="AL17" i="43"/>
  <c r="E17" i="43"/>
  <c r="F17" i="43"/>
  <c r="G17" i="43"/>
  <c r="D17" i="43"/>
  <c r="BD55" i="48"/>
  <c r="BD56" i="48"/>
  <c r="Z50" i="48"/>
  <c r="T50" i="48"/>
  <c r="BC58" i="48"/>
  <c r="BB58" i="48"/>
  <c r="BA58" i="48"/>
  <c r="AZ58" i="48"/>
  <c r="AY58" i="48"/>
  <c r="AX58" i="48"/>
  <c r="AW58" i="48"/>
  <c r="AV58" i="48"/>
  <c r="AU58" i="48"/>
  <c r="AT58" i="48"/>
  <c r="AS58" i="48"/>
  <c r="AR58" i="48"/>
  <c r="AQ58" i="48"/>
  <c r="AP58" i="48"/>
  <c r="AO58" i="48"/>
  <c r="G58" i="48"/>
  <c r="F58" i="48"/>
  <c r="E58" i="48"/>
  <c r="D58" i="48"/>
  <c r="AS52" i="48"/>
  <c r="AR52" i="48"/>
  <c r="AQ52" i="48"/>
  <c r="E27" i="48"/>
  <c r="D27" i="48"/>
  <c r="BD21" i="48"/>
  <c r="O56" i="47"/>
  <c r="N56" i="47"/>
  <c r="M56" i="47"/>
  <c r="L56" i="47"/>
  <c r="K56" i="47"/>
  <c r="J56" i="47"/>
  <c r="I56" i="47"/>
  <c r="H56" i="47"/>
  <c r="G56" i="47"/>
  <c r="F56" i="47"/>
  <c r="E56" i="47"/>
  <c r="AZ9" i="43"/>
  <c r="O54" i="47"/>
  <c r="S55" i="47" s="1"/>
  <c r="N54" i="47"/>
  <c r="R55" i="47" s="1"/>
  <c r="M54" i="47"/>
  <c r="Q55" i="47" s="1"/>
  <c r="L54" i="47"/>
  <c r="P55" i="47" s="1"/>
  <c r="K54" i="47"/>
  <c r="J54" i="47"/>
  <c r="I54" i="47"/>
  <c r="H54" i="47"/>
  <c r="G54" i="47"/>
  <c r="F54" i="47"/>
  <c r="E54" i="47"/>
  <c r="AM9" i="43"/>
  <c r="AL9" i="43"/>
  <c r="G9" i="43"/>
  <c r="F9" i="43"/>
  <c r="E9" i="43"/>
  <c r="D9" i="43"/>
  <c r="AS42" i="48"/>
  <c r="AR42" i="48"/>
  <c r="AQ42" i="48"/>
  <c r="AP42" i="48"/>
  <c r="BE6" i="48"/>
  <c r="BD6" i="48"/>
  <c r="BC6" i="48"/>
  <c r="BC23" i="48" s="1"/>
  <c r="BB6" i="48"/>
  <c r="BB23" i="48" s="1"/>
  <c r="BA6" i="48"/>
  <c r="AZ6" i="48"/>
  <c r="AY6" i="48"/>
  <c r="AX6" i="48"/>
  <c r="AW6" i="48"/>
  <c r="AV6" i="48"/>
  <c r="AU6" i="48"/>
  <c r="AU23" i="48" s="1"/>
  <c r="AT6" i="48"/>
  <c r="AS6" i="48"/>
  <c r="AS23" i="48" s="1"/>
  <c r="AR6" i="48"/>
  <c r="AR23" i="48" s="1"/>
  <c r="AQ6" i="48"/>
  <c r="AQ23" i="48" s="1"/>
  <c r="AP6" i="48"/>
  <c r="AP23" i="48" s="1"/>
  <c r="P6" i="48"/>
  <c r="O6" i="48"/>
  <c r="N6" i="48"/>
  <c r="M6" i="48"/>
  <c r="L6" i="48"/>
  <c r="K6" i="48"/>
  <c r="J6" i="48"/>
  <c r="I6" i="48"/>
  <c r="H6" i="48"/>
  <c r="G6" i="48"/>
  <c r="F6" i="48"/>
  <c r="E6" i="48"/>
  <c r="D6" i="48"/>
  <c r="BG70" i="45" l="1"/>
  <c r="I52" i="48"/>
  <c r="I42" i="48"/>
  <c r="I23" i="48"/>
  <c r="BE52" i="48"/>
  <c r="BE42" i="48"/>
  <c r="BE23" i="48"/>
  <c r="BB56" i="48"/>
  <c r="AX56" i="48"/>
  <c r="AT56" i="48"/>
  <c r="AT60" i="48"/>
  <c r="T31" i="48"/>
  <c r="T40" i="48" s="1"/>
  <c r="V31" i="48"/>
  <c r="V40" i="48" s="1"/>
  <c r="AL31" i="48"/>
  <c r="AL40" i="48" s="1"/>
  <c r="AU60" i="48"/>
  <c r="AS55" i="48"/>
  <c r="U31" i="48"/>
  <c r="U40" i="48" s="1"/>
  <c r="Y31" i="48"/>
  <c r="Y40" i="48" s="1"/>
  <c r="AC31" i="48"/>
  <c r="AC40" i="48" s="1"/>
  <c r="AG31" i="48"/>
  <c r="AG40" i="48" s="1"/>
  <c r="AK31" i="48"/>
  <c r="AK40" i="48" s="1"/>
  <c r="AO31" i="48"/>
  <c r="AT9" i="43"/>
  <c r="AP9" i="43"/>
  <c r="J55" i="47"/>
  <c r="N55" i="47"/>
  <c r="AS56" i="48"/>
  <c r="AX9" i="43"/>
  <c r="BB9" i="43"/>
  <c r="L55" i="47"/>
  <c r="AY27" i="48"/>
  <c r="BC27" i="48"/>
  <c r="AN9" i="43"/>
  <c r="AR9" i="43"/>
  <c r="AV9" i="43"/>
  <c r="I55" i="47"/>
  <c r="M55" i="47"/>
  <c r="BD9" i="48"/>
  <c r="AO9" i="43"/>
  <c r="AS9" i="43"/>
  <c r="AW9" i="43"/>
  <c r="BA9" i="43"/>
  <c r="K55" i="47"/>
  <c r="O55" i="47"/>
  <c r="BD15" i="48"/>
  <c r="AQ9" i="43"/>
  <c r="AU9" i="43"/>
  <c r="AY9" i="43"/>
  <c r="BC9" i="43"/>
  <c r="BD42" i="48"/>
  <c r="BD23" i="48"/>
  <c r="BD52" i="48"/>
  <c r="AR55" i="48"/>
  <c r="AZ55" i="48"/>
  <c r="AX55" i="48"/>
  <c r="AW20" i="48"/>
  <c r="BA21" i="48"/>
  <c r="AV56" i="48"/>
  <c r="AZ56" i="48"/>
  <c r="AV55" i="48"/>
  <c r="AG50" i="48"/>
  <c r="AO50" i="48"/>
  <c r="AZ60" i="48"/>
  <c r="AQ46" i="48"/>
  <c r="AY46" i="48"/>
  <c r="AO60" i="48"/>
  <c r="AX27" i="48"/>
  <c r="BB27" i="48"/>
  <c r="X31" i="48"/>
  <c r="X40" i="48" s="1"/>
  <c r="AB31" i="48"/>
  <c r="AB40" i="48" s="1"/>
  <c r="AF31" i="48"/>
  <c r="AF40" i="48" s="1"/>
  <c r="AJ31" i="48"/>
  <c r="AJ40" i="48" s="1"/>
  <c r="AN31" i="48"/>
  <c r="AN40" i="48" s="1"/>
  <c r="AV31" i="48"/>
  <c r="AV40" i="48" s="1"/>
  <c r="AU46" i="48"/>
  <c r="BC46" i="48"/>
  <c r="AP60" i="48"/>
  <c r="AT46" i="48"/>
  <c r="AX60" i="48"/>
  <c r="BB60" i="48"/>
  <c r="X50" i="48"/>
  <c r="AB50" i="48"/>
  <c r="AF50" i="48"/>
  <c r="AJ50" i="48"/>
  <c r="AN50" i="48"/>
  <c r="U50" i="48"/>
  <c r="Y50" i="48"/>
  <c r="AC50" i="48"/>
  <c r="AK50" i="48"/>
  <c r="AW50" i="48"/>
  <c r="AP55" i="48"/>
  <c r="AT55" i="48"/>
  <c r="AW56" i="48"/>
  <c r="BA56" i="48"/>
  <c r="AP46" i="48"/>
  <c r="AX46" i="48"/>
  <c r="AW55" i="48"/>
  <c r="BB55" i="48"/>
  <c r="AS60" i="48"/>
  <c r="BB46" i="48"/>
  <c r="BA60" i="48"/>
  <c r="BA55" i="48"/>
  <c r="AW60" i="48"/>
  <c r="AO46" i="48"/>
  <c r="AS46" i="48"/>
  <c r="AW46" i="48"/>
  <c r="BA46" i="48"/>
  <c r="AR60" i="48"/>
  <c r="AV60" i="48"/>
  <c r="AQ55" i="48"/>
  <c r="AU56" i="48"/>
  <c r="AY56" i="48"/>
  <c r="BC56" i="48"/>
  <c r="AU55" i="48"/>
  <c r="AY55" i="48"/>
  <c r="BC55" i="48"/>
  <c r="AY60" i="48"/>
  <c r="AQ60" i="48"/>
  <c r="BC60" i="48"/>
  <c r="BA14" i="48"/>
  <c r="R57" i="47" s="1"/>
  <c r="AW27" i="48"/>
  <c r="BA27" i="48"/>
  <c r="R31" i="48"/>
  <c r="R40" i="48" s="1"/>
  <c r="Z31" i="48"/>
  <c r="Z40" i="48" s="1"/>
  <c r="AD31" i="48"/>
  <c r="AD40" i="48" s="1"/>
  <c r="AH31" i="48"/>
  <c r="AH40" i="48" s="1"/>
  <c r="R50" i="48"/>
  <c r="V50" i="48"/>
  <c r="AD50" i="48"/>
  <c r="AH50" i="48"/>
  <c r="AL50" i="48"/>
  <c r="G46" i="48"/>
  <c r="AR46" i="48"/>
  <c r="AV46" i="48"/>
  <c r="AZ46" i="48"/>
  <c r="AO40" i="48"/>
  <c r="AV27" i="48"/>
  <c r="S50" i="48"/>
  <c r="W50" i="48"/>
  <c r="AA50" i="48"/>
  <c r="AE50" i="48"/>
  <c r="AI50" i="48"/>
  <c r="AM50" i="48"/>
  <c r="S31" i="48"/>
  <c r="S40" i="48" s="1"/>
  <c r="W31" i="48"/>
  <c r="W40" i="48" s="1"/>
  <c r="AA31" i="48"/>
  <c r="AA40" i="48" s="1"/>
  <c r="AE31" i="48"/>
  <c r="AE40" i="48" s="1"/>
  <c r="AI31" i="48"/>
  <c r="AI40" i="48" s="1"/>
  <c r="AM31" i="48"/>
  <c r="AM40" i="48" s="1"/>
  <c r="AU31" i="48"/>
  <c r="AU40" i="48" s="1"/>
  <c r="BC31" i="48"/>
  <c r="BC40" i="48" s="1"/>
  <c r="AZ31" i="48"/>
  <c r="AZ40" i="48" s="1"/>
  <c r="BA31" i="48"/>
  <c r="BA40" i="48" s="1"/>
  <c r="AZ27" i="48"/>
  <c r="D31" i="48"/>
  <c r="AW31" i="48"/>
  <c r="AW40" i="48" s="1"/>
  <c r="AY31" i="48"/>
  <c r="AY40" i="48" s="1"/>
  <c r="D46" i="48"/>
  <c r="AN46" i="48"/>
  <c r="AQ50" i="48"/>
  <c r="AU50" i="48"/>
  <c r="AY50" i="48"/>
  <c r="BC50" i="48"/>
  <c r="G27" i="48"/>
  <c r="E46" i="48"/>
  <c r="AR50" i="48"/>
  <c r="AV50" i="48"/>
  <c r="AZ50" i="48"/>
  <c r="F27" i="48"/>
  <c r="AP50" i="48"/>
  <c r="AT50" i="48"/>
  <c r="AX50" i="48"/>
  <c r="BB50" i="48"/>
  <c r="G60" i="48"/>
  <c r="AR31" i="48"/>
  <c r="AR40" i="48" s="1"/>
  <c r="F46" i="48"/>
  <c r="D50" i="48"/>
  <c r="E56" i="48"/>
  <c r="AS31" i="48"/>
  <c r="AS40" i="48" s="1"/>
  <c r="BA50" i="48"/>
  <c r="AY9" i="48"/>
  <c r="BC9" i="48"/>
  <c r="AW14" i="48"/>
  <c r="N57" i="47" s="1"/>
  <c r="BA15" i="48"/>
  <c r="H52" i="48"/>
  <c r="H42" i="48"/>
  <c r="H23" i="48"/>
  <c r="P52" i="48"/>
  <c r="P42" i="48"/>
  <c r="P23" i="48"/>
  <c r="BA52" i="48"/>
  <c r="BA42" i="48"/>
  <c r="BA23" i="48"/>
  <c r="M52" i="48"/>
  <c r="M42" i="48"/>
  <c r="M23" i="48"/>
  <c r="G52" i="48"/>
  <c r="G23" i="48"/>
  <c r="G42" i="48"/>
  <c r="K52" i="48"/>
  <c r="K23" i="48"/>
  <c r="K42" i="48"/>
  <c r="O52" i="48"/>
  <c r="O23" i="48"/>
  <c r="O42" i="48"/>
  <c r="AV52" i="48"/>
  <c r="AV23" i="48"/>
  <c r="AV42" i="48"/>
  <c r="AZ52" i="48"/>
  <c r="AZ23" i="48"/>
  <c r="AZ42" i="48"/>
  <c r="G9" i="48"/>
  <c r="AU9" i="48"/>
  <c r="AX14" i="48"/>
  <c r="O57" i="47" s="1"/>
  <c r="D52" i="48"/>
  <c r="D42" i="48"/>
  <c r="D23" i="48"/>
  <c r="E52" i="48"/>
  <c r="E42" i="48"/>
  <c r="E23" i="48"/>
  <c r="L52" i="48"/>
  <c r="L42" i="48"/>
  <c r="L23" i="48"/>
  <c r="AW52" i="48"/>
  <c r="AW42" i="48"/>
  <c r="AW23" i="48"/>
  <c r="AZ14" i="48"/>
  <c r="Q57" i="47" s="1"/>
  <c r="AT52" i="48"/>
  <c r="AT42" i="48"/>
  <c r="AX52" i="48"/>
  <c r="AX42" i="48"/>
  <c r="F52" i="48"/>
  <c r="F42" i="48"/>
  <c r="J52" i="48"/>
  <c r="J42" i="48"/>
  <c r="N52" i="48"/>
  <c r="N42" i="48"/>
  <c r="AU52" i="48"/>
  <c r="AU42" i="48"/>
  <c r="AY52" i="48"/>
  <c r="AY42" i="48"/>
  <c r="BC52" i="48"/>
  <c r="BC42" i="48"/>
  <c r="AW9" i="48"/>
  <c r="BA9" i="48"/>
  <c r="AX15" i="48"/>
  <c r="J23" i="48"/>
  <c r="AY23" i="48"/>
  <c r="AP9" i="48"/>
  <c r="AT9" i="48"/>
  <c r="AX9" i="48"/>
  <c r="BB9" i="48"/>
  <c r="AT23" i="48"/>
  <c r="AP52" i="48"/>
  <c r="AP31" i="48"/>
  <c r="AP40" i="48" s="1"/>
  <c r="AT31" i="48"/>
  <c r="AT40" i="48" s="1"/>
  <c r="F31" i="48"/>
  <c r="F40" i="48" s="1"/>
  <c r="AZ15" i="48"/>
  <c r="F23" i="48"/>
  <c r="N23" i="48"/>
  <c r="E31" i="48"/>
  <c r="BB52" i="48"/>
  <c r="BB42" i="48"/>
  <c r="AV9" i="48"/>
  <c r="AZ9" i="48"/>
  <c r="BA20" i="48"/>
  <c r="AX23" i="48"/>
  <c r="AU27" i="48"/>
  <c r="AX31" i="48"/>
  <c r="AX40" i="48" s="1"/>
  <c r="BB31" i="48"/>
  <c r="BB40" i="48" s="1"/>
  <c r="AQ31" i="48"/>
  <c r="AQ40" i="48" s="1"/>
  <c r="AS50" i="48"/>
  <c r="F60" i="48"/>
  <c r="D60" i="48"/>
  <c r="F55" i="48"/>
  <c r="F56" i="48"/>
  <c r="G55" i="48"/>
  <c r="G56" i="48"/>
  <c r="E60" i="48"/>
  <c r="E55" i="48"/>
  <c r="BH70" i="45" l="1"/>
  <c r="Y55" i="47"/>
  <c r="W55" i="47"/>
  <c r="G50" i="48"/>
  <c r="G31" i="48"/>
  <c r="E50" i="48"/>
  <c r="F50" i="48"/>
  <c r="AT27" i="48"/>
  <c r="AL20" i="48"/>
  <c r="AL14" i="48"/>
  <c r="AN14" i="48"/>
  <c r="E57" i="47" s="1"/>
  <c r="AN20" i="48"/>
  <c r="F14" i="48"/>
  <c r="AM46" i="48"/>
  <c r="AS9" i="48"/>
  <c r="AX20" i="48"/>
  <c r="AM20" i="48"/>
  <c r="AM14" i="48"/>
  <c r="AU14" i="48"/>
  <c r="L57" i="47" s="1"/>
  <c r="BB14" i="48"/>
  <c r="S57" i="47" s="1"/>
  <c r="BB15" i="48"/>
  <c r="AR9" i="48"/>
  <c r="E9" i="48"/>
  <c r="AU15" i="48"/>
  <c r="AQ9" i="48"/>
  <c r="G15" i="48"/>
  <c r="G14" i="48"/>
  <c r="BC15" i="48"/>
  <c r="BC14" i="48"/>
  <c r="T57" i="47" s="1"/>
  <c r="AV14" i="48"/>
  <c r="M57" i="47" s="1"/>
  <c r="AP14" i="48"/>
  <c r="G57" i="47" s="1"/>
  <c r="AP15" i="48"/>
  <c r="AT15" i="48"/>
  <c r="AT14" i="48"/>
  <c r="K57" i="47" s="1"/>
  <c r="D20" i="48"/>
  <c r="D14" i="48"/>
  <c r="AZ21" i="48"/>
  <c r="AZ20" i="48"/>
  <c r="AY15" i="48"/>
  <c r="AY14" i="48"/>
  <c r="P57" i="47" s="1"/>
  <c r="F9" i="48"/>
  <c r="BI70" i="45" l="1"/>
  <c r="AT21" i="48"/>
  <c r="AT20" i="48"/>
  <c r="AV20" i="48"/>
  <c r="AR15" i="48"/>
  <c r="AR14" i="48"/>
  <c r="I57" i="47" s="1"/>
  <c r="AV21" i="48"/>
  <c r="BB21" i="48"/>
  <c r="BB20" i="48"/>
  <c r="F21" i="48"/>
  <c r="E15" i="48"/>
  <c r="E14" i="48"/>
  <c r="AV15" i="48"/>
  <c r="AU21" i="48"/>
  <c r="AQ14" i="48"/>
  <c r="H57" i="47" s="1"/>
  <c r="AQ15" i="48"/>
  <c r="AU20" i="48"/>
  <c r="AX21" i="48"/>
  <c r="AL46" i="48"/>
  <c r="F15" i="48"/>
  <c r="BC21" i="48"/>
  <c r="BC20" i="48"/>
  <c r="AS15" i="48"/>
  <c r="AS14" i="48"/>
  <c r="J57" i="47" s="1"/>
  <c r="AW15" i="48"/>
  <c r="AS27" i="48"/>
  <c r="F20" i="48"/>
  <c r="AP21" i="48"/>
  <c r="AP20" i="48"/>
  <c r="AY21" i="48"/>
  <c r="AY20" i="48"/>
  <c r="G21" i="48"/>
  <c r="G20" i="48"/>
  <c r="AO20" i="48"/>
  <c r="AO14" i="48"/>
  <c r="F57" i="47" s="1"/>
  <c r="AQ20" i="48" l="1"/>
  <c r="AQ21" i="48"/>
  <c r="E21" i="48"/>
  <c r="E20" i="48"/>
  <c r="AR27" i="48"/>
  <c r="AS21" i="48"/>
  <c r="AS20" i="48"/>
  <c r="AW21" i="48"/>
  <c r="AK46" i="48"/>
  <c r="AR21" i="48"/>
  <c r="AR20" i="48"/>
  <c r="AJ46" i="48" l="1"/>
  <c r="AQ27" i="48"/>
  <c r="X37" i="47"/>
  <c r="AI46" i="48" l="1"/>
  <c r="AP27" i="48"/>
  <c r="Q55" i="18"/>
  <c r="G40" i="48" l="1"/>
  <c r="AH46" i="48"/>
  <c r="AO27" i="48"/>
  <c r="BC69" i="45"/>
  <c r="BC63" i="45"/>
  <c r="BC56" i="45"/>
  <c r="BC55" i="45"/>
  <c r="BC47" i="45"/>
  <c r="BC31" i="45"/>
  <c r="BC38" i="45" s="1"/>
  <c r="BC14" i="45"/>
  <c r="BC27" i="46"/>
  <c r="BC33" i="46" s="1"/>
  <c r="BC23" i="46"/>
  <c r="BC25" i="46" s="1"/>
  <c r="BC72" i="46"/>
  <c r="BC74" i="46" s="1"/>
  <c r="BC63" i="46"/>
  <c r="BC56" i="46"/>
  <c r="BC55" i="46"/>
  <c r="BC54" i="46"/>
  <c r="BC53" i="46"/>
  <c r="BC51" i="46"/>
  <c r="BC43" i="46"/>
  <c r="BC46" i="43"/>
  <c r="BC43" i="43"/>
  <c r="BC33" i="43"/>
  <c r="BC34" i="43"/>
  <c r="BC21" i="43"/>
  <c r="BC24" i="43"/>
  <c r="BC36" i="43" s="1"/>
  <c r="BC64" i="43"/>
  <c r="BC56" i="43"/>
  <c r="BC30" i="43"/>
  <c r="BC28" i="43"/>
  <c r="BC18" i="43"/>
  <c r="BC16" i="43"/>
  <c r="BC14" i="43"/>
  <c r="BC10" i="43"/>
  <c r="BC8" i="43"/>
  <c r="BC112" i="39"/>
  <c r="BC111" i="39"/>
  <c r="BC97" i="39"/>
  <c r="BC96" i="39"/>
  <c r="BC87" i="39"/>
  <c r="BC86" i="39"/>
  <c r="BC94" i="39" s="1"/>
  <c r="BC73" i="39"/>
  <c r="BC110" i="39" s="1"/>
  <c r="BC114" i="39" s="1"/>
  <c r="BC68" i="39"/>
  <c r="BC109" i="39" s="1"/>
  <c r="BC49" i="39"/>
  <c r="BC34" i="39"/>
  <c r="BC37" i="39" s="1"/>
  <c r="BD39" i="39" s="1"/>
  <c r="BC29" i="39"/>
  <c r="BC28" i="39"/>
  <c r="BC25" i="39"/>
  <c r="BC31" i="39" s="1"/>
  <c r="BC23" i="39"/>
  <c r="BC22" i="39"/>
  <c r="BC21" i="39"/>
  <c r="BC19" i="39"/>
  <c r="BC18" i="39"/>
  <c r="BC17" i="39"/>
  <c r="BC15" i="39"/>
  <c r="BC14" i="39"/>
  <c r="BC13" i="39"/>
  <c r="BC10" i="39"/>
  <c r="BC8" i="41"/>
  <c r="BC98" i="41"/>
  <c r="BC97" i="41"/>
  <c r="BC96" i="41"/>
  <c r="BC95" i="41"/>
  <c r="BC83" i="41"/>
  <c r="BC82" i="41"/>
  <c r="BD77" i="41" s="1"/>
  <c r="BC70" i="41"/>
  <c r="BC69" i="41"/>
  <c r="BC60" i="41"/>
  <c r="BC59" i="41"/>
  <c r="BC47" i="41"/>
  <c r="BC41" i="41"/>
  <c r="BC27" i="41"/>
  <c r="BC26" i="41"/>
  <c r="BC10" i="41"/>
  <c r="BC87" i="41" s="1"/>
  <c r="BC9" i="41"/>
  <c r="BC74" i="41" s="1"/>
  <c r="BC131" i="44"/>
  <c r="BC127" i="44"/>
  <c r="BC126" i="44"/>
  <c r="BC177" i="44"/>
  <c r="BC178" i="44" s="1"/>
  <c r="BC174" i="44"/>
  <c r="BC175" i="44" s="1"/>
  <c r="BC163" i="44"/>
  <c r="BC145" i="44"/>
  <c r="BC130" i="44"/>
  <c r="BC139" i="44" s="1"/>
  <c r="BC135" i="44"/>
  <c r="BC137" i="44" s="1"/>
  <c r="BC114" i="44"/>
  <c r="BC113" i="44"/>
  <c r="BC112" i="44"/>
  <c r="BC111" i="44"/>
  <c r="BC99" i="44"/>
  <c r="BC98" i="44"/>
  <c r="BC86" i="44"/>
  <c r="BC85" i="44"/>
  <c r="BC74" i="44"/>
  <c r="BC71" i="44"/>
  <c r="BC68" i="44"/>
  <c r="BC67" i="44"/>
  <c r="BC140" i="44" s="1"/>
  <c r="BC65" i="44"/>
  <c r="BC64" i="44"/>
  <c r="BC63" i="44"/>
  <c r="BC55" i="44"/>
  <c r="BC54" i="44"/>
  <c r="BC45" i="44"/>
  <c r="BC39" i="44"/>
  <c r="BC25" i="44"/>
  <c r="BC24" i="44"/>
  <c r="BC16" i="44"/>
  <c r="BC15" i="44"/>
  <c r="BC10" i="44"/>
  <c r="BC18" i="44" s="1"/>
  <c r="X25" i="47"/>
  <c r="BC12" i="43" l="1"/>
  <c r="J12" i="43" s="1"/>
  <c r="K12" i="43" s="1"/>
  <c r="L12" i="43" s="1"/>
  <c r="M12" i="43" s="1"/>
  <c r="N12" i="43" s="1"/>
  <c r="O12" i="43" s="1"/>
  <c r="P12" i="43" s="1"/>
  <c r="BC35" i="39"/>
  <c r="BC100" i="41"/>
  <c r="BC99" i="41"/>
  <c r="BD90" i="41" s="1"/>
  <c r="BD67" i="41"/>
  <c r="BD62" i="41" s="1"/>
  <c r="BD54" i="41"/>
  <c r="AN27" i="48"/>
  <c r="AG46" i="48"/>
  <c r="BC116" i="44"/>
  <c r="BC115" i="44"/>
  <c r="BC20" i="43"/>
  <c r="BC49" i="45"/>
  <c r="BC70" i="45"/>
  <c r="BC45" i="46"/>
  <c r="BC59" i="46"/>
  <c r="T12" i="47" s="1"/>
  <c r="BC52" i="46"/>
  <c r="BC89" i="46"/>
  <c r="T10" i="47" s="1"/>
  <c r="BC32" i="43"/>
  <c r="BC44" i="43"/>
  <c r="BC49" i="43" s="1"/>
  <c r="BC53" i="43" s="1"/>
  <c r="BC60" i="43" s="1"/>
  <c r="BC61" i="43" s="1"/>
  <c r="BC38" i="43"/>
  <c r="BC37" i="43"/>
  <c r="BC22" i="43"/>
  <c r="BC25" i="43"/>
  <c r="BC113" i="39"/>
  <c r="BC38" i="39"/>
  <c r="BC30" i="39"/>
  <c r="BC27" i="39"/>
  <c r="BC45" i="39" s="1"/>
  <c r="BC60" i="39" s="1"/>
  <c r="BC50" i="39"/>
  <c r="BC89" i="39"/>
  <c r="BC52" i="39"/>
  <c r="BD54" i="39" s="1"/>
  <c r="BC88" i="41"/>
  <c r="BC75" i="41"/>
  <c r="BC17" i="41"/>
  <c r="BC18" i="41"/>
  <c r="BC164" i="44"/>
  <c r="BC14" i="44"/>
  <c r="BC23" i="44"/>
  <c r="BC11" i="44"/>
  <c r="BC155" i="44"/>
  <c r="BC152" i="44"/>
  <c r="BC154" i="44" s="1"/>
  <c r="BC144" i="44"/>
  <c r="BC172" i="44"/>
  <c r="BC170" i="44" s="1"/>
  <c r="BC171" i="44" s="1"/>
  <c r="BC146" i="44"/>
  <c r="BC157" i="44"/>
  <c r="BC29" i="44"/>
  <c r="BC20" i="44"/>
  <c r="BC19" i="44"/>
  <c r="BC125" i="44"/>
  <c r="BC76" i="44"/>
  <c r="BC162" i="44"/>
  <c r="BC64" i="46" l="1"/>
  <c r="AF46" i="48"/>
  <c r="AM27" i="48"/>
  <c r="BC60" i="46"/>
  <c r="BC57" i="46"/>
  <c r="BC91" i="46"/>
  <c r="T11" i="47" s="1"/>
  <c r="BC47" i="43"/>
  <c r="BC46" i="39"/>
  <c r="BC32" i="39"/>
  <c r="BC47" i="39"/>
  <c r="BC43" i="39"/>
  <c r="BC58" i="39"/>
  <c r="BC92" i="39"/>
  <c r="BC90" i="39"/>
  <c r="BC62" i="39"/>
  <c r="BC61" i="39"/>
  <c r="BC53" i="39"/>
  <c r="BC51" i="41"/>
  <c r="BC12" i="41"/>
  <c r="BC159" i="44"/>
  <c r="BC148" i="44"/>
  <c r="BC31" i="44"/>
  <c r="BC30" i="44"/>
  <c r="AL27" i="48" l="1"/>
  <c r="AE46" i="48"/>
  <c r="BC20" i="41"/>
  <c r="BC25" i="41"/>
  <c r="BC13" i="41"/>
  <c r="BC16" i="41"/>
  <c r="BC52" i="41"/>
  <c r="AK27" i="48" l="1"/>
  <c r="AD46" i="48"/>
  <c r="BC21" i="41"/>
  <c r="BC31" i="41"/>
  <c r="BC22" i="41"/>
  <c r="AC46" i="48" l="1"/>
  <c r="AJ27" i="48"/>
  <c r="BC33" i="41"/>
  <c r="BC32" i="41"/>
  <c r="AI27" i="48" l="1"/>
  <c r="AB46" i="48"/>
  <c r="W26" i="47"/>
  <c r="X26" i="47" s="1"/>
  <c r="AA46" i="48" l="1"/>
  <c r="AH27" i="48"/>
  <c r="Z46" i="48" l="1"/>
  <c r="AG27" i="48"/>
  <c r="O4" i="18"/>
  <c r="P4" i="18"/>
  <c r="Q4" i="18"/>
  <c r="R4" i="18"/>
  <c r="S4" i="18"/>
  <c r="T4" i="18"/>
  <c r="U4" i="18"/>
  <c r="U11" i="18" s="1"/>
  <c r="U46" i="18" s="1"/>
  <c r="V4" i="18"/>
  <c r="V11" i="18" s="1"/>
  <c r="V46" i="18" s="1"/>
  <c r="W4" i="18"/>
  <c r="W11" i="18" s="1"/>
  <c r="W46" i="18" s="1"/>
  <c r="X4" i="18"/>
  <c r="Y4" i="18"/>
  <c r="Y11" i="18" s="1"/>
  <c r="Y46" i="18" s="1"/>
  <c r="O4" i="17"/>
  <c r="P4" i="17"/>
  <c r="Q4" i="17"/>
  <c r="R4" i="17"/>
  <c r="S4" i="17"/>
  <c r="T4" i="17"/>
  <c r="T11" i="17" s="1"/>
  <c r="T46" i="17" s="1"/>
  <c r="U4" i="17"/>
  <c r="V4" i="17"/>
  <c r="V11" i="17" s="1"/>
  <c r="V46" i="17" s="1"/>
  <c r="W4" i="17"/>
  <c r="W11" i="17" s="1"/>
  <c r="W46" i="17" s="1"/>
  <c r="X4" i="17"/>
  <c r="X11" i="17" s="1"/>
  <c r="X46" i="17" s="1"/>
  <c r="Y4" i="17"/>
  <c r="K6" i="45"/>
  <c r="K53" i="45" s="1"/>
  <c r="L6" i="45"/>
  <c r="L61" i="45" s="1"/>
  <c r="M6" i="45"/>
  <c r="M53" i="45" s="1"/>
  <c r="N6" i="45"/>
  <c r="N53" i="45" s="1"/>
  <c r="O6" i="45"/>
  <c r="O61" i="45" s="1"/>
  <c r="P6" i="45"/>
  <c r="P53" i="45" s="1"/>
  <c r="K6" i="46"/>
  <c r="K66" i="46" s="1"/>
  <c r="L6" i="46"/>
  <c r="L49" i="46" s="1"/>
  <c r="M6" i="46"/>
  <c r="M49" i="46" s="1"/>
  <c r="N6" i="46"/>
  <c r="N49" i="46" s="1"/>
  <c r="O6" i="46"/>
  <c r="O66" i="46" s="1"/>
  <c r="P6" i="46"/>
  <c r="P49" i="46" s="1"/>
  <c r="K70" i="46"/>
  <c r="L70" i="46"/>
  <c r="M70" i="46"/>
  <c r="N70" i="46"/>
  <c r="O70" i="46"/>
  <c r="P70" i="46"/>
  <c r="T5" i="18"/>
  <c r="U5" i="18" s="1"/>
  <c r="V5" i="18" s="1"/>
  <c r="W5" i="18" s="1"/>
  <c r="X5" i="18" s="1"/>
  <c r="Y5" i="18" s="1"/>
  <c r="T6" i="18"/>
  <c r="U6" i="18"/>
  <c r="V6" i="18" s="1"/>
  <c r="W6" i="18" s="1"/>
  <c r="X6" i="18" s="1"/>
  <c r="Y6" i="18" s="1"/>
  <c r="T7" i="18"/>
  <c r="T8" i="18" s="1"/>
  <c r="T11" i="18"/>
  <c r="T46" i="18" s="1"/>
  <c r="X11" i="18"/>
  <c r="X46" i="18" s="1"/>
  <c r="T13" i="18"/>
  <c r="U13" i="18"/>
  <c r="V13" i="18"/>
  <c r="T14" i="18"/>
  <c r="T22" i="18"/>
  <c r="T15" i="18" s="1"/>
  <c r="T23" i="18"/>
  <c r="U23" i="18"/>
  <c r="V23" i="18"/>
  <c r="T25" i="18"/>
  <c r="T17" i="18" s="1"/>
  <c r="T30" i="18"/>
  <c r="T16" i="18" s="1"/>
  <c r="T33" i="18"/>
  <c r="U33" i="18"/>
  <c r="V33" i="18"/>
  <c r="W33" i="18"/>
  <c r="X33" i="18"/>
  <c r="Y33" i="18"/>
  <c r="T43" i="18"/>
  <c r="U43" i="18"/>
  <c r="V43" i="18"/>
  <c r="V48" i="18" s="1"/>
  <c r="W43" i="18"/>
  <c r="W48" i="18" s="1"/>
  <c r="X43" i="18"/>
  <c r="Y43" i="18"/>
  <c r="T44" i="18"/>
  <c r="U44" i="18"/>
  <c r="V44" i="18"/>
  <c r="W44" i="18"/>
  <c r="X44" i="18"/>
  <c r="Y44" i="18"/>
  <c r="T5" i="17"/>
  <c r="U5" i="17"/>
  <c r="V5" i="17" s="1"/>
  <c r="W5" i="17" s="1"/>
  <c r="X5" i="17" s="1"/>
  <c r="Y5" i="17" s="1"/>
  <c r="T6" i="17"/>
  <c r="U6" i="17" s="1"/>
  <c r="V6" i="17" s="1"/>
  <c r="W6" i="17" s="1"/>
  <c r="X6" i="17" s="1"/>
  <c r="Y6" i="17" s="1"/>
  <c r="U11" i="17"/>
  <c r="U46" i="17" s="1"/>
  <c r="Y11" i="17"/>
  <c r="Y46" i="17" s="1"/>
  <c r="T13" i="17"/>
  <c r="T14" i="17"/>
  <c r="U14" i="17"/>
  <c r="V14" i="17" s="1"/>
  <c r="W14" i="17" s="1"/>
  <c r="X14" i="17" s="1"/>
  <c r="Y14" i="17" s="1"/>
  <c r="T15" i="17"/>
  <c r="T24" i="17" s="1"/>
  <c r="T22" i="17"/>
  <c r="T23" i="17"/>
  <c r="T28" i="17" s="1"/>
  <c r="T25" i="17"/>
  <c r="T33" i="17"/>
  <c r="U33" i="17"/>
  <c r="V33" i="17"/>
  <c r="W33" i="17"/>
  <c r="X33" i="17"/>
  <c r="Y33" i="17"/>
  <c r="T43" i="17"/>
  <c r="U43" i="17"/>
  <c r="V43" i="17"/>
  <c r="W43" i="17"/>
  <c r="W48" i="17" s="1"/>
  <c r="X43" i="17"/>
  <c r="Y43" i="17"/>
  <c r="T48" i="17"/>
  <c r="U48" i="17"/>
  <c r="V48" i="17"/>
  <c r="X48" i="17"/>
  <c r="Y48" i="17"/>
  <c r="K6" i="39"/>
  <c r="K64" i="39" s="1"/>
  <c r="L6" i="39"/>
  <c r="L64" i="39" s="1"/>
  <c r="M6" i="39"/>
  <c r="M64" i="39" s="1"/>
  <c r="N6" i="39"/>
  <c r="N76" i="39" s="1"/>
  <c r="O6" i="39"/>
  <c r="O76" i="39" s="1"/>
  <c r="P6" i="39"/>
  <c r="P64" i="39" s="1"/>
  <c r="K76" i="39"/>
  <c r="K99" i="39"/>
  <c r="K6" i="41"/>
  <c r="K49" i="41" s="1"/>
  <c r="L6" i="41"/>
  <c r="L35" i="41" s="1"/>
  <c r="M6" i="41"/>
  <c r="M72" i="41" s="1"/>
  <c r="N6" i="41"/>
  <c r="N72" i="41" s="1"/>
  <c r="O6" i="41"/>
  <c r="O49" i="41" s="1"/>
  <c r="P6" i="41"/>
  <c r="P35" i="41" s="1"/>
  <c r="K46" i="41"/>
  <c r="L46" i="41"/>
  <c r="M46" i="41"/>
  <c r="N46" i="41"/>
  <c r="O46" i="41"/>
  <c r="P46" i="41"/>
  <c r="K6" i="44"/>
  <c r="K57" i="44" s="1"/>
  <c r="L6" i="44"/>
  <c r="L88" i="44" s="1"/>
  <c r="M6" i="44"/>
  <c r="M118" i="44" s="1"/>
  <c r="N6" i="44"/>
  <c r="N33" i="44" s="1"/>
  <c r="O6" i="44"/>
  <c r="O33" i="44" s="1"/>
  <c r="P6" i="44"/>
  <c r="P88" i="44" s="1"/>
  <c r="K145" i="44"/>
  <c r="L145" i="44"/>
  <c r="M145" i="44"/>
  <c r="N145" i="44"/>
  <c r="O145" i="44"/>
  <c r="P145" i="44"/>
  <c r="Y48" i="18" l="1"/>
  <c r="U48" i="18"/>
  <c r="X48" i="18"/>
  <c r="T48" i="18"/>
  <c r="L99" i="39"/>
  <c r="M76" i="39"/>
  <c r="M99" i="39"/>
  <c r="O64" i="39"/>
  <c r="L49" i="41"/>
  <c r="N85" i="41"/>
  <c r="N49" i="41"/>
  <c r="N35" i="41"/>
  <c r="K85" i="41"/>
  <c r="O118" i="44"/>
  <c r="L72" i="41"/>
  <c r="O133" i="44"/>
  <c r="K88" i="44"/>
  <c r="P49" i="41"/>
  <c r="O99" i="39"/>
  <c r="O101" i="44"/>
  <c r="P85" i="41"/>
  <c r="O168" i="44"/>
  <c r="N133" i="44"/>
  <c r="L85" i="41"/>
  <c r="O57" i="44"/>
  <c r="P76" i="39"/>
  <c r="L53" i="45"/>
  <c r="P168" i="44"/>
  <c r="P133" i="44"/>
  <c r="O35" i="41"/>
  <c r="O53" i="45"/>
  <c r="K35" i="41"/>
  <c r="N99" i="39"/>
  <c r="P66" i="46"/>
  <c r="N88" i="44"/>
  <c r="K72" i="41"/>
  <c r="M49" i="41"/>
  <c r="L66" i="46"/>
  <c r="M61" i="45"/>
  <c r="O85" i="41"/>
  <c r="O72" i="41"/>
  <c r="L76" i="39"/>
  <c r="AF27" i="48"/>
  <c r="Y46" i="48"/>
  <c r="M35" i="41"/>
  <c r="N64" i="39"/>
  <c r="P61" i="45"/>
  <c r="M57" i="44"/>
  <c r="N66" i="46"/>
  <c r="M85" i="41"/>
  <c r="N61" i="45"/>
  <c r="P99" i="39"/>
  <c r="P72" i="41"/>
  <c r="O49" i="46"/>
  <c r="O88" i="44"/>
  <c r="N101" i="44"/>
  <c r="N57" i="44"/>
  <c r="N118" i="44"/>
  <c r="N168" i="44"/>
  <c r="M168" i="44"/>
  <c r="M101" i="44"/>
  <c r="M88" i="44"/>
  <c r="M133" i="44"/>
  <c r="M66" i="46"/>
  <c r="M33" i="44"/>
  <c r="L133" i="44"/>
  <c r="L168" i="44"/>
  <c r="K118" i="44"/>
  <c r="K168" i="44"/>
  <c r="K101" i="44"/>
  <c r="K33" i="44"/>
  <c r="K61" i="45"/>
  <c r="K49" i="46"/>
  <c r="K133" i="44"/>
  <c r="T19" i="18"/>
  <c r="T31" i="18"/>
  <c r="T35" i="18" s="1"/>
  <c r="T18" i="18"/>
  <c r="T54" i="18" s="1"/>
  <c r="T24" i="18"/>
  <c r="T28" i="18" s="1"/>
  <c r="U14" i="18"/>
  <c r="W13" i="18"/>
  <c r="U7" i="18"/>
  <c r="U22" i="17"/>
  <c r="U25" i="17"/>
  <c r="U13" i="17"/>
  <c r="P118" i="44"/>
  <c r="P33" i="44"/>
  <c r="P57" i="44"/>
  <c r="P101" i="44"/>
  <c r="L118" i="44"/>
  <c r="L33" i="44"/>
  <c r="L57" i="44"/>
  <c r="L101" i="44"/>
  <c r="AE27" i="48" l="1"/>
  <c r="X46" i="48"/>
  <c r="V14" i="18"/>
  <c r="T37" i="18"/>
  <c r="U25" i="18"/>
  <c r="U22" i="18"/>
  <c r="U30" i="18"/>
  <c r="T38" i="18"/>
  <c r="V7" i="18"/>
  <c r="U8" i="18"/>
  <c r="X13" i="18"/>
  <c r="W23" i="18"/>
  <c r="T55" i="18"/>
  <c r="V13" i="17"/>
  <c r="U23" i="17"/>
  <c r="U28" i="17" s="1"/>
  <c r="U15" i="17"/>
  <c r="U24" i="17" s="1"/>
  <c r="W46" i="48" l="1"/>
  <c r="AD27" i="48"/>
  <c r="U15" i="18"/>
  <c r="W7" i="18"/>
  <c r="V8" i="18"/>
  <c r="U17" i="18"/>
  <c r="X23" i="18"/>
  <c r="Y13" i="18"/>
  <c r="T40" i="18"/>
  <c r="T53" i="18"/>
  <c r="T56" i="18" s="1"/>
  <c r="W14" i="18"/>
  <c r="U16" i="18"/>
  <c r="V25" i="17"/>
  <c r="V22" i="17"/>
  <c r="V23" i="17"/>
  <c r="W13" i="17"/>
  <c r="V46" i="48" l="1"/>
  <c r="AC27" i="48"/>
  <c r="X7" i="18"/>
  <c r="W8" i="18"/>
  <c r="X14" i="18"/>
  <c r="U24" i="18"/>
  <c r="U28" i="18" s="1"/>
  <c r="U19" i="18"/>
  <c r="U18" i="18"/>
  <c r="U54" i="18" s="1"/>
  <c r="U31" i="18"/>
  <c r="U35" i="18" s="1"/>
  <c r="Y23" i="18"/>
  <c r="W23" i="17"/>
  <c r="X13" i="17"/>
  <c r="V15" i="17"/>
  <c r="BB99" i="44"/>
  <c r="BB127" i="44"/>
  <c r="P27" i="18"/>
  <c r="P63" i="18"/>
  <c r="P60" i="18"/>
  <c r="P64" i="18" s="1"/>
  <c r="P59" i="18"/>
  <c r="P46" i="18"/>
  <c r="P44" i="18"/>
  <c r="P43" i="18"/>
  <c r="P35" i="18"/>
  <c r="P30" i="18"/>
  <c r="P24" i="18"/>
  <c r="P23" i="18"/>
  <c r="P22" i="18"/>
  <c r="P19" i="18"/>
  <c r="P18" i="18"/>
  <c r="P11" i="18"/>
  <c r="P8" i="18"/>
  <c r="P27" i="17"/>
  <c r="P63" i="17"/>
  <c r="P60" i="17"/>
  <c r="P64" i="17" s="1"/>
  <c r="P59" i="17"/>
  <c r="P46" i="17"/>
  <c r="P43" i="17"/>
  <c r="P33" i="17"/>
  <c r="P30" i="17"/>
  <c r="P24" i="17"/>
  <c r="P23" i="17"/>
  <c r="P22" i="17"/>
  <c r="P19" i="17"/>
  <c r="P18" i="17"/>
  <c r="P11" i="17"/>
  <c r="P8" i="17"/>
  <c r="O59" i="17"/>
  <c r="N59" i="17"/>
  <c r="O59" i="18"/>
  <c r="N59" i="18"/>
  <c r="O46" i="18"/>
  <c r="O27" i="18"/>
  <c r="O63" i="18"/>
  <c r="O64" i="18" s="1"/>
  <c r="O60" i="18"/>
  <c r="O44" i="18"/>
  <c r="O43" i="18"/>
  <c r="O30" i="18"/>
  <c r="O35" i="18" s="1"/>
  <c r="O24" i="18"/>
  <c r="O23" i="18"/>
  <c r="O22" i="18"/>
  <c r="O28" i="18" s="1"/>
  <c r="O19" i="18"/>
  <c r="O18" i="18"/>
  <c r="O11" i="18"/>
  <c r="BI84" i="44" l="1"/>
  <c r="BF85" i="44"/>
  <c r="U46" i="48"/>
  <c r="AB27" i="48"/>
  <c r="V30" i="18"/>
  <c r="U38" i="18"/>
  <c r="V22" i="18"/>
  <c r="U37" i="18"/>
  <c r="V25" i="18"/>
  <c r="V17" i="18" s="1"/>
  <c r="U55" i="18"/>
  <c r="X8" i="18"/>
  <c r="Y7" i="18"/>
  <c r="Y8" i="18" s="1"/>
  <c r="Y14" i="18"/>
  <c r="X23" i="17"/>
  <c r="Y13" i="17"/>
  <c r="V24" i="17"/>
  <c r="V28" i="17" s="1"/>
  <c r="P28" i="18"/>
  <c r="P37" i="18" s="1"/>
  <c r="P40" i="18" s="1"/>
  <c r="P35" i="17"/>
  <c r="P28" i="17"/>
  <c r="O37" i="18"/>
  <c r="O40" i="18" s="1"/>
  <c r="O38" i="18"/>
  <c r="O8" i="18"/>
  <c r="O30" i="17"/>
  <c r="O46" i="17"/>
  <c r="O34" i="17"/>
  <c r="O32" i="17"/>
  <c r="O27" i="17"/>
  <c r="O63" i="17"/>
  <c r="O60" i="17"/>
  <c r="O64" i="17" s="1"/>
  <c r="O33" i="17"/>
  <c r="O43" i="17"/>
  <c r="O24" i="17"/>
  <c r="O23" i="17"/>
  <c r="O22" i="17"/>
  <c r="O19" i="17"/>
  <c r="O18" i="17"/>
  <c r="O11" i="17"/>
  <c r="O8" i="17"/>
  <c r="BB69" i="45"/>
  <c r="BB63" i="45"/>
  <c r="BB56" i="45"/>
  <c r="BB55" i="45"/>
  <c r="BB47" i="45"/>
  <c r="BB31" i="45"/>
  <c r="BB38" i="45" s="1"/>
  <c r="BB14" i="45"/>
  <c r="BB27" i="46"/>
  <c r="BB33" i="46" s="1"/>
  <c r="BB23" i="46"/>
  <c r="BB25" i="46" s="1"/>
  <c r="BB72" i="46"/>
  <c r="BB63" i="46"/>
  <c r="BB53" i="46"/>
  <c r="BB51" i="46"/>
  <c r="BB43" i="46"/>
  <c r="BB55" i="46"/>
  <c r="BB56" i="46"/>
  <c r="BB54" i="46"/>
  <c r="BB43" i="43"/>
  <c r="BB46" i="43"/>
  <c r="BB33" i="43"/>
  <c r="BB34" i="43"/>
  <c r="BB21" i="43"/>
  <c r="BB24" i="43"/>
  <c r="BB64" i="43"/>
  <c r="BB56" i="43"/>
  <c r="BB30" i="43"/>
  <c r="BB28" i="43"/>
  <c r="BB18" i="43"/>
  <c r="BB16" i="43"/>
  <c r="BB14" i="43"/>
  <c r="BI85" i="44" l="1"/>
  <c r="AA27" i="48"/>
  <c r="T46" i="48"/>
  <c r="BB74" i="46"/>
  <c r="U40" i="18"/>
  <c r="U49" i="18" s="1"/>
  <c r="U50" i="18" s="1"/>
  <c r="U53" i="18"/>
  <c r="U56" i="18" s="1"/>
  <c r="V15" i="18"/>
  <c r="V16" i="18"/>
  <c r="W25" i="17"/>
  <c r="W22" i="17"/>
  <c r="Y23" i="17"/>
  <c r="BB75" i="46"/>
  <c r="BB70" i="45"/>
  <c r="P38" i="18"/>
  <c r="P37" i="17"/>
  <c r="P40" i="17" s="1"/>
  <c r="P38" i="17"/>
  <c r="O35" i="17"/>
  <c r="O28" i="17"/>
  <c r="O37" i="17" s="1"/>
  <c r="O40" i="17" s="1"/>
  <c r="BB49" i="45"/>
  <c r="BB45" i="46"/>
  <c r="BB59" i="46"/>
  <c r="S12" i="47" s="1"/>
  <c r="BB52" i="46"/>
  <c r="BB89" i="46"/>
  <c r="S10" i="47" s="1"/>
  <c r="BB36" i="43"/>
  <c r="BB37" i="43" s="1"/>
  <c r="BB22" i="43"/>
  <c r="BB20" i="43"/>
  <c r="BB38" i="43"/>
  <c r="BB32" i="43"/>
  <c r="BB25" i="43"/>
  <c r="BB112" i="39"/>
  <c r="BB111" i="39"/>
  <c r="BB97" i="39"/>
  <c r="BB96" i="39"/>
  <c r="BB87" i="39"/>
  <c r="BB86" i="39"/>
  <c r="BB94" i="39" s="1"/>
  <c r="BB73" i="39"/>
  <c r="BB110" i="39" s="1"/>
  <c r="BB68" i="39"/>
  <c r="BB109" i="39" s="1"/>
  <c r="BB113" i="39" s="1"/>
  <c r="BB49" i="39"/>
  <c r="BB34" i="39"/>
  <c r="BB37" i="39" s="1"/>
  <c r="BB31" i="39"/>
  <c r="BB29" i="39"/>
  <c r="BB28" i="39"/>
  <c r="BB25" i="39"/>
  <c r="BB23" i="39"/>
  <c r="BB22" i="39"/>
  <c r="BB21" i="39"/>
  <c r="BB19" i="39"/>
  <c r="BB18" i="39"/>
  <c r="BB17" i="39"/>
  <c r="BB15" i="39"/>
  <c r="BB14" i="39"/>
  <c r="BB13" i="39"/>
  <c r="BB10" i="39"/>
  <c r="BB15" i="41"/>
  <c r="BB8" i="41"/>
  <c r="BB98" i="41"/>
  <c r="BB97" i="41"/>
  <c r="BB96" i="41"/>
  <c r="BB95" i="41"/>
  <c r="BB83" i="41"/>
  <c r="BB82" i="41"/>
  <c r="BC77" i="41" s="1"/>
  <c r="BB70" i="41"/>
  <c r="BB69" i="41"/>
  <c r="BB60" i="41"/>
  <c r="BB59" i="41"/>
  <c r="BB47" i="41"/>
  <c r="BB41" i="41"/>
  <c r="BB27" i="41"/>
  <c r="BB26" i="41"/>
  <c r="BB10" i="41"/>
  <c r="BB87" i="41" s="1"/>
  <c r="BB9" i="41"/>
  <c r="BB74" i="41" s="1"/>
  <c r="BB13" i="44"/>
  <c r="BB177" i="44"/>
  <c r="BB178" i="44" s="1"/>
  <c r="BB174" i="44"/>
  <c r="BB175" i="44" s="1"/>
  <c r="BB163" i="44"/>
  <c r="BB145" i="44"/>
  <c r="BB130" i="44"/>
  <c r="BB164" i="44" s="1"/>
  <c r="BB135" i="44"/>
  <c r="BB137" i="44" s="1"/>
  <c r="BB114" i="44"/>
  <c r="BB113" i="44"/>
  <c r="BB112" i="44"/>
  <c r="BB111" i="44"/>
  <c r="BB98" i="44"/>
  <c r="BB86" i="44"/>
  <c r="BB85" i="44"/>
  <c r="BB74" i="44"/>
  <c r="BB71" i="44"/>
  <c r="BB68" i="44"/>
  <c r="BB67" i="44"/>
  <c r="BB65" i="44"/>
  <c r="BB64" i="44"/>
  <c r="BB63" i="44"/>
  <c r="BB55" i="44"/>
  <c r="BB54" i="44"/>
  <c r="BB45" i="44"/>
  <c r="BB39" i="44"/>
  <c r="BC52" i="44" s="1"/>
  <c r="BC47" i="44" s="1"/>
  <c r="BB25" i="44"/>
  <c r="BB24" i="44"/>
  <c r="BB15" i="44"/>
  <c r="BB14" i="44"/>
  <c r="BB16" i="44"/>
  <c r="BB10" i="44"/>
  <c r="BB23" i="44" s="1"/>
  <c r="G22" i="47"/>
  <c r="H22" i="47"/>
  <c r="I22" i="47"/>
  <c r="J22" i="47"/>
  <c r="K22" i="47"/>
  <c r="L22" i="47"/>
  <c r="M22" i="47"/>
  <c r="Z22" i="47"/>
  <c r="X22" i="47"/>
  <c r="U57" i="18" l="1"/>
  <c r="BB100" i="41"/>
  <c r="BB99" i="41"/>
  <c r="BC90" i="41" s="1"/>
  <c r="BD92" i="41" s="1"/>
  <c r="BC67" i="41"/>
  <c r="BC62" i="41" s="1"/>
  <c r="BC54" i="41"/>
  <c r="BD79" i="41"/>
  <c r="Z27" i="48"/>
  <c r="R46" i="48"/>
  <c r="S46" i="48"/>
  <c r="BB140" i="44"/>
  <c r="BC121" i="44"/>
  <c r="BC83" i="44"/>
  <c r="BC78" i="44" s="1"/>
  <c r="BC59" i="44"/>
  <c r="BC39" i="39"/>
  <c r="V31" i="18"/>
  <c r="V35" i="18" s="1"/>
  <c r="V24" i="18"/>
  <c r="V28" i="18" s="1"/>
  <c r="V19" i="18"/>
  <c r="V18" i="18"/>
  <c r="V54" i="18" s="1"/>
  <c r="W15" i="17"/>
  <c r="BB116" i="44"/>
  <c r="BB115" i="44"/>
  <c r="O38" i="17"/>
  <c r="BB60" i="46"/>
  <c r="BB57" i="46"/>
  <c r="BB91" i="46"/>
  <c r="S11" i="47" s="1"/>
  <c r="BB64" i="46"/>
  <c r="BB44" i="43"/>
  <c r="BB49" i="43" s="1"/>
  <c r="BB53" i="43" s="1"/>
  <c r="BB60" i="43" s="1"/>
  <c r="BB61" i="43" s="1"/>
  <c r="BB114" i="39"/>
  <c r="BB38" i="39"/>
  <c r="BB27" i="39"/>
  <c r="BB45" i="39" s="1"/>
  <c r="BB46" i="39" s="1"/>
  <c r="BB30" i="39"/>
  <c r="BB35" i="39"/>
  <c r="BB50" i="39"/>
  <c r="BB89" i="39"/>
  <c r="BC91" i="39" s="1"/>
  <c r="BB52" i="39"/>
  <c r="BC54" i="39" s="1"/>
  <c r="BB75" i="41"/>
  <c r="BB88" i="41"/>
  <c r="BB17" i="41"/>
  <c r="BB18" i="41"/>
  <c r="BB172" i="44"/>
  <c r="BB170" i="44" s="1"/>
  <c r="BB171" i="44" s="1"/>
  <c r="BB155" i="44"/>
  <c r="BB152" i="44"/>
  <c r="BB154" i="44" s="1"/>
  <c r="BB144" i="44"/>
  <c r="BB76" i="44"/>
  <c r="BB18" i="44"/>
  <c r="BB125" i="44"/>
  <c r="BB162" i="44"/>
  <c r="BB139" i="44"/>
  <c r="BB11" i="44"/>
  <c r="BD56" i="41" l="1"/>
  <c r="BD64" i="41"/>
  <c r="Y27" i="48"/>
  <c r="BC78" i="39"/>
  <c r="BC120" i="44"/>
  <c r="BC123" i="44" s="1"/>
  <c r="BC124" i="44" s="1"/>
  <c r="V38" i="18"/>
  <c r="W30" i="18"/>
  <c r="W22" i="18"/>
  <c r="V37" i="18"/>
  <c r="W25" i="18"/>
  <c r="V55" i="18"/>
  <c r="W24" i="17"/>
  <c r="W28" i="17" s="1"/>
  <c r="BB47" i="43"/>
  <c r="BB47" i="39"/>
  <c r="BB43" i="39"/>
  <c r="BB58" i="39"/>
  <c r="BB60" i="39"/>
  <c r="BB62" i="39" s="1"/>
  <c r="BB32" i="39"/>
  <c r="BB53" i="39"/>
  <c r="BB92" i="39"/>
  <c r="BB91" i="39"/>
  <c r="BB90" i="39"/>
  <c r="BB51" i="41"/>
  <c r="BB12" i="41"/>
  <c r="BB157" i="44"/>
  <c r="BB159" i="44" s="1"/>
  <c r="BB146" i="44"/>
  <c r="BB148" i="44" s="1"/>
  <c r="BB29" i="44"/>
  <c r="BB20" i="44"/>
  <c r="BB19" i="44"/>
  <c r="X27" i="48" l="1"/>
  <c r="BC101" i="39"/>
  <c r="BC104" i="39" s="1"/>
  <c r="BD106" i="39" s="1"/>
  <c r="BC81" i="39"/>
  <c r="BD83" i="39" s="1"/>
  <c r="W16" i="18"/>
  <c r="W17" i="18"/>
  <c r="V53" i="18"/>
  <c r="V56" i="18" s="1"/>
  <c r="V40" i="18"/>
  <c r="V49" i="18" s="1"/>
  <c r="V50" i="18" s="1"/>
  <c r="V57" i="18" s="1"/>
  <c r="W15" i="18"/>
  <c r="X22" i="17"/>
  <c r="X25" i="17"/>
  <c r="BB61" i="39"/>
  <c r="BB25" i="41"/>
  <c r="BB13" i="41"/>
  <c r="BB20" i="41"/>
  <c r="BB16" i="41"/>
  <c r="BB52" i="41"/>
  <c r="BB30" i="44"/>
  <c r="BB31" i="44"/>
  <c r="W27" i="48" l="1"/>
  <c r="W31" i="18"/>
  <c r="W35" i="18" s="1"/>
  <c r="W24" i="18"/>
  <c r="W28" i="18" s="1"/>
  <c r="W19" i="18"/>
  <c r="W18" i="18"/>
  <c r="W54" i="18" s="1"/>
  <c r="X15" i="17"/>
  <c r="BB21" i="41"/>
  <c r="BB31" i="41"/>
  <c r="BB22" i="41"/>
  <c r="V27" i="48" l="1"/>
  <c r="X30" i="18"/>
  <c r="W38" i="18"/>
  <c r="W55" i="18"/>
  <c r="X25" i="18"/>
  <c r="X22" i="18"/>
  <c r="W37" i="18"/>
  <c r="X24" i="17"/>
  <c r="X28" i="17" s="1"/>
  <c r="BB33" i="41"/>
  <c r="BB32" i="41"/>
  <c r="U27" i="48" l="1"/>
  <c r="W53" i="18"/>
  <c r="W56" i="18" s="1"/>
  <c r="W40" i="18"/>
  <c r="W49" i="18" s="1"/>
  <c r="W50" i="18" s="1"/>
  <c r="W57" i="18" s="1"/>
  <c r="X15" i="18"/>
  <c r="X16" i="18"/>
  <c r="X17" i="18"/>
  <c r="Y22" i="17"/>
  <c r="Y25" i="17"/>
  <c r="Z34" i="47"/>
  <c r="Z33" i="47"/>
  <c r="Z30" i="47"/>
  <c r="Z28" i="47"/>
  <c r="Z24" i="47"/>
  <c r="Z21" i="47"/>
  <c r="E23" i="47"/>
  <c r="F23" i="47"/>
  <c r="G23" i="47"/>
  <c r="H23" i="47"/>
  <c r="I23" i="47"/>
  <c r="J23" i="47"/>
  <c r="K23" i="47"/>
  <c r="L23" i="47"/>
  <c r="M23" i="47"/>
  <c r="Y32" i="47"/>
  <c r="Z32" i="47" s="1"/>
  <c r="Y31" i="47"/>
  <c r="Z31" i="47" s="1"/>
  <c r="Y42" i="47"/>
  <c r="Y47" i="47"/>
  <c r="Y52" i="47"/>
  <c r="T27" i="48" l="1"/>
  <c r="X31" i="18"/>
  <c r="X35" i="18" s="1"/>
  <c r="X24" i="18"/>
  <c r="X28" i="18" s="1"/>
  <c r="X18" i="18"/>
  <c r="X54" i="18" s="1"/>
  <c r="X19" i="18"/>
  <c r="Y15" i="17"/>
  <c r="M5" i="47"/>
  <c r="M6" i="47"/>
  <c r="M7" i="47"/>
  <c r="M8" i="47"/>
  <c r="M9" i="47"/>
  <c r="M14" i="47"/>
  <c r="Q15" i="47" s="1"/>
  <c r="M16" i="47"/>
  <c r="Q17" i="47" s="1"/>
  <c r="M18" i="47"/>
  <c r="M19" i="47"/>
  <c r="M24" i="47"/>
  <c r="M25" i="47"/>
  <c r="M26" i="47"/>
  <c r="M39" i="47"/>
  <c r="Q40" i="47" s="1"/>
  <c r="Y40" i="47"/>
  <c r="M41" i="47"/>
  <c r="M42" i="47"/>
  <c r="M44" i="47"/>
  <c r="Q45" i="47" s="1"/>
  <c r="Y45" i="47"/>
  <c r="M46" i="47"/>
  <c r="M47" i="47"/>
  <c r="S27" i="48" l="1"/>
  <c r="R27" i="48"/>
  <c r="Y30" i="18"/>
  <c r="X38" i="18"/>
  <c r="X37" i="18"/>
  <c r="Y25" i="18"/>
  <c r="Y22" i="18"/>
  <c r="X55" i="18"/>
  <c r="Y24" i="17"/>
  <c r="Y28" i="17" s="1"/>
  <c r="Y50" i="47"/>
  <c r="Y15" i="18" l="1"/>
  <c r="Y16" i="18"/>
  <c r="Y17" i="18"/>
  <c r="X40" i="18"/>
  <c r="X49" i="18" s="1"/>
  <c r="X50" i="18" s="1"/>
  <c r="X57" i="18" s="1"/>
  <c r="X53" i="18"/>
  <c r="X56" i="18" s="1"/>
  <c r="Y31" i="18" l="1"/>
  <c r="Y35" i="18" s="1"/>
  <c r="Y38" i="18" s="1"/>
  <c r="Y24" i="18"/>
  <c r="Y28" i="18" s="1"/>
  <c r="Y19" i="18"/>
  <c r="Y18" i="18"/>
  <c r="Y54" i="18" s="1"/>
  <c r="Y55" i="18" l="1"/>
  <c r="Y37" i="18"/>
  <c r="BG29" i="43" l="1"/>
  <c r="Y40" i="18"/>
  <c r="Y49" i="18" s="1"/>
  <c r="Y50" i="18" s="1"/>
  <c r="Y53" i="18"/>
  <c r="Y56" i="18" s="1"/>
  <c r="BH29" i="43" l="1"/>
  <c r="Y57" i="18"/>
  <c r="BA69" i="45" l="1"/>
  <c r="BA63" i="45"/>
  <c r="BA55" i="45"/>
  <c r="BA47" i="45"/>
  <c r="BA31" i="45"/>
  <c r="BA38" i="45" s="1"/>
  <c r="BA14" i="45"/>
  <c r="BA72" i="46"/>
  <c r="BE75" i="46" s="1"/>
  <c r="BA53" i="46"/>
  <c r="BA43" i="43"/>
  <c r="BA21" i="43"/>
  <c r="BA56" i="45" s="1"/>
  <c r="BA33" i="43"/>
  <c r="BA46" i="43"/>
  <c r="BA34" i="43"/>
  <c r="BA24" i="43"/>
  <c r="BA51" i="46" s="1"/>
  <c r="BA64" i="43"/>
  <c r="BA56" i="43"/>
  <c r="BA30" i="43"/>
  <c r="BA28" i="43"/>
  <c r="BA16" i="43"/>
  <c r="BA14" i="43"/>
  <c r="BA112" i="39"/>
  <c r="BA111" i="39"/>
  <c r="BA97" i="39"/>
  <c r="BA96" i="39"/>
  <c r="BA87" i="39"/>
  <c r="BA86" i="39"/>
  <c r="BA73" i="39"/>
  <c r="BA110" i="39" s="1"/>
  <c r="BA68" i="39"/>
  <c r="BA109" i="39" s="1"/>
  <c r="BA49" i="39"/>
  <c r="BA29" i="39"/>
  <c r="BA28" i="39"/>
  <c r="BA25" i="39"/>
  <c r="BA23" i="39"/>
  <c r="BA22" i="39"/>
  <c r="BA21" i="39"/>
  <c r="BA19" i="39"/>
  <c r="BA18" i="39"/>
  <c r="BA17" i="39"/>
  <c r="BA15" i="39"/>
  <c r="BA14" i="39"/>
  <c r="BA13" i="39"/>
  <c r="BA10" i="39"/>
  <c r="BA15" i="41"/>
  <c r="BA18" i="43" s="1"/>
  <c r="BA98" i="41"/>
  <c r="BA97" i="41"/>
  <c r="BA96" i="41"/>
  <c r="BA95" i="41"/>
  <c r="BA83" i="41"/>
  <c r="BA82" i="41"/>
  <c r="BB77" i="41" s="1"/>
  <c r="BA70" i="41"/>
  <c r="BA69" i="41"/>
  <c r="BA60" i="41"/>
  <c r="BA59" i="41"/>
  <c r="BA47" i="41"/>
  <c r="BA41" i="41"/>
  <c r="BA27" i="41"/>
  <c r="BA26" i="41"/>
  <c r="BA127" i="44"/>
  <c r="BA13" i="44"/>
  <c r="BA34" i="39" s="1"/>
  <c r="BA177" i="44"/>
  <c r="BA174" i="44"/>
  <c r="BA163" i="44"/>
  <c r="BA145" i="44"/>
  <c r="BA130" i="44"/>
  <c r="BA164" i="44" s="1"/>
  <c r="BA135" i="44"/>
  <c r="BA137" i="44" s="1"/>
  <c r="BA114" i="44"/>
  <c r="BA113" i="44"/>
  <c r="BA112" i="44"/>
  <c r="BA111" i="44"/>
  <c r="BA99" i="44"/>
  <c r="BA98" i="44"/>
  <c r="BA86" i="44"/>
  <c r="BA85" i="44"/>
  <c r="BA71" i="44"/>
  <c r="BA68" i="44"/>
  <c r="BA67" i="44"/>
  <c r="BA65" i="44"/>
  <c r="BA64" i="44"/>
  <c r="BA63" i="44"/>
  <c r="BA55" i="44"/>
  <c r="BA54" i="44"/>
  <c r="BA45" i="44"/>
  <c r="BA39" i="44"/>
  <c r="BB52" i="44" s="1"/>
  <c r="BB47" i="44" s="1"/>
  <c r="BC49" i="44" s="1"/>
  <c r="BA25" i="44"/>
  <c r="BA24" i="44"/>
  <c r="BA10" i="44"/>
  <c r="BA23" i="44" s="1"/>
  <c r="H41" i="46"/>
  <c r="H39" i="46"/>
  <c r="H38" i="46"/>
  <c r="H37" i="46"/>
  <c r="H36" i="46"/>
  <c r="H35" i="46"/>
  <c r="H31" i="46"/>
  <c r="H30" i="46"/>
  <c r="H29" i="46"/>
  <c r="H28" i="46"/>
  <c r="H23" i="46"/>
  <c r="H19" i="46"/>
  <c r="H15" i="46"/>
  <c r="H13" i="46"/>
  <c r="H12" i="46"/>
  <c r="H63" i="43"/>
  <c r="I64" i="43" s="1"/>
  <c r="H43" i="43"/>
  <c r="H32" i="43"/>
  <c r="H98" i="41"/>
  <c r="H29" i="41"/>
  <c r="H153" i="44"/>
  <c r="H151" i="44"/>
  <c r="H147" i="44"/>
  <c r="H112" i="44"/>
  <c r="H27" i="44"/>
  <c r="BA6" i="46"/>
  <c r="BA49" i="46" s="1"/>
  <c r="BB6" i="46"/>
  <c r="BC6" i="46"/>
  <c r="BD6" i="46"/>
  <c r="BE6" i="46"/>
  <c r="BA6" i="45"/>
  <c r="BA53" i="45" s="1"/>
  <c r="BB6" i="45"/>
  <c r="BC6" i="45"/>
  <c r="BD6" i="45"/>
  <c r="BE6" i="45"/>
  <c r="H10" i="45"/>
  <c r="H17" i="45"/>
  <c r="H18" i="45"/>
  <c r="H19" i="45"/>
  <c r="H20" i="45"/>
  <c r="H22" i="45"/>
  <c r="H28" i="45"/>
  <c r="H29" i="45"/>
  <c r="H30" i="45"/>
  <c r="H36" i="45"/>
  <c r="H41" i="45"/>
  <c r="BE53" i="45" l="1"/>
  <c r="BE61" i="45"/>
  <c r="BE66" i="46"/>
  <c r="BE49" i="46"/>
  <c r="BD53" i="45"/>
  <c r="BD61" i="45"/>
  <c r="BD66" i="46"/>
  <c r="BD49" i="46"/>
  <c r="BB67" i="41"/>
  <c r="BB62" i="41" s="1"/>
  <c r="BB54" i="41"/>
  <c r="BC79" i="41"/>
  <c r="BC53" i="45"/>
  <c r="BC61" i="45"/>
  <c r="BC66" i="46"/>
  <c r="BC49" i="46"/>
  <c r="BB61" i="45"/>
  <c r="BB53" i="45"/>
  <c r="BB66" i="46"/>
  <c r="BB49" i="46"/>
  <c r="BA140" i="44"/>
  <c r="BB121" i="44"/>
  <c r="BB83" i="44"/>
  <c r="BB78" i="44" s="1"/>
  <c r="BC80" i="44" s="1"/>
  <c r="BB59" i="44"/>
  <c r="BA37" i="39"/>
  <c r="BA35" i="39"/>
  <c r="BA61" i="45"/>
  <c r="BA70" i="45"/>
  <c r="H42" i="43"/>
  <c r="BA99" i="41"/>
  <c r="BB90" i="41" s="1"/>
  <c r="H72" i="44"/>
  <c r="BA66" i="46"/>
  <c r="BA49" i="45"/>
  <c r="BA74" i="46"/>
  <c r="BA36" i="43"/>
  <c r="BA44" i="43" s="1"/>
  <c r="BA20" i="43"/>
  <c r="BA22" i="43"/>
  <c r="H51" i="43"/>
  <c r="BA25" i="43"/>
  <c r="BA32" i="43"/>
  <c r="BA114" i="39"/>
  <c r="BA113" i="39"/>
  <c r="BA50" i="39"/>
  <c r="BA52" i="39"/>
  <c r="BB54" i="39" s="1"/>
  <c r="BA27" i="39"/>
  <c r="BA8" i="43" s="1"/>
  <c r="BA100" i="41"/>
  <c r="BA115" i="44"/>
  <c r="BA116" i="44"/>
  <c r="BA172" i="44"/>
  <c r="BA170" i="44" s="1"/>
  <c r="BA171" i="44" s="1"/>
  <c r="BA155" i="44"/>
  <c r="BA152" i="44"/>
  <c r="BA144" i="44"/>
  <c r="BA18" i="44"/>
  <c r="BA125" i="44"/>
  <c r="BA14" i="44"/>
  <c r="BA162" i="44"/>
  <c r="H40" i="45"/>
  <c r="AI22" i="47"/>
  <c r="AI18" i="47"/>
  <c r="AI16" i="47"/>
  <c r="AI24" i="47"/>
  <c r="AI20" i="47"/>
  <c r="W52" i="47"/>
  <c r="BC64" i="41" l="1"/>
  <c r="BC92" i="41"/>
  <c r="BC56" i="41"/>
  <c r="BB39" i="39"/>
  <c r="BA38" i="39"/>
  <c r="BB78" i="39"/>
  <c r="BB120" i="44"/>
  <c r="BB123" i="44" s="1"/>
  <c r="BB124" i="44" s="1"/>
  <c r="BA37" i="43"/>
  <c r="BA49" i="43"/>
  <c r="BA53" i="43" s="1"/>
  <c r="BA47" i="43"/>
  <c r="BA53" i="39"/>
  <c r="BA45" i="39"/>
  <c r="BA43" i="39"/>
  <c r="BA58" i="39"/>
  <c r="BA19" i="44"/>
  <c r="BA29" i="44"/>
  <c r="E44" i="47"/>
  <c r="W47" i="47"/>
  <c r="L3" i="47"/>
  <c r="L14" i="47"/>
  <c r="P15" i="47" s="1"/>
  <c r="L16" i="47"/>
  <c r="P17" i="47" s="1"/>
  <c r="L24" i="47"/>
  <c r="L25" i="47"/>
  <c r="BB101" i="39" l="1"/>
  <c r="BB81" i="39"/>
  <c r="BC83" i="39" s="1"/>
  <c r="H40" i="46"/>
  <c r="H43" i="46" s="1"/>
  <c r="H57" i="43"/>
  <c r="H55" i="43" s="1"/>
  <c r="BA60" i="43"/>
  <c r="BA60" i="39"/>
  <c r="BA46" i="39"/>
  <c r="BA30" i="44"/>
  <c r="BE6" i="39"/>
  <c r="BD6" i="39"/>
  <c r="BC6" i="39"/>
  <c r="BB6" i="39"/>
  <c r="BE6" i="41"/>
  <c r="BD6" i="41"/>
  <c r="BC6" i="41"/>
  <c r="BB6" i="41"/>
  <c r="BE6" i="44"/>
  <c r="BE181" i="44" s="1"/>
  <c r="BD6" i="44"/>
  <c r="BC6" i="44"/>
  <c r="BB6" i="44"/>
  <c r="BE57" i="44" l="1"/>
  <c r="BE133" i="44"/>
  <c r="BE118" i="44"/>
  <c r="BE88" i="44"/>
  <c r="BE33" i="44"/>
  <c r="BE168" i="44"/>
  <c r="BE101" i="44"/>
  <c r="BE72" i="41"/>
  <c r="BE85" i="41"/>
  <c r="BE49" i="41"/>
  <c r="BE35" i="41"/>
  <c r="BE64" i="39"/>
  <c r="BE99" i="39"/>
  <c r="BE76" i="39"/>
  <c r="I83" i="41"/>
  <c r="BD118" i="44"/>
  <c r="BD88" i="44"/>
  <c r="BD33" i="44"/>
  <c r="BD101" i="44"/>
  <c r="BD133" i="44"/>
  <c r="BD168" i="44"/>
  <c r="BD57" i="44"/>
  <c r="BD85" i="41"/>
  <c r="BD49" i="41"/>
  <c r="BD35" i="41"/>
  <c r="BD72" i="41"/>
  <c r="BD99" i="39"/>
  <c r="BD76" i="39"/>
  <c r="BD64" i="39"/>
  <c r="BC64" i="39"/>
  <c r="BC76" i="39"/>
  <c r="BC99" i="39"/>
  <c r="BC72" i="41"/>
  <c r="BC35" i="41"/>
  <c r="BC85" i="41"/>
  <c r="BC49" i="41"/>
  <c r="BC101" i="44"/>
  <c r="BC57" i="44"/>
  <c r="BC33" i="44"/>
  <c r="BC168" i="44"/>
  <c r="BC133" i="44"/>
  <c r="BC118" i="44"/>
  <c r="BC88" i="44"/>
  <c r="BB88" i="44"/>
  <c r="BB101" i="44"/>
  <c r="BB118" i="44"/>
  <c r="BB133" i="44"/>
  <c r="BB168" i="44"/>
  <c r="BB33" i="44"/>
  <c r="BB57" i="44"/>
  <c r="BB85" i="41"/>
  <c r="BB49" i="41"/>
  <c r="BB72" i="41"/>
  <c r="BB35" i="41"/>
  <c r="BB99" i="39"/>
  <c r="BB64" i="39"/>
  <c r="BB76" i="39"/>
  <c r="H63" i="46"/>
  <c r="BB104" i="39"/>
  <c r="BC106" i="39" s="1"/>
  <c r="H56" i="43"/>
  <c r="H46" i="41"/>
  <c r="H71" i="44"/>
  <c r="BA61" i="39"/>
  <c r="AZ69" i="45" l="1"/>
  <c r="AZ70" i="45" s="1"/>
  <c r="AZ63" i="45"/>
  <c r="AZ55" i="45"/>
  <c r="AZ47" i="45"/>
  <c r="AZ31" i="45"/>
  <c r="AZ38" i="45" s="1"/>
  <c r="AZ14" i="45"/>
  <c r="AZ72" i="46"/>
  <c r="BD75" i="46" s="1"/>
  <c r="AZ53" i="46"/>
  <c r="I53" i="46" s="1"/>
  <c r="AZ51" i="46"/>
  <c r="I51" i="46" s="1"/>
  <c r="AZ21" i="43"/>
  <c r="AZ24" i="43" s="1"/>
  <c r="AZ46" i="43"/>
  <c r="AZ33" i="43"/>
  <c r="AZ34" i="43" s="1"/>
  <c r="AZ15" i="41"/>
  <c r="AZ13" i="44"/>
  <c r="BA15" i="44" s="1"/>
  <c r="AZ64" i="43"/>
  <c r="AZ56" i="43"/>
  <c r="AZ30" i="43"/>
  <c r="AZ28" i="43"/>
  <c r="AZ16" i="43"/>
  <c r="AZ14" i="43"/>
  <c r="AZ18" i="43" l="1"/>
  <c r="AZ20" i="43" s="1"/>
  <c r="BA17" i="41"/>
  <c r="AZ56" i="45"/>
  <c r="AZ49" i="45"/>
  <c r="AZ36" i="43"/>
  <c r="AZ25" i="43"/>
  <c r="AZ22" i="43"/>
  <c r="AZ32" i="43"/>
  <c r="AZ44" i="43" l="1"/>
  <c r="AZ49" i="43" s="1"/>
  <c r="AZ53" i="43" s="1"/>
  <c r="AZ60" i="43" s="1"/>
  <c r="AZ37" i="43"/>
  <c r="AZ112" i="39"/>
  <c r="AZ111" i="39"/>
  <c r="AZ97" i="39"/>
  <c r="AZ96" i="39"/>
  <c r="AZ87" i="39"/>
  <c r="AZ86" i="39"/>
  <c r="BA94" i="39" s="1"/>
  <c r="BA89" i="39" s="1"/>
  <c r="AZ73" i="39"/>
  <c r="AZ110" i="39" s="1"/>
  <c r="AZ68" i="39"/>
  <c r="AZ109" i="39" s="1"/>
  <c r="AZ49" i="39"/>
  <c r="AZ34" i="39"/>
  <c r="AZ37" i="39" s="1"/>
  <c r="BD40" i="39" s="1"/>
  <c r="AZ29" i="39"/>
  <c r="AZ28" i="39"/>
  <c r="AZ25" i="39"/>
  <c r="AZ23" i="39"/>
  <c r="AZ22" i="39"/>
  <c r="AZ21" i="39"/>
  <c r="AZ19" i="39"/>
  <c r="AZ18" i="39"/>
  <c r="AZ17" i="39"/>
  <c r="AZ15" i="39"/>
  <c r="AZ14" i="39"/>
  <c r="AZ13" i="39"/>
  <c r="AZ10" i="39"/>
  <c r="AZ98" i="41"/>
  <c r="AZ97" i="41"/>
  <c r="AZ96" i="41"/>
  <c r="AZ95" i="41"/>
  <c r="AZ83" i="41"/>
  <c r="AZ82" i="41"/>
  <c r="AZ70" i="41"/>
  <c r="AZ69" i="41"/>
  <c r="AZ60" i="41"/>
  <c r="AZ59" i="41"/>
  <c r="AZ47" i="41"/>
  <c r="AZ41" i="41"/>
  <c r="AZ27" i="41"/>
  <c r="AZ26" i="41"/>
  <c r="AX161" i="44"/>
  <c r="AY161" i="44"/>
  <c r="AZ163" i="44"/>
  <c r="AZ127" i="44"/>
  <c r="AZ99" i="44"/>
  <c r="AZ177" i="44"/>
  <c r="AZ174" i="44"/>
  <c r="AZ145" i="44"/>
  <c r="AZ130" i="44"/>
  <c r="AZ135" i="44"/>
  <c r="AZ137" i="44" s="1"/>
  <c r="AZ114" i="44"/>
  <c r="AZ113" i="44"/>
  <c r="AZ112" i="44"/>
  <c r="AZ111" i="44"/>
  <c r="AZ98" i="44"/>
  <c r="AZ86" i="44"/>
  <c r="AZ85" i="44"/>
  <c r="AZ71" i="44"/>
  <c r="AZ68" i="44"/>
  <c r="AZ67" i="44"/>
  <c r="AZ65" i="44"/>
  <c r="AZ64" i="44"/>
  <c r="AZ63" i="44"/>
  <c r="AZ55" i="44"/>
  <c r="AZ54" i="44"/>
  <c r="AZ45" i="44"/>
  <c r="AZ39" i="44"/>
  <c r="BA52" i="44" s="1"/>
  <c r="BA47" i="44" s="1"/>
  <c r="BB49" i="44" s="1"/>
  <c r="AZ25" i="44"/>
  <c r="AZ24" i="44"/>
  <c r="AZ10" i="44"/>
  <c r="AZ74" i="46" s="1"/>
  <c r="BA39" i="39" l="1"/>
  <c r="BA67" i="41"/>
  <c r="BA62" i="41" s="1"/>
  <c r="BB64" i="41" s="1"/>
  <c r="AZ115" i="44"/>
  <c r="BA121" i="44"/>
  <c r="BA83" i="44"/>
  <c r="BA78" i="44" s="1"/>
  <c r="BB80" i="44" s="1"/>
  <c r="BA59" i="44"/>
  <c r="AZ114" i="39"/>
  <c r="AZ116" i="44"/>
  <c r="AZ47" i="43"/>
  <c r="AZ113" i="39"/>
  <c r="AZ38" i="39"/>
  <c r="AZ50" i="39"/>
  <c r="AZ27" i="39"/>
  <c r="AZ35" i="39"/>
  <c r="AZ52" i="39"/>
  <c r="AZ100" i="41"/>
  <c r="AZ99" i="41"/>
  <c r="AZ140" i="44"/>
  <c r="AZ164" i="44"/>
  <c r="AZ14" i="44"/>
  <c r="AZ23" i="44"/>
  <c r="AZ155" i="44"/>
  <c r="AZ152" i="44"/>
  <c r="AZ144" i="44"/>
  <c r="AZ172" i="44"/>
  <c r="AZ170" i="44" s="1"/>
  <c r="AZ171" i="44" s="1"/>
  <c r="AZ18" i="44"/>
  <c r="AZ125" i="44"/>
  <c r="BA54" i="39" l="1"/>
  <c r="BD55" i="39"/>
  <c r="BA120" i="44"/>
  <c r="BA123" i="44" s="1"/>
  <c r="BA124" i="44" s="1"/>
  <c r="AZ45" i="39"/>
  <c r="AZ8" i="43"/>
  <c r="AZ43" i="39"/>
  <c r="AZ58" i="39"/>
  <c r="AZ53" i="39"/>
  <c r="AZ29" i="44"/>
  <c r="AZ19" i="44"/>
  <c r="AZ60" i="39" l="1"/>
  <c r="AZ61" i="39" s="1"/>
  <c r="AZ46" i="39"/>
  <c r="AZ30" i="44"/>
  <c r="W19" i="47" l="1"/>
  <c r="J3" i="47" l="1"/>
  <c r="K3" i="47"/>
  <c r="K14" i="47"/>
  <c r="O15" i="47" s="1"/>
  <c r="K16" i="47"/>
  <c r="O17" i="47" s="1"/>
  <c r="K24" i="47"/>
  <c r="K25" i="47"/>
  <c r="AY69" i="45" l="1"/>
  <c r="AY63" i="45"/>
  <c r="AY55" i="45"/>
  <c r="AY47" i="45"/>
  <c r="AY31" i="45"/>
  <c r="AY38" i="45" s="1"/>
  <c r="AY14" i="45"/>
  <c r="AY72" i="46"/>
  <c r="AY41" i="46"/>
  <c r="AY40" i="46"/>
  <c r="AY39" i="46"/>
  <c r="AY38" i="46"/>
  <c r="AY37" i="46"/>
  <c r="AY36" i="46"/>
  <c r="AY30" i="46"/>
  <c r="AY29" i="46"/>
  <c r="AY28" i="46"/>
  <c r="AY23" i="46"/>
  <c r="AY22" i="46"/>
  <c r="AY55" i="46" s="1"/>
  <c r="AY20" i="46"/>
  <c r="AY19" i="46"/>
  <c r="AY18" i="46"/>
  <c r="AY15" i="46"/>
  <c r="AY14" i="46"/>
  <c r="AY13" i="46"/>
  <c r="AY12" i="46"/>
  <c r="AY11" i="46"/>
  <c r="AY8" i="46"/>
  <c r="AY53" i="46"/>
  <c r="AV28" i="43"/>
  <c r="AY46" i="43"/>
  <c r="AY54" i="46" s="1"/>
  <c r="AY21" i="43"/>
  <c r="AY22" i="43" s="1"/>
  <c r="AY33" i="43"/>
  <c r="AY34" i="43" s="1"/>
  <c r="AY64" i="43"/>
  <c r="AY56" i="43"/>
  <c r="AY30" i="43"/>
  <c r="AY28" i="43"/>
  <c r="AY16" i="43"/>
  <c r="AY112" i="39"/>
  <c r="AY111" i="39"/>
  <c r="AY97" i="39"/>
  <c r="AY96" i="39"/>
  <c r="AY87" i="39"/>
  <c r="AY86" i="39"/>
  <c r="AZ94" i="39" s="1"/>
  <c r="AZ89" i="39" s="1"/>
  <c r="BA91" i="39" s="1"/>
  <c r="AY73" i="39"/>
  <c r="AY110" i="39" s="1"/>
  <c r="AY114" i="39" s="1"/>
  <c r="AY68" i="39"/>
  <c r="AY109" i="39" s="1"/>
  <c r="AY113" i="39" s="1"/>
  <c r="AY49" i="39"/>
  <c r="AY52" i="39" s="1"/>
  <c r="BC55" i="39" s="1"/>
  <c r="AY29" i="39"/>
  <c r="AY28" i="39"/>
  <c r="AY25" i="39"/>
  <c r="AY23" i="39"/>
  <c r="AY22" i="39"/>
  <c r="AY21" i="39"/>
  <c r="AY19" i="39"/>
  <c r="AY18" i="39"/>
  <c r="AY17" i="39"/>
  <c r="AY15" i="39"/>
  <c r="AY14" i="39"/>
  <c r="AY13" i="39"/>
  <c r="AY10" i="39"/>
  <c r="AY15" i="41"/>
  <c r="AY98" i="41"/>
  <c r="AY97" i="41"/>
  <c r="AY96" i="41"/>
  <c r="AY95" i="41"/>
  <c r="AY83" i="41"/>
  <c r="AY82" i="41"/>
  <c r="AY70" i="41"/>
  <c r="AY69" i="41"/>
  <c r="AY60" i="41"/>
  <c r="AY59" i="41"/>
  <c r="AY47" i="41"/>
  <c r="AY41" i="41"/>
  <c r="AY27" i="41"/>
  <c r="AY26" i="41"/>
  <c r="AY127" i="44"/>
  <c r="AY135" i="44" s="1"/>
  <c r="AY137" i="44" s="1"/>
  <c r="AY13" i="44"/>
  <c r="AY177" i="44"/>
  <c r="AY174" i="44"/>
  <c r="AY145" i="44"/>
  <c r="AY130" i="44"/>
  <c r="AY164" i="44" s="1"/>
  <c r="AY114" i="44"/>
  <c r="AY113" i="44"/>
  <c r="AY112" i="44"/>
  <c r="AY111" i="44"/>
  <c r="AY99" i="44"/>
  <c r="AY98" i="44"/>
  <c r="AY86" i="44"/>
  <c r="AY85" i="44"/>
  <c r="AY71" i="44"/>
  <c r="AY68" i="44"/>
  <c r="AY67" i="44"/>
  <c r="AY65" i="44"/>
  <c r="AY64" i="44"/>
  <c r="AY63" i="44"/>
  <c r="AY55" i="44"/>
  <c r="AY54" i="44"/>
  <c r="AY45" i="44"/>
  <c r="AY39" i="44"/>
  <c r="AZ52" i="44" s="1"/>
  <c r="AZ47" i="44" s="1"/>
  <c r="BA49" i="44" s="1"/>
  <c r="AY25" i="44"/>
  <c r="AY24" i="44"/>
  <c r="AY10" i="44"/>
  <c r="Y29" i="47" l="1"/>
  <c r="Z29" i="47" s="1"/>
  <c r="BC75" i="46"/>
  <c r="AZ11" i="46"/>
  <c r="BA11" i="46" s="1"/>
  <c r="AZ15" i="46"/>
  <c r="BA15" i="46" s="1"/>
  <c r="AZ22" i="46"/>
  <c r="AZ55" i="46" s="1"/>
  <c r="AZ30" i="46"/>
  <c r="BA30" i="46" s="1"/>
  <c r="AZ39" i="46"/>
  <c r="BA39" i="46" s="1"/>
  <c r="AZ12" i="46"/>
  <c r="BA12" i="46" s="1"/>
  <c r="AZ18" i="46"/>
  <c r="BA18" i="46" s="1"/>
  <c r="AZ23" i="46"/>
  <c r="BA23" i="46" s="1"/>
  <c r="AZ36" i="46"/>
  <c r="BA36" i="46" s="1"/>
  <c r="AZ13" i="46"/>
  <c r="BA13" i="46"/>
  <c r="AZ19" i="46"/>
  <c r="BA19" i="46" s="1"/>
  <c r="AZ28" i="46"/>
  <c r="BA28" i="46" s="1"/>
  <c r="AZ37" i="46"/>
  <c r="BA37" i="46" s="1"/>
  <c r="AZ41" i="46"/>
  <c r="BA41" i="46" s="1"/>
  <c r="AZ8" i="46"/>
  <c r="BA8" i="46" s="1"/>
  <c r="AZ14" i="46"/>
  <c r="AZ54" i="46" s="1"/>
  <c r="AZ20" i="46"/>
  <c r="BA20" i="46" s="1"/>
  <c r="AZ29" i="46"/>
  <c r="BA29" i="46" s="1"/>
  <c r="AZ38" i="46"/>
  <c r="BA38" i="46" s="1"/>
  <c r="AZ15" i="44"/>
  <c r="AZ17" i="41"/>
  <c r="AY18" i="43"/>
  <c r="AY20" i="43" s="1"/>
  <c r="AY74" i="46"/>
  <c r="AY56" i="45"/>
  <c r="AY34" i="39"/>
  <c r="AY37" i="39" s="1"/>
  <c r="AY63" i="46"/>
  <c r="AZ40" i="46"/>
  <c r="AZ63" i="46" s="1"/>
  <c r="AY14" i="44"/>
  <c r="AY50" i="39"/>
  <c r="AY75" i="46"/>
  <c r="AZ54" i="39"/>
  <c r="AY70" i="45"/>
  <c r="AZ67" i="41"/>
  <c r="AZ62" i="41" s="1"/>
  <c r="AZ121" i="44"/>
  <c r="AZ83" i="44"/>
  <c r="AZ78" i="44" s="1"/>
  <c r="AZ59" i="44"/>
  <c r="AY115" i="44"/>
  <c r="AY49" i="45"/>
  <c r="AY43" i="46"/>
  <c r="AY56" i="46"/>
  <c r="AY25" i="46"/>
  <c r="AY24" i="43"/>
  <c r="AY32" i="43"/>
  <c r="AY53" i="39"/>
  <c r="AY27" i="39"/>
  <c r="AY99" i="41"/>
  <c r="AY100" i="41"/>
  <c r="AY116" i="44"/>
  <c r="AY140" i="44"/>
  <c r="AY23" i="44"/>
  <c r="AY155" i="44"/>
  <c r="AY172" i="44"/>
  <c r="AY170" i="44" s="1"/>
  <c r="AY171" i="44" s="1"/>
  <c r="AY152" i="44"/>
  <c r="AY144" i="44"/>
  <c r="AY125" i="44"/>
  <c r="AY18" i="44"/>
  <c r="AZ56" i="46" l="1"/>
  <c r="I55" i="46"/>
  <c r="BA14" i="46"/>
  <c r="BA54" i="46" s="1"/>
  <c r="I54" i="46" s="1"/>
  <c r="BA64" i="41"/>
  <c r="BD63" i="41"/>
  <c r="BD65" i="41"/>
  <c r="AZ39" i="39"/>
  <c r="BC40" i="39"/>
  <c r="AY35" i="39"/>
  <c r="AY38" i="39"/>
  <c r="AZ25" i="46"/>
  <c r="BA56" i="46"/>
  <c r="BA40" i="46"/>
  <c r="BA63" i="46" s="1"/>
  <c r="BA22" i="46"/>
  <c r="BA55" i="46" s="1"/>
  <c r="H55" i="46" s="1"/>
  <c r="BA80" i="44"/>
  <c r="AY36" i="43"/>
  <c r="AY37" i="43" s="1"/>
  <c r="AY51" i="46"/>
  <c r="AZ43" i="46"/>
  <c r="AZ120" i="44"/>
  <c r="AZ123" i="44" s="1"/>
  <c r="AZ124" i="44" s="1"/>
  <c r="AY25" i="43"/>
  <c r="AY44" i="43"/>
  <c r="AY45" i="39"/>
  <c r="AY43" i="39"/>
  <c r="AY58" i="39"/>
  <c r="AY29" i="44"/>
  <c r="AY19" i="44"/>
  <c r="I56" i="46" l="1"/>
  <c r="BA43" i="46"/>
  <c r="BA25" i="46"/>
  <c r="AY49" i="43"/>
  <c r="AY53" i="43" s="1"/>
  <c r="AY60" i="43" s="1"/>
  <c r="AY47" i="43"/>
  <c r="AY60" i="39"/>
  <c r="AY46" i="39"/>
  <c r="AY30" i="44"/>
  <c r="BF20" i="43" l="1"/>
  <c r="H20" i="43"/>
  <c r="AY61" i="39"/>
  <c r="BG20" i="43" l="1"/>
  <c r="BH20" i="43" s="1"/>
  <c r="BI20" i="43" s="1"/>
  <c r="I20" i="43" l="1"/>
  <c r="H31" i="48" l="1"/>
  <c r="H40" i="48" s="1"/>
  <c r="J14" i="47"/>
  <c r="N15" i="47" s="1"/>
  <c r="J16" i="47"/>
  <c r="N17" i="47" s="1"/>
  <c r="J24" i="47"/>
  <c r="J25" i="47"/>
  <c r="AX69" i="45" l="1"/>
  <c r="AX63" i="45"/>
  <c r="AX55" i="45"/>
  <c r="AX47" i="45"/>
  <c r="AX31" i="45"/>
  <c r="AX38" i="45" s="1"/>
  <c r="AX14" i="45"/>
  <c r="AX73" i="46"/>
  <c r="AX55" i="46"/>
  <c r="AX27" i="46"/>
  <c r="AX75" i="46"/>
  <c r="AX53" i="46"/>
  <c r="AX63" i="46"/>
  <c r="AX43" i="46"/>
  <c r="AX56" i="46"/>
  <c r="AX25" i="46"/>
  <c r="AX46" i="43"/>
  <c r="AX54" i="46" s="1"/>
  <c r="AX33" i="43"/>
  <c r="AX34" i="43" s="1"/>
  <c r="AX21" i="43"/>
  <c r="AX56" i="45" s="1"/>
  <c r="AX64" i="43"/>
  <c r="AX56" i="43"/>
  <c r="AX30" i="43"/>
  <c r="AX28" i="43"/>
  <c r="AX24" i="43"/>
  <c r="AX16" i="43"/>
  <c r="AX112" i="39"/>
  <c r="AX111" i="39"/>
  <c r="AX97" i="39"/>
  <c r="AX96" i="39"/>
  <c r="AX87" i="39"/>
  <c r="AX86" i="39"/>
  <c r="AY94" i="39" s="1"/>
  <c r="AY89" i="39" s="1"/>
  <c r="AX73" i="39"/>
  <c r="AX110" i="39" s="1"/>
  <c r="AX114" i="39" s="1"/>
  <c r="AX68" i="39"/>
  <c r="AX109" i="39" s="1"/>
  <c r="AX49" i="39"/>
  <c r="AX52" i="39" s="1"/>
  <c r="BB55" i="39" s="1"/>
  <c r="AX29" i="39"/>
  <c r="AX28" i="39"/>
  <c r="AX25" i="39"/>
  <c r="AX23" i="39"/>
  <c r="AX22" i="39"/>
  <c r="AX21" i="39"/>
  <c r="AX19" i="39"/>
  <c r="AX18" i="39"/>
  <c r="AX17" i="39"/>
  <c r="AX15" i="39"/>
  <c r="AX14" i="39"/>
  <c r="AX13" i="39"/>
  <c r="AX10" i="39"/>
  <c r="AX9" i="41"/>
  <c r="AX10" i="41"/>
  <c r="AX15" i="41"/>
  <c r="AY17" i="41" s="1"/>
  <c r="AX98" i="41"/>
  <c r="AX97" i="41"/>
  <c r="AX96" i="41"/>
  <c r="AX95" i="41"/>
  <c r="AX83" i="41"/>
  <c r="AX82" i="41"/>
  <c r="AX70" i="41"/>
  <c r="AX69" i="41"/>
  <c r="AX60" i="41"/>
  <c r="AX59" i="41"/>
  <c r="AX47" i="41"/>
  <c r="AX41" i="41"/>
  <c r="AX27" i="41"/>
  <c r="AX26" i="41"/>
  <c r="AX127" i="44"/>
  <c r="AX135" i="44" s="1"/>
  <c r="AX137" i="44" s="1"/>
  <c r="AW71" i="44"/>
  <c r="AX71" i="44"/>
  <c r="AX13" i="44"/>
  <c r="AX177" i="44"/>
  <c r="AX174" i="44"/>
  <c r="AX145" i="44"/>
  <c r="AX130" i="44"/>
  <c r="AX164" i="44" s="1"/>
  <c r="AX114" i="44"/>
  <c r="AX113" i="44"/>
  <c r="AX112" i="44"/>
  <c r="AX111" i="44"/>
  <c r="AX99" i="44"/>
  <c r="AX98" i="44"/>
  <c r="AX86" i="44"/>
  <c r="AX85" i="44"/>
  <c r="AX68" i="44"/>
  <c r="AX67" i="44"/>
  <c r="AX65" i="44"/>
  <c r="AX64" i="44"/>
  <c r="AX63" i="44"/>
  <c r="AX55" i="44"/>
  <c r="AX54" i="44"/>
  <c r="AX45" i="44"/>
  <c r="AX39" i="44"/>
  <c r="AY52" i="44" s="1"/>
  <c r="AY47" i="44" s="1"/>
  <c r="AX25" i="44"/>
  <c r="AX24" i="44"/>
  <c r="AX10" i="44"/>
  <c r="AX18" i="44" s="1"/>
  <c r="AZ49" i="44" l="1"/>
  <c r="BC48" i="44"/>
  <c r="BC50" i="44"/>
  <c r="AX115" i="44"/>
  <c r="AX113" i="39"/>
  <c r="AX51" i="46"/>
  <c r="AX52" i="46"/>
  <c r="AY15" i="44"/>
  <c r="AX87" i="41"/>
  <c r="AY10" i="41"/>
  <c r="AX34" i="39"/>
  <c r="AX37" i="39" s="1"/>
  <c r="AZ91" i="39"/>
  <c r="AX18" i="43"/>
  <c r="AX20" i="43" s="1"/>
  <c r="AX74" i="41"/>
  <c r="AY9" i="41"/>
  <c r="AY27" i="46"/>
  <c r="AX89" i="46"/>
  <c r="AX8" i="41"/>
  <c r="AX51" i="41" s="1"/>
  <c r="AX74" i="46"/>
  <c r="AX50" i="39"/>
  <c r="AY54" i="39"/>
  <c r="AX70" i="45"/>
  <c r="AX100" i="41"/>
  <c r="AX140" i="44"/>
  <c r="AY83" i="44"/>
  <c r="AY78" i="44" s="1"/>
  <c r="AY121" i="44"/>
  <c r="AY59" i="44"/>
  <c r="BC60" i="44" s="1"/>
  <c r="AX99" i="41"/>
  <c r="AY67" i="41"/>
  <c r="AY62" i="41" s="1"/>
  <c r="AX49" i="45"/>
  <c r="AX59" i="46"/>
  <c r="O12" i="47" s="1"/>
  <c r="AX32" i="43"/>
  <c r="AX36" i="43"/>
  <c r="AX25" i="43"/>
  <c r="AX22" i="43"/>
  <c r="AX53" i="39"/>
  <c r="AX27" i="39"/>
  <c r="AX12" i="41"/>
  <c r="AX116" i="44"/>
  <c r="AX14" i="44"/>
  <c r="AX172" i="44"/>
  <c r="AX170" i="44" s="1"/>
  <c r="AX171" i="44" s="1"/>
  <c r="AX155" i="44"/>
  <c r="AX152" i="44"/>
  <c r="AX144" i="44"/>
  <c r="AX29" i="44"/>
  <c r="AX19" i="44"/>
  <c r="AX23" i="44"/>
  <c r="AX125" i="44"/>
  <c r="W31" i="47"/>
  <c r="O10" i="47" l="1"/>
  <c r="BB92" i="46"/>
  <c r="AZ64" i="41"/>
  <c r="BC63" i="41"/>
  <c r="BC65" i="41"/>
  <c r="BC81" i="44"/>
  <c r="BC79" i="44"/>
  <c r="AX38" i="39"/>
  <c r="H75" i="44"/>
  <c r="AX35" i="39"/>
  <c r="AY39" i="39"/>
  <c r="BB40" i="39"/>
  <c r="AX25" i="41"/>
  <c r="H99" i="44"/>
  <c r="AY89" i="46"/>
  <c r="P10" i="47" s="1"/>
  <c r="AY52" i="46"/>
  <c r="AY59" i="46"/>
  <c r="P12" i="47" s="1"/>
  <c r="AY74" i="41"/>
  <c r="AZ9" i="41"/>
  <c r="BA9" i="41" s="1"/>
  <c r="AY8" i="41"/>
  <c r="AX64" i="46"/>
  <c r="AZ27" i="46"/>
  <c r="BA27" i="46" s="1"/>
  <c r="AZ80" i="44"/>
  <c r="AY87" i="41"/>
  <c r="AZ10" i="41"/>
  <c r="AY120" i="44"/>
  <c r="AY123" i="44" s="1"/>
  <c r="AY124" i="44" s="1"/>
  <c r="AX60" i="46"/>
  <c r="AX57" i="46"/>
  <c r="AX91" i="46"/>
  <c r="O11" i="47" s="1"/>
  <c r="AX44" i="43"/>
  <c r="AX37" i="43"/>
  <c r="AX45" i="39"/>
  <c r="AX43" i="39"/>
  <c r="AX58" i="39"/>
  <c r="AX16" i="41"/>
  <c r="AX20" i="41"/>
  <c r="AX30" i="44"/>
  <c r="W3" i="47"/>
  <c r="I3" i="47"/>
  <c r="I14" i="47"/>
  <c r="M15" i="47" s="1"/>
  <c r="I16" i="47"/>
  <c r="M17" i="47" s="1"/>
  <c r="I24" i="47"/>
  <c r="I25" i="47"/>
  <c r="AW28" i="39"/>
  <c r="AV28" i="39"/>
  <c r="AU28" i="39"/>
  <c r="AT28" i="39"/>
  <c r="AS28" i="39"/>
  <c r="AR28" i="39"/>
  <c r="AQ28" i="39"/>
  <c r="AP28" i="39"/>
  <c r="AW29" i="39"/>
  <c r="AV29" i="39"/>
  <c r="AU29" i="39"/>
  <c r="AT29" i="39"/>
  <c r="AS29" i="39"/>
  <c r="AR29" i="39"/>
  <c r="AQ29" i="39"/>
  <c r="AP29" i="39"/>
  <c r="AL177" i="44"/>
  <c r="AM177" i="44"/>
  <c r="AN177" i="44"/>
  <c r="AO177" i="44"/>
  <c r="AP177" i="44"/>
  <c r="AQ177" i="44"/>
  <c r="AR177" i="44"/>
  <c r="AS177" i="44"/>
  <c r="AT177" i="44"/>
  <c r="AX178" i="44" s="1"/>
  <c r="AU177" i="44"/>
  <c r="AY178" i="44" s="1"/>
  <c r="AV177" i="44"/>
  <c r="AZ178" i="44" s="1"/>
  <c r="AW177" i="44"/>
  <c r="BA178" i="44" s="1"/>
  <c r="AD177" i="44"/>
  <c r="AW6" i="46"/>
  <c r="AW49" i="46" s="1"/>
  <c r="J145" i="44"/>
  <c r="AP155" i="44"/>
  <c r="AQ155" i="44"/>
  <c r="AR155" i="44"/>
  <c r="AS155" i="44"/>
  <c r="AP152" i="44"/>
  <c r="AQ152" i="44"/>
  <c r="AR152" i="44"/>
  <c r="AS152" i="44"/>
  <c r="S1" i="44"/>
  <c r="T1" i="44" s="1"/>
  <c r="U1" i="44" s="1"/>
  <c r="V1" i="44" s="1"/>
  <c r="W1" i="44" s="1"/>
  <c r="X1" i="44" s="1"/>
  <c r="Y1" i="44" s="1"/>
  <c r="Z1" i="44" s="1"/>
  <c r="AA1" i="44" s="1"/>
  <c r="AB1" i="44" s="1"/>
  <c r="AC1" i="44" s="1"/>
  <c r="AD1" i="44" s="1"/>
  <c r="AE1" i="44" s="1"/>
  <c r="AF1" i="44" s="1"/>
  <c r="AG1" i="44" s="1"/>
  <c r="AH1" i="44" s="1"/>
  <c r="AI1" i="44" s="1"/>
  <c r="AJ1" i="44" s="1"/>
  <c r="AK1" i="44" s="1"/>
  <c r="AL1" i="44" s="1"/>
  <c r="AM1" i="44" s="1"/>
  <c r="AN1" i="44" s="1"/>
  <c r="AO1" i="44" s="1"/>
  <c r="AP1" i="44" s="1"/>
  <c r="AQ1" i="44" s="1"/>
  <c r="AR1" i="44" s="1"/>
  <c r="AS1" i="44" s="1"/>
  <c r="AT1" i="44" s="1"/>
  <c r="AU1" i="44" s="1"/>
  <c r="AV1" i="44" s="1"/>
  <c r="AW1" i="44" s="1"/>
  <c r="AO145" i="44"/>
  <c r="AP145" i="44"/>
  <c r="AQ145" i="44"/>
  <c r="AR145" i="44"/>
  <c r="AS145" i="44"/>
  <c r="AT145" i="44"/>
  <c r="AU145" i="44"/>
  <c r="AV145" i="44"/>
  <c r="AW145" i="44"/>
  <c r="AN145" i="44"/>
  <c r="G20" i="43"/>
  <c r="J20" i="43" s="1"/>
  <c r="K20" i="43" s="1"/>
  <c r="L20" i="43" s="1"/>
  <c r="M20" i="43" s="1"/>
  <c r="N20" i="43" s="1"/>
  <c r="O20" i="43" s="1"/>
  <c r="P20" i="43" s="1"/>
  <c r="AW69" i="45"/>
  <c r="AW63" i="45"/>
  <c r="AW55" i="45"/>
  <c r="AW47" i="45"/>
  <c r="AW31" i="45"/>
  <c r="AW14" i="45"/>
  <c r="AW72" i="46"/>
  <c r="AW53" i="46"/>
  <c r="AW46" i="43"/>
  <c r="AW21" i="43"/>
  <c r="AW56" i="45" s="1"/>
  <c r="AW33" i="43"/>
  <c r="AW34" i="43" s="1"/>
  <c r="AV33" i="43"/>
  <c r="AW64" i="43"/>
  <c r="AW56" i="43"/>
  <c r="AW30" i="43"/>
  <c r="AW28" i="43"/>
  <c r="AW16" i="43"/>
  <c r="AW112" i="39"/>
  <c r="AW111" i="39"/>
  <c r="AW97" i="39"/>
  <c r="AW96" i="39"/>
  <c r="AW87" i="39"/>
  <c r="AW86" i="39"/>
  <c r="AW73" i="39"/>
  <c r="AW110" i="39" s="1"/>
  <c r="AW68" i="39"/>
  <c r="AW109" i="39" s="1"/>
  <c r="AW49" i="39"/>
  <c r="AW52" i="39" s="1"/>
  <c r="BA55" i="39" s="1"/>
  <c r="AW25" i="39"/>
  <c r="BA31" i="39" s="1"/>
  <c r="AW23" i="39"/>
  <c r="AW22" i="39"/>
  <c r="AW21" i="39"/>
  <c r="AW18" i="39"/>
  <c r="AW15" i="39"/>
  <c r="AW14" i="39"/>
  <c r="AW13" i="39"/>
  <c r="AW10" i="39"/>
  <c r="BA30" i="39" s="1"/>
  <c r="AW15" i="41"/>
  <c r="BA18" i="41" s="1"/>
  <c r="AW98" i="41"/>
  <c r="AW97" i="41"/>
  <c r="AW96" i="41"/>
  <c r="AW100" i="41" s="1"/>
  <c r="AW95" i="41"/>
  <c r="AW87" i="41"/>
  <c r="AW83" i="41"/>
  <c r="AW82" i="41"/>
  <c r="AX77" i="41" s="1"/>
  <c r="AW74" i="41"/>
  <c r="AW70" i="41"/>
  <c r="AW69" i="41"/>
  <c r="AW60" i="41"/>
  <c r="AW59" i="41"/>
  <c r="F59" i="41" s="1"/>
  <c r="AW51" i="41"/>
  <c r="AW47" i="41"/>
  <c r="AW41" i="41"/>
  <c r="AW27" i="41"/>
  <c r="AW26" i="41"/>
  <c r="AW12" i="41"/>
  <c r="AW127" i="44"/>
  <c r="AW135" i="44" s="1"/>
  <c r="AW137" i="44" s="1"/>
  <c r="AW13" i="44"/>
  <c r="AW174" i="44"/>
  <c r="BA175" i="44" s="1"/>
  <c r="AW130" i="44"/>
  <c r="AW164" i="44" s="1"/>
  <c r="AW114" i="44"/>
  <c r="AW113" i="44"/>
  <c r="F113" i="44" s="1"/>
  <c r="AW112" i="44"/>
  <c r="AW111" i="44"/>
  <c r="F111" i="44" s="1"/>
  <c r="AW99" i="44"/>
  <c r="AW98" i="44"/>
  <c r="F98" i="44" s="1"/>
  <c r="F36" i="44" s="1"/>
  <c r="AW86" i="44"/>
  <c r="AW85" i="44"/>
  <c r="AW68" i="44"/>
  <c r="AW67" i="44"/>
  <c r="AW140" i="44" s="1"/>
  <c r="AW65" i="44"/>
  <c r="AW64" i="44"/>
  <c r="AW63" i="44"/>
  <c r="AW55" i="44"/>
  <c r="AW54" i="44"/>
  <c r="AW45" i="44"/>
  <c r="AW39" i="44"/>
  <c r="AX52" i="44" s="1"/>
  <c r="AX47" i="44" s="1"/>
  <c r="AW25" i="44"/>
  <c r="AW24" i="44"/>
  <c r="AW10" i="44"/>
  <c r="G55" i="46"/>
  <c r="G41" i="46"/>
  <c r="G39" i="46"/>
  <c r="G38" i="46"/>
  <c r="G37" i="46"/>
  <c r="G36" i="46"/>
  <c r="G35" i="46"/>
  <c r="G30" i="46"/>
  <c r="G29" i="46"/>
  <c r="G28" i="46"/>
  <c r="G23" i="46"/>
  <c r="G19" i="46"/>
  <c r="G15" i="46"/>
  <c r="G13" i="46"/>
  <c r="G12" i="46"/>
  <c r="G63" i="43"/>
  <c r="H64" i="43" s="1"/>
  <c r="G51" i="43"/>
  <c r="J51" i="43" s="1"/>
  <c r="K51" i="43" s="1"/>
  <c r="L51" i="43" s="1"/>
  <c r="M51" i="43" s="1"/>
  <c r="N51" i="43" s="1"/>
  <c r="O51" i="43" s="1"/>
  <c r="P51" i="43" s="1"/>
  <c r="G43" i="43"/>
  <c r="J43" i="43" s="1"/>
  <c r="K43" i="43" s="1"/>
  <c r="L43" i="43" s="1"/>
  <c r="M43" i="43" s="1"/>
  <c r="N43" i="43" s="1"/>
  <c r="O43" i="43" s="1"/>
  <c r="P43" i="43" s="1"/>
  <c r="G98" i="41"/>
  <c r="G29" i="41"/>
  <c r="AS35" i="41"/>
  <c r="AR35" i="41"/>
  <c r="AQ35" i="41"/>
  <c r="AP35" i="41"/>
  <c r="G75" i="44"/>
  <c r="G27" i="44"/>
  <c r="G77" i="46"/>
  <c r="AS85" i="41"/>
  <c r="AR85" i="41"/>
  <c r="AQ85" i="41"/>
  <c r="AP85" i="41"/>
  <c r="AS72" i="41"/>
  <c r="AR72" i="41"/>
  <c r="AQ72" i="41"/>
  <c r="AP72" i="41"/>
  <c r="J6" i="41"/>
  <c r="J85" i="41" s="1"/>
  <c r="I6" i="41"/>
  <c r="H6" i="41"/>
  <c r="G6" i="41"/>
  <c r="G72" i="41" s="1"/>
  <c r="D6" i="41"/>
  <c r="D35" i="41" s="1"/>
  <c r="E6" i="41"/>
  <c r="E85" i="41" s="1"/>
  <c r="F6" i="41"/>
  <c r="F72" i="41" s="1"/>
  <c r="J6" i="44"/>
  <c r="J101" i="44" s="1"/>
  <c r="I6" i="44"/>
  <c r="I181" i="44" s="1"/>
  <c r="H6" i="44"/>
  <c r="H181" i="44" s="1"/>
  <c r="G6" i="44"/>
  <c r="G57" i="44" s="1"/>
  <c r="D6" i="44"/>
  <c r="D57" i="44" s="1"/>
  <c r="E6" i="44"/>
  <c r="E88" i="44" s="1"/>
  <c r="F6" i="44"/>
  <c r="F101" i="44" s="1"/>
  <c r="J6" i="46"/>
  <c r="J66" i="46" s="1"/>
  <c r="I6" i="46"/>
  <c r="H6" i="46"/>
  <c r="G6" i="46"/>
  <c r="G66" i="46" s="1"/>
  <c r="D6" i="46"/>
  <c r="D66" i="46" s="1"/>
  <c r="E6" i="46"/>
  <c r="E66" i="46" s="1"/>
  <c r="F6" i="46"/>
  <c r="F66" i="46" s="1"/>
  <c r="J6" i="45"/>
  <c r="J61" i="45" s="1"/>
  <c r="I6" i="45"/>
  <c r="H6" i="45"/>
  <c r="G6" i="45"/>
  <c r="G61" i="45" s="1"/>
  <c r="D6" i="45"/>
  <c r="D61" i="45" s="1"/>
  <c r="E6" i="45"/>
  <c r="E61" i="45" s="1"/>
  <c r="F6" i="45"/>
  <c r="F61" i="45" s="1"/>
  <c r="J6" i="39"/>
  <c r="J76" i="39" s="1"/>
  <c r="I6" i="39"/>
  <c r="H6" i="39"/>
  <c r="G6" i="39"/>
  <c r="G99" i="39" s="1"/>
  <c r="D6" i="39"/>
  <c r="D99" i="39" s="1"/>
  <c r="E6" i="39"/>
  <c r="E99" i="39" s="1"/>
  <c r="F6" i="39"/>
  <c r="F64" i="39" s="1"/>
  <c r="AP6" i="39"/>
  <c r="AQ6" i="39"/>
  <c r="AR6" i="39"/>
  <c r="AS6" i="39"/>
  <c r="AT6" i="39"/>
  <c r="AT99" i="39" s="1"/>
  <c r="AU6" i="39"/>
  <c r="AU99" i="39" s="1"/>
  <c r="AV6" i="39"/>
  <c r="AV99" i="39" s="1"/>
  <c r="AW6" i="39"/>
  <c r="AW99" i="39" s="1"/>
  <c r="AX6" i="39"/>
  <c r="AY6" i="39"/>
  <c r="AZ6" i="39"/>
  <c r="BA6" i="39"/>
  <c r="AP6" i="41"/>
  <c r="AQ6" i="41"/>
  <c r="AQ49" i="41" s="1"/>
  <c r="AR6" i="41"/>
  <c r="AR49" i="41" s="1"/>
  <c r="AS6" i="41"/>
  <c r="AS49" i="41" s="1"/>
  <c r="AT6" i="41"/>
  <c r="AT72" i="41" s="1"/>
  <c r="AU6" i="41"/>
  <c r="AU35" i="41" s="1"/>
  <c r="AV6" i="41"/>
  <c r="AV85" i="41" s="1"/>
  <c r="AW6" i="41"/>
  <c r="AW85" i="41" s="1"/>
  <c r="AX6" i="41"/>
  <c r="AY6" i="41"/>
  <c r="AZ6" i="41"/>
  <c r="BA6" i="41"/>
  <c r="AP6" i="44"/>
  <c r="AQ6" i="44"/>
  <c r="AR6" i="44"/>
  <c r="AS6" i="44"/>
  <c r="AT6" i="44"/>
  <c r="AT133" i="44" s="1"/>
  <c r="AU6" i="44"/>
  <c r="AU33" i="44" s="1"/>
  <c r="AV6" i="44"/>
  <c r="AV57" i="44" s="1"/>
  <c r="AW6" i="44"/>
  <c r="AW88" i="44" s="1"/>
  <c r="AX6" i="44"/>
  <c r="AY6" i="44"/>
  <c r="AZ6" i="44"/>
  <c r="BA6" i="44"/>
  <c r="AP6" i="46"/>
  <c r="AQ6" i="46"/>
  <c r="AR6" i="46"/>
  <c r="AS6" i="46"/>
  <c r="AT6" i="46"/>
  <c r="AT49" i="46" s="1"/>
  <c r="AU6" i="46"/>
  <c r="AU66" i="46" s="1"/>
  <c r="AV6" i="46"/>
  <c r="AV66" i="46" s="1"/>
  <c r="AX6" i="46"/>
  <c r="AY6" i="46"/>
  <c r="AZ6" i="46"/>
  <c r="AP6" i="45"/>
  <c r="AQ6" i="45"/>
  <c r="AR6" i="45"/>
  <c r="AS6" i="45"/>
  <c r="AT6" i="45"/>
  <c r="AT53" i="45" s="1"/>
  <c r="AU6" i="45"/>
  <c r="AU61" i="45" s="1"/>
  <c r="AV6" i="45"/>
  <c r="AV61" i="45" s="1"/>
  <c r="AW6" i="45"/>
  <c r="AW53" i="45" s="1"/>
  <c r="AX6" i="45"/>
  <c r="AY6" i="45"/>
  <c r="AZ6" i="45"/>
  <c r="G17" i="45"/>
  <c r="J17" i="45" s="1"/>
  <c r="K17" i="45" s="1"/>
  <c r="L17" i="45" s="1"/>
  <c r="M17" i="45" s="1"/>
  <c r="N17" i="45" s="1"/>
  <c r="O17" i="45" s="1"/>
  <c r="P17" i="45" s="1"/>
  <c r="G18" i="45"/>
  <c r="J18" i="45" s="1"/>
  <c r="K18" i="45" s="1"/>
  <c r="L18" i="45" s="1"/>
  <c r="M18" i="45" s="1"/>
  <c r="N18" i="45" s="1"/>
  <c r="O18" i="45" s="1"/>
  <c r="P18" i="45" s="1"/>
  <c r="G19" i="45"/>
  <c r="J19" i="45" s="1"/>
  <c r="K19" i="45" s="1"/>
  <c r="L19" i="45" s="1"/>
  <c r="M19" i="45" s="1"/>
  <c r="N19" i="45" s="1"/>
  <c r="O19" i="45" s="1"/>
  <c r="P19" i="45" s="1"/>
  <c r="G20" i="45"/>
  <c r="J20" i="45" s="1"/>
  <c r="K20" i="45" s="1"/>
  <c r="L20" i="45" s="1"/>
  <c r="M20" i="45" s="1"/>
  <c r="N20" i="45" s="1"/>
  <c r="O20" i="45" s="1"/>
  <c r="P20" i="45" s="1"/>
  <c r="G22" i="45"/>
  <c r="J22" i="45" s="1"/>
  <c r="K22" i="45" s="1"/>
  <c r="L22" i="45" s="1"/>
  <c r="M22" i="45" s="1"/>
  <c r="N22" i="45" s="1"/>
  <c r="O22" i="45" s="1"/>
  <c r="P22" i="45" s="1"/>
  <c r="G28" i="45"/>
  <c r="J28" i="45" s="1"/>
  <c r="K28" i="45" s="1"/>
  <c r="L28" i="45" s="1"/>
  <c r="M28" i="45" s="1"/>
  <c r="N28" i="45" s="1"/>
  <c r="O28" i="45" s="1"/>
  <c r="P28" i="45" s="1"/>
  <c r="G29" i="45"/>
  <c r="J29" i="45" s="1"/>
  <c r="K29" i="45" s="1"/>
  <c r="L29" i="45" s="1"/>
  <c r="M29" i="45" s="1"/>
  <c r="N29" i="45" s="1"/>
  <c r="O29" i="45" s="1"/>
  <c r="P29" i="45" s="1"/>
  <c r="G30" i="45"/>
  <c r="J30" i="45" s="1"/>
  <c r="K30" i="45" s="1"/>
  <c r="L30" i="45" s="1"/>
  <c r="M30" i="45" s="1"/>
  <c r="N30" i="45" s="1"/>
  <c r="O30" i="45" s="1"/>
  <c r="P30" i="45" s="1"/>
  <c r="G36" i="45"/>
  <c r="J36" i="45" s="1"/>
  <c r="K36" i="45" s="1"/>
  <c r="L36" i="45" s="1"/>
  <c r="M36" i="45" s="1"/>
  <c r="N36" i="45" s="1"/>
  <c r="O36" i="45" s="1"/>
  <c r="P36" i="45" s="1"/>
  <c r="G40" i="45"/>
  <c r="J40" i="45" s="1"/>
  <c r="K40" i="45" s="1"/>
  <c r="L40" i="45" s="1"/>
  <c r="M40" i="45" s="1"/>
  <c r="N40" i="45" s="1"/>
  <c r="O40" i="45" s="1"/>
  <c r="P40" i="45" s="1"/>
  <c r="G41" i="45"/>
  <c r="J41" i="45" s="1"/>
  <c r="K41" i="45" s="1"/>
  <c r="L41" i="45" s="1"/>
  <c r="M41" i="45" s="1"/>
  <c r="N41" i="45" s="1"/>
  <c r="O41" i="45" s="1"/>
  <c r="P41" i="45" s="1"/>
  <c r="AP49" i="41"/>
  <c r="G46" i="41"/>
  <c r="W42" i="47"/>
  <c r="AW125" i="44"/>
  <c r="AW34" i="39"/>
  <c r="AW37" i="39" s="1"/>
  <c r="G35" i="41"/>
  <c r="G32" i="43"/>
  <c r="J32" i="43" s="1"/>
  <c r="K32" i="43" s="1"/>
  <c r="L32" i="43" s="1"/>
  <c r="M32" i="43" s="1"/>
  <c r="N32" i="43" s="1"/>
  <c r="O32" i="43" s="1"/>
  <c r="P32" i="43" s="1"/>
  <c r="AW38" i="45"/>
  <c r="AW49" i="45"/>
  <c r="AW74" i="46"/>
  <c r="G133" i="44"/>
  <c r="J35" i="41"/>
  <c r="AW22" i="43"/>
  <c r="AW16" i="41"/>
  <c r="AW20" i="41"/>
  <c r="AW14" i="44"/>
  <c r="AW18" i="44"/>
  <c r="AW21" i="41"/>
  <c r="AW31" i="41"/>
  <c r="AW32" i="41" s="1"/>
  <c r="AW19" i="44"/>
  <c r="AW29" i="44"/>
  <c r="BA31" i="44" s="1"/>
  <c r="AV72" i="46"/>
  <c r="X32" i="47"/>
  <c r="X36" i="47"/>
  <c r="E25" i="47"/>
  <c r="F25" i="47"/>
  <c r="G25" i="47"/>
  <c r="H25" i="47"/>
  <c r="E24" i="47"/>
  <c r="F24" i="47"/>
  <c r="G24" i="47"/>
  <c r="H24" i="47"/>
  <c r="H16" i="47"/>
  <c r="L17" i="47" s="1"/>
  <c r="G16" i="47"/>
  <c r="K17" i="47" s="1"/>
  <c r="F16" i="47"/>
  <c r="J17" i="47" s="1"/>
  <c r="E16" i="47"/>
  <c r="H3" i="47"/>
  <c r="G3" i="47"/>
  <c r="F3" i="47"/>
  <c r="E3" i="47"/>
  <c r="E14" i="47"/>
  <c r="H14" i="47"/>
  <c r="L15" i="47" s="1"/>
  <c r="G14" i="47"/>
  <c r="K15" i="47" s="1"/>
  <c r="F14" i="47"/>
  <c r="J15" i="47" s="1"/>
  <c r="X35" i="47"/>
  <c r="X34" i="47"/>
  <c r="W33" i="47"/>
  <c r="X33" i="47" s="1"/>
  <c r="X24" i="47"/>
  <c r="AG37" i="47"/>
  <c r="Y11" i="47"/>
  <c r="AG35" i="47"/>
  <c r="Y9" i="47"/>
  <c r="W9" i="47"/>
  <c r="W11" i="47"/>
  <c r="D15" i="45"/>
  <c r="E15" i="45"/>
  <c r="AV14" i="45"/>
  <c r="AU14" i="45"/>
  <c r="AT14" i="45"/>
  <c r="AS14" i="45"/>
  <c r="AR14" i="45"/>
  <c r="AQ14" i="45"/>
  <c r="AP14" i="45"/>
  <c r="AO14" i="45"/>
  <c r="AN14" i="45"/>
  <c r="AM14" i="45"/>
  <c r="AL14" i="45"/>
  <c r="AM56" i="43"/>
  <c r="AN56" i="43"/>
  <c r="AO56" i="43"/>
  <c r="AP56" i="43"/>
  <c r="AQ56" i="43"/>
  <c r="AR56" i="43"/>
  <c r="AS56" i="43"/>
  <c r="AT56" i="43"/>
  <c r="AU56" i="43"/>
  <c r="AV56" i="43"/>
  <c r="AL56" i="43"/>
  <c r="AV69" i="45"/>
  <c r="AL69" i="45"/>
  <c r="AM69" i="45"/>
  <c r="AN69" i="45"/>
  <c r="AO69" i="45"/>
  <c r="AP69" i="45"/>
  <c r="AQ69" i="45"/>
  <c r="AR69" i="45"/>
  <c r="AS69" i="45"/>
  <c r="AT69" i="45"/>
  <c r="AU69" i="45"/>
  <c r="G10" i="45"/>
  <c r="J10" i="45" s="1"/>
  <c r="K10" i="45" s="1"/>
  <c r="L10" i="45" s="1"/>
  <c r="M10" i="45" s="1"/>
  <c r="N10" i="45" s="1"/>
  <c r="O10" i="45" s="1"/>
  <c r="P10" i="45" s="1"/>
  <c r="AV55" i="45"/>
  <c r="AV64" i="45"/>
  <c r="AU64" i="45"/>
  <c r="AT64" i="45"/>
  <c r="AS64" i="45"/>
  <c r="E64" i="45" s="1"/>
  <c r="AR64" i="45"/>
  <c r="AQ64" i="45"/>
  <c r="AP64" i="45"/>
  <c r="AO64" i="45"/>
  <c r="D64" i="45" s="1"/>
  <c r="AN64" i="45"/>
  <c r="AM64" i="45"/>
  <c r="AL64" i="45"/>
  <c r="AV63" i="45"/>
  <c r="AU63" i="45"/>
  <c r="AT63" i="45"/>
  <c r="AT65" i="45" s="1"/>
  <c r="AS63" i="45"/>
  <c r="E63" i="45" s="1"/>
  <c r="AR63" i="45"/>
  <c r="AR65" i="45" s="1"/>
  <c r="AQ63" i="45"/>
  <c r="AP63" i="45"/>
  <c r="AP65" i="45" s="1"/>
  <c r="AO63" i="45"/>
  <c r="AN63" i="45"/>
  <c r="AN65" i="45" s="1"/>
  <c r="AM63" i="45"/>
  <c r="AL63" i="45"/>
  <c r="AL65" i="45" s="1"/>
  <c r="AV64" i="43"/>
  <c r="AU64" i="43"/>
  <c r="AT64" i="43"/>
  <c r="AS64" i="43"/>
  <c r="AR64" i="43"/>
  <c r="AQ64" i="43"/>
  <c r="AP64" i="43"/>
  <c r="F63" i="43"/>
  <c r="G64" i="43" s="1"/>
  <c r="E63" i="43"/>
  <c r="D63" i="43"/>
  <c r="AP63" i="46"/>
  <c r="AT63" i="46"/>
  <c r="AL63" i="46"/>
  <c r="AL82" i="46"/>
  <c r="AM82" i="46" s="1"/>
  <c r="AP82" i="46"/>
  <c r="AT82" i="46"/>
  <c r="AT84" i="46" s="1"/>
  <c r="AN46" i="43"/>
  <c r="AV21" i="43"/>
  <c r="AV56" i="45" s="1"/>
  <c r="AN21" i="43"/>
  <c r="AN56" i="45"/>
  <c r="F77" i="46"/>
  <c r="E72" i="46"/>
  <c r="E75" i="46" s="1"/>
  <c r="D72" i="46"/>
  <c r="AM73" i="46"/>
  <c r="AN73" i="46"/>
  <c r="AO73" i="46"/>
  <c r="AP73" i="46"/>
  <c r="AQ73" i="46"/>
  <c r="AR73" i="46"/>
  <c r="AS73" i="46"/>
  <c r="AT73" i="46"/>
  <c r="AU73" i="46"/>
  <c r="AL73" i="46"/>
  <c r="AQ75" i="46"/>
  <c r="AR75" i="46"/>
  <c r="AS75" i="46"/>
  <c r="AT75" i="46"/>
  <c r="AU75" i="46"/>
  <c r="AP75" i="46"/>
  <c r="E55" i="46"/>
  <c r="AM55" i="46"/>
  <c r="AN55" i="46"/>
  <c r="AO55" i="46"/>
  <c r="AL55" i="46"/>
  <c r="AU55" i="46"/>
  <c r="F55" i="46" s="1"/>
  <c r="AL53" i="46"/>
  <c r="AM53" i="46"/>
  <c r="AN53" i="46"/>
  <c r="AO53" i="46"/>
  <c r="AP53" i="46"/>
  <c r="AQ53" i="46"/>
  <c r="AR53" i="46"/>
  <c r="AS53" i="46"/>
  <c r="AT53" i="46"/>
  <c r="AU53" i="46"/>
  <c r="AV53" i="46"/>
  <c r="AL35" i="46"/>
  <c r="AM35" i="46" s="1"/>
  <c r="AL27" i="46"/>
  <c r="AM27" i="46" s="1"/>
  <c r="AM41" i="46"/>
  <c r="AM40" i="46"/>
  <c r="AM63" i="46" s="1"/>
  <c r="AM39" i="46"/>
  <c r="AN39" i="46" s="1"/>
  <c r="AO39" i="46" s="1"/>
  <c r="D39" i="46" s="1"/>
  <c r="AM38" i="46"/>
  <c r="AN38" i="46" s="1"/>
  <c r="AM37" i="46"/>
  <c r="AM36" i="46"/>
  <c r="AN36" i="46" s="1"/>
  <c r="AO36" i="46" s="1"/>
  <c r="D36" i="46" s="1"/>
  <c r="AM31" i="46"/>
  <c r="AN31" i="46" s="1"/>
  <c r="AO31" i="46" s="1"/>
  <c r="D31" i="46" s="1"/>
  <c r="AM29" i="46"/>
  <c r="AN29" i="46" s="1"/>
  <c r="AO29" i="46" s="1"/>
  <c r="AM28" i="46"/>
  <c r="AM23" i="46"/>
  <c r="AM22" i="46"/>
  <c r="AN22" i="46" s="1"/>
  <c r="AO22" i="46" s="1"/>
  <c r="D22" i="46" s="1"/>
  <c r="AM20" i="46"/>
  <c r="AN20" i="46" s="1"/>
  <c r="AO20" i="46" s="1"/>
  <c r="AM19" i="46"/>
  <c r="AM18" i="46"/>
  <c r="AN18" i="46" s="1"/>
  <c r="AM15" i="46"/>
  <c r="AN15" i="46" s="1"/>
  <c r="AO15" i="46" s="1"/>
  <c r="AM14" i="46"/>
  <c r="AN14" i="46" s="1"/>
  <c r="AN54" i="46" s="1"/>
  <c r="AM13" i="46"/>
  <c r="AM12" i="46"/>
  <c r="AM11" i="46"/>
  <c r="AN11" i="46" s="1"/>
  <c r="AO11" i="46" s="1"/>
  <c r="AM8" i="46"/>
  <c r="AN8" i="46" s="1"/>
  <c r="AO8" i="46" s="1"/>
  <c r="AT83" i="46"/>
  <c r="AP83" i="46"/>
  <c r="AQ82" i="46"/>
  <c r="AQ83" i="46" s="1"/>
  <c r="AL89" i="46"/>
  <c r="AL68" i="46" s="1"/>
  <c r="AN41" i="46"/>
  <c r="AO41" i="46" s="1"/>
  <c r="D41" i="46" s="1"/>
  <c r="AN37" i="46"/>
  <c r="AN30" i="46"/>
  <c r="AO30" i="46" s="1"/>
  <c r="AN28" i="46"/>
  <c r="AO28" i="46" s="1"/>
  <c r="D28" i="46" s="1"/>
  <c r="AN19" i="46"/>
  <c r="AO19" i="46" s="1"/>
  <c r="D19" i="46" s="1"/>
  <c r="AN13" i="46"/>
  <c r="AO13" i="46" s="1"/>
  <c r="AN12" i="46"/>
  <c r="AP27" i="46"/>
  <c r="AQ27" i="46" s="1"/>
  <c r="AQ41" i="46"/>
  <c r="AR41" i="46" s="1"/>
  <c r="AQ40" i="46"/>
  <c r="AR40" i="46" s="1"/>
  <c r="AQ39" i="46"/>
  <c r="AR39" i="46" s="1"/>
  <c r="AS39" i="46" s="1"/>
  <c r="AQ38" i="46"/>
  <c r="AR38" i="46" s="1"/>
  <c r="AS38" i="46" s="1"/>
  <c r="AQ37" i="46"/>
  <c r="AR37" i="46" s="1"/>
  <c r="AS37" i="46" s="1"/>
  <c r="E37" i="46" s="1"/>
  <c r="AQ36" i="46"/>
  <c r="AQ35" i="46"/>
  <c r="AQ31" i="46"/>
  <c r="AR31" i="46" s="1"/>
  <c r="AS31" i="46" s="1"/>
  <c r="AQ29" i="46"/>
  <c r="AR29" i="46" s="1"/>
  <c r="AS29" i="46" s="1"/>
  <c r="E29" i="46" s="1"/>
  <c r="AQ23" i="46"/>
  <c r="AR23" i="46" s="1"/>
  <c r="AQ22" i="46"/>
  <c r="AR22" i="46" s="1"/>
  <c r="AS22" i="46" s="1"/>
  <c r="AQ20" i="46"/>
  <c r="AR20" i="46" s="1"/>
  <c r="AQ19" i="46"/>
  <c r="AR19" i="46" s="1"/>
  <c r="AS19" i="46" s="1"/>
  <c r="E19" i="46" s="1"/>
  <c r="AQ18" i="46"/>
  <c r="AR18" i="46" s="1"/>
  <c r="AS18" i="46" s="1"/>
  <c r="AQ15" i="46"/>
  <c r="AR15" i="46" s="1"/>
  <c r="AS15" i="46" s="1"/>
  <c r="E15" i="46" s="1"/>
  <c r="AQ14" i="46"/>
  <c r="AQ13" i="46"/>
  <c r="AR13" i="46" s="1"/>
  <c r="AS13" i="46" s="1"/>
  <c r="AQ12" i="46"/>
  <c r="AR12" i="46" s="1"/>
  <c r="AS12" i="46" s="1"/>
  <c r="AQ11" i="46"/>
  <c r="AR11" i="46" s="1"/>
  <c r="AS11" i="46" s="1"/>
  <c r="AQ8" i="46"/>
  <c r="AR8" i="46" s="1"/>
  <c r="AR30" i="46"/>
  <c r="AS30" i="46" s="1"/>
  <c r="E30" i="46" s="1"/>
  <c r="AT27" i="46"/>
  <c r="AT33" i="46" s="1"/>
  <c r="AU41" i="46"/>
  <c r="AU40" i="46"/>
  <c r="AU39" i="46"/>
  <c r="AU38" i="46"/>
  <c r="AV38" i="46" s="1"/>
  <c r="AU37" i="46"/>
  <c r="AV37" i="46" s="1"/>
  <c r="AU36" i="46"/>
  <c r="AV36" i="46" s="1"/>
  <c r="AU35" i="46"/>
  <c r="AV35" i="46" s="1"/>
  <c r="AU31" i="46"/>
  <c r="AV31" i="46" s="1"/>
  <c r="AU30" i="46"/>
  <c r="AU29" i="46"/>
  <c r="AU28" i="46"/>
  <c r="AU27" i="46"/>
  <c r="AU52" i="46" s="1"/>
  <c r="AU23" i="46"/>
  <c r="AU22" i="46"/>
  <c r="AV22" i="46" s="1"/>
  <c r="AU20" i="46"/>
  <c r="AV20" i="46" s="1"/>
  <c r="AU19" i="46"/>
  <c r="AV19" i="46" s="1"/>
  <c r="AU18" i="46"/>
  <c r="AU15" i="46"/>
  <c r="AV15" i="46" s="1"/>
  <c r="AU14" i="46"/>
  <c r="AV14" i="46" s="1"/>
  <c r="AV54" i="46" s="1"/>
  <c r="AU13" i="46"/>
  <c r="AU12" i="46"/>
  <c r="AV12" i="46" s="1"/>
  <c r="AU11" i="46"/>
  <c r="AV11" i="46" s="1"/>
  <c r="AU8" i="46"/>
  <c r="AV8" i="46" s="1"/>
  <c r="AP56" i="46"/>
  <c r="AT56" i="46"/>
  <c r="AL56" i="46"/>
  <c r="AT43" i="46"/>
  <c r="AP43" i="46"/>
  <c r="AV46" i="43"/>
  <c r="AU46" i="43"/>
  <c r="AS46" i="43"/>
  <c r="AO46" i="43"/>
  <c r="AP46" i="43"/>
  <c r="AP54" i="46" s="1"/>
  <c r="AS33" i="43"/>
  <c r="AT33" i="43"/>
  <c r="AT21" i="43"/>
  <c r="AT56" i="45" s="1"/>
  <c r="AR33" i="43"/>
  <c r="AQ33" i="43"/>
  <c r="AP33" i="43"/>
  <c r="AO33" i="43"/>
  <c r="AN33" i="43"/>
  <c r="AM33" i="43"/>
  <c r="AL33" i="43"/>
  <c r="AS21" i="43"/>
  <c r="AS56" i="45" s="1"/>
  <c r="AR21" i="43"/>
  <c r="AR56" i="45" s="1"/>
  <c r="AQ21" i="43"/>
  <c r="AQ56" i="45" s="1"/>
  <c r="AP21" i="43"/>
  <c r="AP56" i="45" s="1"/>
  <c r="AO21" i="43"/>
  <c r="AO56" i="45" s="1"/>
  <c r="AM21" i="43"/>
  <c r="AM56" i="45" s="1"/>
  <c r="AL21" i="43"/>
  <c r="AL56" i="45" s="1"/>
  <c r="AS13" i="43"/>
  <c r="J6" i="47" s="1"/>
  <c r="AW14" i="43"/>
  <c r="AR13" i="43"/>
  <c r="I6" i="47" s="1"/>
  <c r="AQ13" i="43"/>
  <c r="H6" i="47"/>
  <c r="AP13" i="43"/>
  <c r="AP55" i="45" s="1"/>
  <c r="AO13" i="43"/>
  <c r="AO55" i="45" s="1"/>
  <c r="AN13" i="43"/>
  <c r="AN55" i="45" s="1"/>
  <c r="AM13" i="43"/>
  <c r="AL13" i="43"/>
  <c r="AL55" i="45" s="1"/>
  <c r="AL42" i="39"/>
  <c r="AL34" i="39"/>
  <c r="AL35" i="39" s="1"/>
  <c r="AW19" i="39"/>
  <c r="AP16" i="39"/>
  <c r="AO16" i="39"/>
  <c r="AO25" i="39"/>
  <c r="AN25" i="39"/>
  <c r="AM25" i="39"/>
  <c r="AL25" i="39"/>
  <c r="AT25" i="46"/>
  <c r="AP25" i="46"/>
  <c r="AP59" i="46" s="1"/>
  <c r="AP60" i="46" s="1"/>
  <c r="AL25" i="46"/>
  <c r="AL11" i="45"/>
  <c r="AL12" i="45" s="1"/>
  <c r="AL24" i="45" s="1"/>
  <c r="AM11" i="45"/>
  <c r="AM12" i="45" s="1"/>
  <c r="AM24" i="45" s="1"/>
  <c r="AN11" i="45"/>
  <c r="AN12" i="45" s="1"/>
  <c r="AP11" i="45"/>
  <c r="AQ11" i="45"/>
  <c r="AQ12" i="45" s="1"/>
  <c r="AQ24" i="45" s="1"/>
  <c r="AO11" i="45"/>
  <c r="AO12" i="45" s="1"/>
  <c r="AO58" i="45" s="1"/>
  <c r="AR11" i="45"/>
  <c r="AR12" i="45" s="1"/>
  <c r="AT11" i="45"/>
  <c r="AT12" i="45" s="1"/>
  <c r="AU11" i="45"/>
  <c r="AV12" i="45"/>
  <c r="AP12" i="45"/>
  <c r="AP24" i="45" s="1"/>
  <c r="AS12" i="45"/>
  <c r="AU12" i="45"/>
  <c r="AU24" i="45" s="1"/>
  <c r="AM31" i="45"/>
  <c r="AM38" i="45" s="1"/>
  <c r="AN31" i="45"/>
  <c r="AN38" i="45"/>
  <c r="AO31" i="45"/>
  <c r="AO38" i="45" s="1"/>
  <c r="AO49" i="45" s="1"/>
  <c r="AP31" i="45"/>
  <c r="AP38" i="45" s="1"/>
  <c r="AQ31" i="45"/>
  <c r="AQ38" i="45" s="1"/>
  <c r="AQ49" i="45" s="1"/>
  <c r="AQ51" i="45" s="1"/>
  <c r="AR31" i="45"/>
  <c r="AR38" i="45" s="1"/>
  <c r="AS31" i="45"/>
  <c r="AS38" i="45"/>
  <c r="AT31" i="45"/>
  <c r="AT38" i="45" s="1"/>
  <c r="AU31" i="45"/>
  <c r="AU38" i="45" s="1"/>
  <c r="AV31" i="45"/>
  <c r="AV38" i="45" s="1"/>
  <c r="AL31" i="45"/>
  <c r="AL38" i="45"/>
  <c r="AL49" i="45" s="1"/>
  <c r="AM47" i="45"/>
  <c r="AN47" i="45"/>
  <c r="AO47" i="45"/>
  <c r="AP47" i="45"/>
  <c r="AQ47" i="45"/>
  <c r="AR47" i="45"/>
  <c r="AS47" i="45"/>
  <c r="AT47" i="45"/>
  <c r="AU47" i="45"/>
  <c r="AV47" i="45"/>
  <c r="AL47" i="45"/>
  <c r="E45" i="45"/>
  <c r="D45" i="45"/>
  <c r="F44" i="45"/>
  <c r="E44" i="45"/>
  <c r="D44" i="45"/>
  <c r="E43" i="45"/>
  <c r="D43" i="45"/>
  <c r="E42" i="45"/>
  <c r="D42" i="45"/>
  <c r="F41" i="45"/>
  <c r="E41" i="45"/>
  <c r="D41" i="45"/>
  <c r="F40" i="45"/>
  <c r="E40" i="45"/>
  <c r="D40" i="45"/>
  <c r="F36" i="45"/>
  <c r="E36" i="45"/>
  <c r="D36" i="45"/>
  <c r="F35" i="45"/>
  <c r="E35" i="45"/>
  <c r="D35" i="45"/>
  <c r="E34" i="45"/>
  <c r="D34" i="45"/>
  <c r="E33" i="45"/>
  <c r="D33" i="45"/>
  <c r="F30" i="45"/>
  <c r="E30" i="45"/>
  <c r="D30" i="45"/>
  <c r="F29" i="45"/>
  <c r="E29" i="45"/>
  <c r="D29" i="45"/>
  <c r="F28" i="45"/>
  <c r="E28" i="45"/>
  <c r="D28" i="45"/>
  <c r="E27" i="45"/>
  <c r="D27" i="45"/>
  <c r="F26" i="45"/>
  <c r="E26" i="45"/>
  <c r="D26" i="45"/>
  <c r="F22" i="45"/>
  <c r="E22" i="45"/>
  <c r="D22" i="45"/>
  <c r="E21" i="45"/>
  <c r="D21" i="45"/>
  <c r="F20" i="45"/>
  <c r="E20" i="45"/>
  <c r="D20" i="45"/>
  <c r="F19" i="45"/>
  <c r="E19" i="45"/>
  <c r="D19" i="45"/>
  <c r="F18" i="45"/>
  <c r="E18" i="45"/>
  <c r="D18" i="45"/>
  <c r="F17" i="45"/>
  <c r="E17" i="45"/>
  <c r="D17" i="45"/>
  <c r="E16" i="45"/>
  <c r="E14" i="45" s="1"/>
  <c r="D16" i="45"/>
  <c r="D14" i="45" s="1"/>
  <c r="D9" i="45"/>
  <c r="E9" i="45"/>
  <c r="D10" i="45"/>
  <c r="E10" i="45"/>
  <c r="F10" i="45"/>
  <c r="E11" i="45"/>
  <c r="F11" i="45"/>
  <c r="E8" i="45"/>
  <c r="D8" i="45"/>
  <c r="AN49" i="45"/>
  <c r="F42" i="43"/>
  <c r="F43" i="43"/>
  <c r="AS51" i="41"/>
  <c r="AW52" i="41" s="1"/>
  <c r="V86" i="44"/>
  <c r="AV23" i="39"/>
  <c r="AU23" i="39"/>
  <c r="AT23" i="39"/>
  <c r="AS23" i="39"/>
  <c r="AT15" i="39"/>
  <c r="AU15" i="39"/>
  <c r="AV15" i="39"/>
  <c r="AS15" i="39"/>
  <c r="AV22" i="39"/>
  <c r="AU22" i="39"/>
  <c r="AT22" i="39"/>
  <c r="AS22" i="39"/>
  <c r="AR22" i="39"/>
  <c r="AQ22" i="39"/>
  <c r="AP22" i="39"/>
  <c r="AV21" i="39"/>
  <c r="AU21" i="39"/>
  <c r="AT21" i="39"/>
  <c r="AS21" i="39"/>
  <c r="AV18" i="39"/>
  <c r="AU18" i="39"/>
  <c r="AQ14" i="39"/>
  <c r="AR14" i="39"/>
  <c r="AS14" i="39"/>
  <c r="AT14" i="39"/>
  <c r="AU14" i="39"/>
  <c r="AV14" i="39"/>
  <c r="AP14" i="39"/>
  <c r="AT13" i="39"/>
  <c r="AU13" i="39"/>
  <c r="AV13" i="39"/>
  <c r="AS13" i="39"/>
  <c r="AT25" i="39"/>
  <c r="AX31" i="39" s="1"/>
  <c r="AU25" i="39"/>
  <c r="AY31" i="39" s="1"/>
  <c r="AV25" i="39"/>
  <c r="AZ31" i="39" s="1"/>
  <c r="AP111" i="39"/>
  <c r="AQ111" i="39"/>
  <c r="AR111" i="39"/>
  <c r="AS111" i="39"/>
  <c r="E111" i="39" s="1"/>
  <c r="AT111" i="39"/>
  <c r="AU111" i="39"/>
  <c r="AV111" i="39"/>
  <c r="AP112" i="39"/>
  <c r="AQ112" i="39"/>
  <c r="AR112" i="39"/>
  <c r="AS112" i="39"/>
  <c r="AT112" i="39"/>
  <c r="AU112" i="39"/>
  <c r="AV112" i="39"/>
  <c r="AO112" i="39"/>
  <c r="AO111" i="39"/>
  <c r="D111" i="39" s="1"/>
  <c r="AL25" i="41"/>
  <c r="AV27" i="41"/>
  <c r="AU27" i="41"/>
  <c r="AT27" i="41"/>
  <c r="AS27" i="41"/>
  <c r="AR27" i="41"/>
  <c r="AQ27" i="41"/>
  <c r="AP27" i="41"/>
  <c r="AV26" i="41"/>
  <c r="AU26" i="41"/>
  <c r="AT26" i="41"/>
  <c r="AS26" i="41"/>
  <c r="AR26" i="41"/>
  <c r="AQ26" i="41"/>
  <c r="AP26" i="41"/>
  <c r="AO26" i="41"/>
  <c r="AN26" i="41"/>
  <c r="AM26" i="41"/>
  <c r="AN17" i="41"/>
  <c r="AO17" i="41"/>
  <c r="AM17" i="41"/>
  <c r="AV98" i="41"/>
  <c r="AP95" i="41"/>
  <c r="AQ95" i="41"/>
  <c r="AR95" i="41"/>
  <c r="AS95" i="41"/>
  <c r="E95" i="41" s="1"/>
  <c r="AT95" i="41"/>
  <c r="AU95" i="41"/>
  <c r="AV95" i="41"/>
  <c r="AP96" i="41"/>
  <c r="AQ96" i="41"/>
  <c r="AR96" i="41"/>
  <c r="AS96" i="41"/>
  <c r="AT96" i="41"/>
  <c r="AU96" i="41"/>
  <c r="AV96" i="41"/>
  <c r="AP97" i="41"/>
  <c r="AQ97" i="41"/>
  <c r="AR97" i="41"/>
  <c r="AR99" i="41" s="1"/>
  <c r="AS97" i="41"/>
  <c r="E97" i="41" s="1"/>
  <c r="AT97" i="41"/>
  <c r="AU97" i="41"/>
  <c r="AV97" i="41"/>
  <c r="AV99" i="41" s="1"/>
  <c r="AP98" i="41"/>
  <c r="AQ98" i="41"/>
  <c r="AR98" i="41"/>
  <c r="AS98" i="41"/>
  <c r="AS100" i="41" s="1"/>
  <c r="AT98" i="41"/>
  <c r="AU98" i="41"/>
  <c r="AO98" i="41"/>
  <c r="AO97" i="41"/>
  <c r="D97" i="41" s="1"/>
  <c r="D99" i="41" s="1"/>
  <c r="AO96" i="41"/>
  <c r="AO95" i="41"/>
  <c r="D95" i="41" s="1"/>
  <c r="AP87" i="41"/>
  <c r="AQ87" i="41"/>
  <c r="AR87" i="41"/>
  <c r="AS87" i="41"/>
  <c r="AW88" i="41" s="1"/>
  <c r="AT87" i="41"/>
  <c r="AX88" i="41" s="1"/>
  <c r="AU87" i="41"/>
  <c r="AU88" i="41" s="1"/>
  <c r="AV87" i="41"/>
  <c r="AV88" i="41" s="1"/>
  <c r="AO87" i="41"/>
  <c r="V55" i="44"/>
  <c r="S54" i="44"/>
  <c r="AV55" i="44"/>
  <c r="AU55" i="44"/>
  <c r="AT55" i="44"/>
  <c r="AS55" i="44"/>
  <c r="AR55" i="44"/>
  <c r="AQ55" i="44"/>
  <c r="AP55" i="44"/>
  <c r="AO55" i="44"/>
  <c r="AN55" i="44"/>
  <c r="AM55" i="44"/>
  <c r="AL55" i="44"/>
  <c r="AK55" i="44"/>
  <c r="AJ55" i="44"/>
  <c r="AI55" i="44"/>
  <c r="AH55" i="44"/>
  <c r="AG55" i="44"/>
  <c r="AF55" i="44"/>
  <c r="AE55" i="44"/>
  <c r="AD55" i="44"/>
  <c r="AC55" i="44"/>
  <c r="AB55" i="44"/>
  <c r="AA55" i="44"/>
  <c r="Z55" i="44"/>
  <c r="Y55" i="44"/>
  <c r="X55" i="44"/>
  <c r="W55" i="44"/>
  <c r="AV54" i="44"/>
  <c r="AU54" i="44"/>
  <c r="AT54" i="44"/>
  <c r="AS54" i="44"/>
  <c r="AR54" i="44"/>
  <c r="AQ54" i="44"/>
  <c r="AP54" i="44"/>
  <c r="AO54" i="44"/>
  <c r="AN54" i="44"/>
  <c r="AM54" i="44"/>
  <c r="AL54" i="44"/>
  <c r="AK54" i="44"/>
  <c r="AJ54" i="44"/>
  <c r="AI54" i="44"/>
  <c r="AH54" i="44"/>
  <c r="AG54" i="44"/>
  <c r="AF54" i="44"/>
  <c r="AE54" i="44"/>
  <c r="AD54" i="44"/>
  <c r="AC54" i="44"/>
  <c r="AB54" i="44"/>
  <c r="AA54" i="44"/>
  <c r="Z54" i="44"/>
  <c r="Y54" i="44"/>
  <c r="X54" i="44"/>
  <c r="W54" i="44"/>
  <c r="V54" i="44"/>
  <c r="U54" i="44"/>
  <c r="T54" i="44"/>
  <c r="AV74" i="41"/>
  <c r="AV75" i="41" s="1"/>
  <c r="AV114" i="44"/>
  <c r="AV113" i="44"/>
  <c r="AV112" i="44"/>
  <c r="AV111" i="44"/>
  <c r="AV115" i="44" s="1"/>
  <c r="AO90" i="44"/>
  <c r="R98" i="44"/>
  <c r="AM99" i="44"/>
  <c r="AL99" i="44"/>
  <c r="AK99" i="44"/>
  <c r="AJ99" i="44"/>
  <c r="AI99" i="44"/>
  <c r="AH99" i="44"/>
  <c r="AG99" i="44"/>
  <c r="AF99" i="44"/>
  <c r="AE99" i="44"/>
  <c r="AD99" i="44"/>
  <c r="AC99" i="44"/>
  <c r="AB99" i="44"/>
  <c r="AA99" i="44"/>
  <c r="Z99" i="44"/>
  <c r="Y99" i="44"/>
  <c r="X99" i="44"/>
  <c r="W99" i="44"/>
  <c r="V99" i="44"/>
  <c r="U99" i="44"/>
  <c r="T99" i="44"/>
  <c r="S99" i="44"/>
  <c r="R99" i="44"/>
  <c r="AM98" i="44"/>
  <c r="AL98" i="44"/>
  <c r="AK98" i="44"/>
  <c r="AJ98" i="44"/>
  <c r="AI98" i="44"/>
  <c r="AH98" i="44"/>
  <c r="AG98" i="44"/>
  <c r="AF98" i="44"/>
  <c r="AE98" i="44"/>
  <c r="AD98" i="44"/>
  <c r="AC98" i="44"/>
  <c r="AB98" i="44"/>
  <c r="AA98" i="44"/>
  <c r="Z98" i="44"/>
  <c r="Y98" i="44"/>
  <c r="X98" i="44"/>
  <c r="W98" i="44"/>
  <c r="V98" i="44"/>
  <c r="U98" i="44"/>
  <c r="T98" i="44"/>
  <c r="S98" i="44"/>
  <c r="D44" i="44"/>
  <c r="D43" i="44"/>
  <c r="D42" i="44"/>
  <c r="D41" i="44"/>
  <c r="AO99" i="44"/>
  <c r="AP99" i="44"/>
  <c r="AQ99" i="44"/>
  <c r="AR99" i="44"/>
  <c r="AS99" i="44"/>
  <c r="AT99" i="44"/>
  <c r="AU99" i="44"/>
  <c r="AV99" i="44"/>
  <c r="AN99" i="44"/>
  <c r="AN98" i="44"/>
  <c r="AU98" i="44"/>
  <c r="AT98" i="44"/>
  <c r="AS98" i="44"/>
  <c r="E98" i="44" s="1"/>
  <c r="AR98" i="44"/>
  <c r="AQ98" i="44"/>
  <c r="AP98" i="44"/>
  <c r="AO98" i="44"/>
  <c r="D98" i="44" s="1"/>
  <c r="AV98" i="44"/>
  <c r="AU90" i="44"/>
  <c r="AT90" i="44"/>
  <c r="AS90" i="44"/>
  <c r="AS93" i="44" s="1"/>
  <c r="AR90" i="44"/>
  <c r="AQ90" i="44"/>
  <c r="AP90" i="44"/>
  <c r="AV90" i="44"/>
  <c r="AO47" i="41"/>
  <c r="AP83" i="41"/>
  <c r="AQ83" i="41"/>
  <c r="AR83" i="41"/>
  <c r="AS83" i="41"/>
  <c r="AT83" i="41"/>
  <c r="AU83" i="41"/>
  <c r="AV83" i="41"/>
  <c r="AO83" i="41"/>
  <c r="AP82" i="41"/>
  <c r="AQ82" i="41"/>
  <c r="AR82" i="41"/>
  <c r="AS82" i="41"/>
  <c r="E82" i="41" s="1"/>
  <c r="AT82" i="41"/>
  <c r="AU82" i="41"/>
  <c r="AV82" i="41"/>
  <c r="AO82" i="41"/>
  <c r="AP74" i="41"/>
  <c r="AQ74" i="41"/>
  <c r="AR74" i="41"/>
  <c r="AS74" i="41"/>
  <c r="AW75" i="41" s="1"/>
  <c r="AT74" i="41"/>
  <c r="AX75" i="41" s="1"/>
  <c r="AU74" i="41"/>
  <c r="AO74" i="41"/>
  <c r="AO77" i="41" s="1"/>
  <c r="AO60" i="41"/>
  <c r="AO87" i="39"/>
  <c r="AQ87" i="39"/>
  <c r="AR87" i="39"/>
  <c r="AS87" i="39"/>
  <c r="AT87" i="39"/>
  <c r="AU87" i="39"/>
  <c r="AV87" i="39"/>
  <c r="AP87" i="39"/>
  <c r="AP86" i="39"/>
  <c r="AQ86" i="39"/>
  <c r="AR86" i="39"/>
  <c r="AS86" i="39"/>
  <c r="AT86" i="39"/>
  <c r="AU94" i="39" s="1"/>
  <c r="AU89" i="39" s="1"/>
  <c r="AU86" i="39"/>
  <c r="AV86" i="39"/>
  <c r="AW94" i="39" s="1"/>
  <c r="AO86" i="39"/>
  <c r="D86" i="39" s="1"/>
  <c r="AV97" i="39"/>
  <c r="AU97" i="39"/>
  <c r="AT97" i="39"/>
  <c r="AS97" i="39"/>
  <c r="AV96" i="39"/>
  <c r="AU96" i="39"/>
  <c r="AT96" i="39"/>
  <c r="AS96" i="39"/>
  <c r="AR96" i="39"/>
  <c r="AQ96" i="39"/>
  <c r="AP96" i="39"/>
  <c r="AS70" i="41"/>
  <c r="AO59" i="41"/>
  <c r="D59" i="41" s="1"/>
  <c r="AO51" i="41"/>
  <c r="AQ51" i="41"/>
  <c r="AR51" i="41"/>
  <c r="AT51" i="41"/>
  <c r="AX52" i="41" s="1"/>
  <c r="AU51" i="41"/>
  <c r="AV51" i="41"/>
  <c r="AP51" i="41"/>
  <c r="AP69" i="41"/>
  <c r="AQ59" i="41"/>
  <c r="AR59" i="41"/>
  <c r="AS59" i="41"/>
  <c r="E59" i="41" s="1"/>
  <c r="AT59" i="41"/>
  <c r="AU59" i="41"/>
  <c r="AV59" i="41"/>
  <c r="AW54" i="41" s="1"/>
  <c r="AQ60" i="41"/>
  <c r="AR60" i="41"/>
  <c r="AS60" i="41"/>
  <c r="AT60" i="41"/>
  <c r="AU60" i="41"/>
  <c r="AV60" i="41"/>
  <c r="AP60" i="41"/>
  <c r="AP59" i="41"/>
  <c r="AP67" i="41" s="1"/>
  <c r="AV70" i="41"/>
  <c r="AU70" i="41"/>
  <c r="AT70" i="41"/>
  <c r="AV69" i="41"/>
  <c r="AU69" i="41"/>
  <c r="AT69" i="41"/>
  <c r="AS69" i="41"/>
  <c r="AR69" i="41"/>
  <c r="AQ69" i="41"/>
  <c r="AM24" i="44"/>
  <c r="AN24" i="44"/>
  <c r="AO24" i="44"/>
  <c r="AP24" i="44"/>
  <c r="AQ24" i="44"/>
  <c r="AR24" i="44"/>
  <c r="AS24" i="44"/>
  <c r="AT24" i="44"/>
  <c r="AU24" i="44"/>
  <c r="AV24" i="44"/>
  <c r="AP25" i="44"/>
  <c r="AQ25" i="44"/>
  <c r="AR25" i="44"/>
  <c r="AS25" i="44"/>
  <c r="AT25" i="44"/>
  <c r="AU25" i="44"/>
  <c r="AV25" i="44"/>
  <c r="AM15" i="44"/>
  <c r="AN15" i="44"/>
  <c r="AO15" i="44"/>
  <c r="AS114" i="44"/>
  <c r="AS116" i="44" s="1"/>
  <c r="AH65" i="44"/>
  <c r="AI65" i="44"/>
  <c r="AJ65" i="44"/>
  <c r="AK65" i="44"/>
  <c r="AL65" i="44"/>
  <c r="AM65" i="44"/>
  <c r="AN65" i="44"/>
  <c r="AO65" i="44"/>
  <c r="AP65" i="44"/>
  <c r="AQ65" i="44"/>
  <c r="AR65" i="44"/>
  <c r="AS65" i="44"/>
  <c r="AT65" i="44"/>
  <c r="AU65" i="44"/>
  <c r="AV65" i="44"/>
  <c r="AF64" i="44"/>
  <c r="AG64" i="44"/>
  <c r="AH64" i="44"/>
  <c r="AI64" i="44"/>
  <c r="AJ64" i="44"/>
  <c r="AK64" i="44"/>
  <c r="AL64" i="44"/>
  <c r="AM64" i="44"/>
  <c r="AN64" i="44"/>
  <c r="AO64" i="44"/>
  <c r="AP64" i="44"/>
  <c r="AQ64" i="44"/>
  <c r="AR64" i="44"/>
  <c r="AS64" i="44"/>
  <c r="AT64" i="44"/>
  <c r="AU64" i="44"/>
  <c r="AV64" i="44"/>
  <c r="AE64" i="44"/>
  <c r="AU85" i="44"/>
  <c r="AT85" i="44"/>
  <c r="AS85" i="44"/>
  <c r="AR85" i="44"/>
  <c r="AQ85" i="44"/>
  <c r="AP85" i="44"/>
  <c r="AO85" i="44"/>
  <c r="AN85" i="44"/>
  <c r="AM85" i="44"/>
  <c r="AL85" i="44"/>
  <c r="AK85" i="44"/>
  <c r="AJ85" i="44"/>
  <c r="AI85" i="44"/>
  <c r="AH85" i="44"/>
  <c r="AG85" i="44"/>
  <c r="AF85" i="44"/>
  <c r="AE85" i="44"/>
  <c r="AD85" i="44"/>
  <c r="AC85" i="44"/>
  <c r="AB85" i="44"/>
  <c r="AA85" i="44"/>
  <c r="Z85" i="44"/>
  <c r="Y85" i="44"/>
  <c r="X85" i="44"/>
  <c r="W85" i="44"/>
  <c r="V85" i="44"/>
  <c r="U85" i="44"/>
  <c r="T85" i="44"/>
  <c r="S85" i="44"/>
  <c r="AV85" i="44"/>
  <c r="W86" i="44"/>
  <c r="X86" i="44"/>
  <c r="Y86" i="44"/>
  <c r="Z86" i="44"/>
  <c r="AA86" i="44"/>
  <c r="AB86" i="44"/>
  <c r="AC86" i="44"/>
  <c r="AD86" i="44"/>
  <c r="AE86" i="44"/>
  <c r="AF86" i="44"/>
  <c r="AG86" i="44"/>
  <c r="AH86" i="44"/>
  <c r="AI86" i="44"/>
  <c r="AJ86" i="44"/>
  <c r="AK86" i="44"/>
  <c r="AL86" i="44"/>
  <c r="AM86" i="44"/>
  <c r="AN86" i="44"/>
  <c r="AO86" i="44"/>
  <c r="AP86" i="44"/>
  <c r="AQ86" i="44"/>
  <c r="AR86" i="44"/>
  <c r="AS86" i="44"/>
  <c r="AT86" i="44"/>
  <c r="AU86" i="44"/>
  <c r="AV86" i="44"/>
  <c r="AS67" i="44"/>
  <c r="AS140" i="44" s="1"/>
  <c r="E137" i="44"/>
  <c r="E127" i="44"/>
  <c r="D127" i="44"/>
  <c r="AP172" i="44"/>
  <c r="AQ172" i="44"/>
  <c r="AR172" i="44"/>
  <c r="AS172" i="44"/>
  <c r="AE174" i="44"/>
  <c r="AE170" i="44" s="1"/>
  <c r="AE171" i="44" s="1"/>
  <c r="AF174" i="44"/>
  <c r="AF170" i="44" s="1"/>
  <c r="AF171" i="44" s="1"/>
  <c r="AG174" i="44"/>
  <c r="AG170" i="44" s="1"/>
  <c r="AG171" i="44" s="1"/>
  <c r="AH174" i="44"/>
  <c r="AI174" i="44"/>
  <c r="AJ174" i="44"/>
  <c r="AJ175" i="44" s="1"/>
  <c r="AK174" i="44"/>
  <c r="AK175" i="44" s="1"/>
  <c r="AL174" i="44"/>
  <c r="AL175" i="44"/>
  <c r="AM174" i="44"/>
  <c r="AN174" i="44"/>
  <c r="AO174" i="44"/>
  <c r="AO175" i="44" s="1"/>
  <c r="AP174" i="44"/>
  <c r="AP175" i="44" s="1"/>
  <c r="AQ174" i="44"/>
  <c r="AR174" i="44"/>
  <c r="AR175" i="44" s="1"/>
  <c r="AS174" i="44"/>
  <c r="AW175" i="44" s="1"/>
  <c r="AT174" i="44"/>
  <c r="AX175" i="44" s="1"/>
  <c r="AU174" i="44"/>
  <c r="AV174" i="44"/>
  <c r="AZ175" i="44" s="1"/>
  <c r="AD174" i="44"/>
  <c r="AD170" i="44" s="1"/>
  <c r="AD171" i="44" s="1"/>
  <c r="AV161" i="44"/>
  <c r="AW161" i="44" s="1"/>
  <c r="AO135" i="44"/>
  <c r="AO137" i="44" s="1"/>
  <c r="AN137" i="44" s="1"/>
  <c r="AP135" i="44"/>
  <c r="AP136" i="44" s="1"/>
  <c r="AQ135" i="44"/>
  <c r="AQ136" i="44" s="1"/>
  <c r="AR135" i="44"/>
  <c r="AR136" i="44" s="1"/>
  <c r="AS135" i="44"/>
  <c r="AS136" i="44" s="1"/>
  <c r="AT135" i="44"/>
  <c r="AT137" i="44" s="1"/>
  <c r="AN135" i="44"/>
  <c r="AM130" i="44"/>
  <c r="AJ130" i="44"/>
  <c r="AN130" i="44"/>
  <c r="AO130" i="44"/>
  <c r="D130" i="44" s="1"/>
  <c r="AP130" i="44"/>
  <c r="AQ130" i="44"/>
  <c r="AR130" i="44"/>
  <c r="AS130" i="44"/>
  <c r="E130" i="44"/>
  <c r="AT130" i="44"/>
  <c r="AT164" i="44" s="1"/>
  <c r="AU130" i="44"/>
  <c r="AU164" i="44" s="1"/>
  <c r="AV130" i="44"/>
  <c r="AV164" i="44" s="1"/>
  <c r="AV127" i="44"/>
  <c r="AV125" i="44" s="1"/>
  <c r="AT125" i="44"/>
  <c r="AS125" i="44"/>
  <c r="AR125" i="44"/>
  <c r="AQ125" i="44"/>
  <c r="AP125" i="44"/>
  <c r="AO125" i="44"/>
  <c r="AN125" i="44"/>
  <c r="AM125" i="44"/>
  <c r="AL125" i="44"/>
  <c r="AK125" i="44"/>
  <c r="AU127" i="44"/>
  <c r="AU135" i="44" s="1"/>
  <c r="AU137" i="44" s="1"/>
  <c r="AU172" i="44" s="1"/>
  <c r="AU170" i="44" s="1"/>
  <c r="AU171" i="44" s="1"/>
  <c r="E70" i="44"/>
  <c r="D70" i="44"/>
  <c r="AV71" i="44"/>
  <c r="AV68" i="44"/>
  <c r="AV67" i="44"/>
  <c r="AV140" i="44" s="1"/>
  <c r="AV63" i="44"/>
  <c r="AH63" i="44"/>
  <c r="AI63" i="44"/>
  <c r="AJ63" i="44"/>
  <c r="AK63" i="44"/>
  <c r="AO111" i="44"/>
  <c r="D111" i="44" s="1"/>
  <c r="AP111" i="44"/>
  <c r="AQ111" i="44"/>
  <c r="AR111" i="44"/>
  <c r="AS111" i="44"/>
  <c r="E111" i="44" s="1"/>
  <c r="AT111" i="44"/>
  <c r="AU111" i="44"/>
  <c r="AO112" i="44"/>
  <c r="AP112" i="44"/>
  <c r="AQ112" i="44"/>
  <c r="AR112" i="44"/>
  <c r="AS112" i="44"/>
  <c r="AT112" i="44"/>
  <c r="AT116" i="44" s="1"/>
  <c r="AU112" i="44"/>
  <c r="AO113" i="44"/>
  <c r="D113" i="44" s="1"/>
  <c r="AP113" i="44"/>
  <c r="AQ113" i="44"/>
  <c r="AR113" i="44"/>
  <c r="AS113" i="44"/>
  <c r="E113" i="44" s="1"/>
  <c r="AT113" i="44"/>
  <c r="AU113" i="44"/>
  <c r="AO114" i="44"/>
  <c r="AP114" i="44"/>
  <c r="AQ114" i="44"/>
  <c r="AR114" i="44"/>
  <c r="AT114" i="44"/>
  <c r="AU114" i="44"/>
  <c r="AD10" i="44"/>
  <c r="AE8" i="44"/>
  <c r="AE177" i="44" s="1"/>
  <c r="AF8" i="44"/>
  <c r="AF177" i="44" s="1"/>
  <c r="AG8" i="44"/>
  <c r="AG177" i="44" s="1"/>
  <c r="AH8" i="44"/>
  <c r="AH177" i="44" s="1"/>
  <c r="AI8" i="44"/>
  <c r="AI177" i="44" s="1"/>
  <c r="AJ8" i="44"/>
  <c r="AJ177" i="44" s="1"/>
  <c r="AJ178" i="44" s="1"/>
  <c r="AK8" i="44"/>
  <c r="AK177" i="44" s="1"/>
  <c r="AK178" i="44" s="1"/>
  <c r="F75" i="44"/>
  <c r="E75" i="44"/>
  <c r="S68" i="44"/>
  <c r="T68" i="44"/>
  <c r="U68" i="44"/>
  <c r="V68" i="44"/>
  <c r="W68" i="44"/>
  <c r="X68" i="44"/>
  <c r="Y68" i="44"/>
  <c r="Z68" i="44"/>
  <c r="AA68" i="44"/>
  <c r="AB68" i="44"/>
  <c r="AC68" i="44"/>
  <c r="AD68" i="44"/>
  <c r="AE68" i="44"/>
  <c r="AF68" i="44"/>
  <c r="AG68" i="44"/>
  <c r="AH68" i="44"/>
  <c r="AI68" i="44"/>
  <c r="AJ68" i="44"/>
  <c r="AK68" i="44"/>
  <c r="AL68" i="44"/>
  <c r="AM68" i="44"/>
  <c r="AN68" i="44"/>
  <c r="AO68" i="44"/>
  <c r="AP68" i="44"/>
  <c r="AQ68" i="44"/>
  <c r="AR68" i="44"/>
  <c r="AS68" i="44"/>
  <c r="AT68" i="44"/>
  <c r="AU68" i="44"/>
  <c r="R68" i="44"/>
  <c r="S67" i="44"/>
  <c r="T67" i="44"/>
  <c r="U67" i="44"/>
  <c r="V67" i="44"/>
  <c r="W67" i="44"/>
  <c r="X67" i="44"/>
  <c r="X83" i="44" s="1"/>
  <c r="Y67" i="44"/>
  <c r="Z67" i="44"/>
  <c r="Z130" i="44" s="1"/>
  <c r="AA67" i="44"/>
  <c r="AB67" i="44"/>
  <c r="AC121" i="44" s="1"/>
  <c r="AC67" i="44"/>
  <c r="AD67" i="44"/>
  <c r="AD140" i="44" s="1"/>
  <c r="AE67" i="44"/>
  <c r="AE140" i="44" s="1"/>
  <c r="AF67" i="44"/>
  <c r="AF140" i="44" s="1"/>
  <c r="AG67" i="44"/>
  <c r="AG140" i="44" s="1"/>
  <c r="AH67" i="44"/>
  <c r="AH140" i="44" s="1"/>
  <c r="AI67" i="44"/>
  <c r="AI140" i="44" s="1"/>
  <c r="AJ67" i="44"/>
  <c r="AJ140" i="44" s="1"/>
  <c r="AK67" i="44"/>
  <c r="AK140" i="44" s="1"/>
  <c r="AL67" i="44"/>
  <c r="AL140" i="44" s="1"/>
  <c r="AM67" i="44"/>
  <c r="AM140" i="44" s="1"/>
  <c r="AN67" i="44"/>
  <c r="AN83" i="44" s="1"/>
  <c r="AO67" i="44"/>
  <c r="AP67" i="44"/>
  <c r="AP140" i="44" s="1"/>
  <c r="AQ67" i="44"/>
  <c r="AQ140" i="44" s="1"/>
  <c r="AR67" i="44"/>
  <c r="AR140" i="44" s="1"/>
  <c r="AT67" i="44"/>
  <c r="AT140" i="44" s="1"/>
  <c r="AU67" i="44"/>
  <c r="AU140" i="44" s="1"/>
  <c r="R67" i="44"/>
  <c r="R83" i="44" s="1"/>
  <c r="AJ74" i="44"/>
  <c r="AK74" i="44" s="1"/>
  <c r="AL74" i="44" s="1"/>
  <c r="R45" i="44"/>
  <c r="S45" i="44"/>
  <c r="T45" i="44"/>
  <c r="U45" i="44"/>
  <c r="V45" i="44"/>
  <c r="W45" i="44"/>
  <c r="X45" i="44"/>
  <c r="Y45" i="44"/>
  <c r="Z45" i="44"/>
  <c r="AA45" i="44"/>
  <c r="AB45" i="44"/>
  <c r="AC45" i="44"/>
  <c r="R39" i="44"/>
  <c r="S39" i="44"/>
  <c r="T39" i="44"/>
  <c r="U39" i="44"/>
  <c r="V39" i="44"/>
  <c r="W39" i="44"/>
  <c r="X39" i="44"/>
  <c r="Y39" i="44"/>
  <c r="Z39" i="44"/>
  <c r="AA52" i="44" s="1"/>
  <c r="AA47" i="44" s="1"/>
  <c r="AA39" i="44"/>
  <c r="AB39" i="44"/>
  <c r="AC39" i="44"/>
  <c r="AD45" i="44"/>
  <c r="AE45" i="44"/>
  <c r="AF45" i="44"/>
  <c r="AG45" i="44"/>
  <c r="AD39" i="44"/>
  <c r="AE52" i="44" s="1"/>
  <c r="AE47" i="44" s="1"/>
  <c r="AE39" i="44"/>
  <c r="AF39" i="44"/>
  <c r="AG52" i="44" s="1"/>
  <c r="AG47" i="44" s="1"/>
  <c r="AG39" i="44"/>
  <c r="AL63" i="44"/>
  <c r="AM63" i="44"/>
  <c r="AN63" i="44"/>
  <c r="E26" i="47" s="1"/>
  <c r="AO63" i="44"/>
  <c r="F26" i="47" s="1"/>
  <c r="AP63" i="44"/>
  <c r="G26" i="47" s="1"/>
  <c r="AQ63" i="44"/>
  <c r="H26" i="47"/>
  <c r="AR63" i="44"/>
  <c r="I26" i="47" s="1"/>
  <c r="AS63" i="44"/>
  <c r="J26" i="47" s="1"/>
  <c r="AH45" i="44"/>
  <c r="AI45" i="44"/>
  <c r="AJ45" i="44"/>
  <c r="AK45" i="44"/>
  <c r="AH39" i="44"/>
  <c r="AI39" i="44"/>
  <c r="AI52" i="44" s="1"/>
  <c r="AI47" i="44" s="1"/>
  <c r="AJ39" i="44"/>
  <c r="AK39" i="44"/>
  <c r="AL45" i="44"/>
  <c r="AL39" i="44"/>
  <c r="AM52" i="44" s="1"/>
  <c r="AM47" i="44" s="1"/>
  <c r="AM45" i="44"/>
  <c r="AN45" i="44"/>
  <c r="AM39" i="44"/>
  <c r="AN39" i="44"/>
  <c r="AN52" i="44" s="1"/>
  <c r="AU71" i="44"/>
  <c r="AT71" i="44"/>
  <c r="AS71" i="44"/>
  <c r="AR71" i="44"/>
  <c r="AQ71" i="44"/>
  <c r="AP71" i="44"/>
  <c r="AO71" i="44"/>
  <c r="AN71" i="44"/>
  <c r="AV30" i="43"/>
  <c r="AU30" i="43"/>
  <c r="AU28" i="43"/>
  <c r="AT30" i="43"/>
  <c r="AT28" i="43"/>
  <c r="AS30" i="43"/>
  <c r="AR30" i="43"/>
  <c r="AQ30" i="43"/>
  <c r="AO30" i="43"/>
  <c r="AN30" i="43"/>
  <c r="AM30" i="43"/>
  <c r="AL30" i="43"/>
  <c r="AP30" i="43"/>
  <c r="AM18" i="43"/>
  <c r="AN18" i="43"/>
  <c r="AO18" i="43"/>
  <c r="AL18" i="43"/>
  <c r="AV22" i="43"/>
  <c r="AV15" i="41"/>
  <c r="AU15" i="41"/>
  <c r="AT15" i="41"/>
  <c r="AS15" i="41"/>
  <c r="AS18" i="43" s="1"/>
  <c r="AR15" i="41"/>
  <c r="AR17" i="41" s="1"/>
  <c r="AQ15" i="41"/>
  <c r="AQ18" i="41" s="1"/>
  <c r="AP15" i="41"/>
  <c r="AP17" i="41" s="1"/>
  <c r="AP13" i="44"/>
  <c r="AV13" i="44"/>
  <c r="AZ16" i="44" s="1"/>
  <c r="AU13" i="44"/>
  <c r="AY16" i="44" s="1"/>
  <c r="AT13" i="44"/>
  <c r="AS13" i="44"/>
  <c r="AS178" i="44"/>
  <c r="AR13" i="44"/>
  <c r="AR178" i="44"/>
  <c r="AQ13" i="44"/>
  <c r="AQ178" i="44"/>
  <c r="AU21" i="43"/>
  <c r="AU56" i="45"/>
  <c r="AV49" i="39"/>
  <c r="AV52" i="39" s="1"/>
  <c r="AZ55" i="39" s="1"/>
  <c r="AU49" i="39"/>
  <c r="AU52" i="39" s="1"/>
  <c r="AY55" i="39" s="1"/>
  <c r="AT49" i="39"/>
  <c r="AT52" i="39" s="1"/>
  <c r="AS49" i="39"/>
  <c r="AS52" i="39" s="1"/>
  <c r="AR49" i="39"/>
  <c r="AR52" i="39" s="1"/>
  <c r="AQ49" i="39"/>
  <c r="AQ52" i="39" s="1"/>
  <c r="AP49" i="39"/>
  <c r="AP52" i="39" s="1"/>
  <c r="AO49" i="39"/>
  <c r="AO52" i="39" s="1"/>
  <c r="AN49" i="39"/>
  <c r="AN52" i="39" s="1"/>
  <c r="AN53" i="39" s="1"/>
  <c r="AM49" i="39"/>
  <c r="AM50" i="39" s="1"/>
  <c r="AL49" i="39"/>
  <c r="AL52" i="39" s="1"/>
  <c r="AL53" i="39" s="1"/>
  <c r="AM34" i="39"/>
  <c r="AM35" i="39" s="1"/>
  <c r="AN34" i="39"/>
  <c r="AN35" i="39" s="1"/>
  <c r="D27" i="44"/>
  <c r="D22" i="44"/>
  <c r="D13" i="44"/>
  <c r="D9" i="44"/>
  <c r="D8" i="44"/>
  <c r="D177" i="44" s="1"/>
  <c r="AL10" i="44"/>
  <c r="AL14" i="44" s="1"/>
  <c r="AL23" i="44"/>
  <c r="AM10" i="44"/>
  <c r="AN10" i="44"/>
  <c r="AO34" i="39"/>
  <c r="AO37" i="39" s="1"/>
  <c r="AR25" i="39"/>
  <c r="AQ25" i="39"/>
  <c r="AP25" i="39"/>
  <c r="AN27" i="39"/>
  <c r="E39" i="47" s="1"/>
  <c r="AM27" i="39"/>
  <c r="AM8" i="43" s="1"/>
  <c r="AL27" i="39"/>
  <c r="AV45" i="44"/>
  <c r="AU45" i="44"/>
  <c r="AT45" i="44"/>
  <c r="AS45" i="44"/>
  <c r="AR45" i="44"/>
  <c r="AQ45" i="44"/>
  <c r="AP45" i="44"/>
  <c r="AO45" i="44"/>
  <c r="E44" i="44"/>
  <c r="F43" i="44"/>
  <c r="E43" i="44"/>
  <c r="E42" i="44"/>
  <c r="E41" i="44"/>
  <c r="AV39" i="44"/>
  <c r="AU39" i="44"/>
  <c r="AT39" i="44"/>
  <c r="AS39" i="44"/>
  <c r="AR39" i="44"/>
  <c r="AQ39" i="44"/>
  <c r="AP39" i="44"/>
  <c r="AO39" i="44"/>
  <c r="E38" i="44"/>
  <c r="D38" i="44"/>
  <c r="E37" i="44"/>
  <c r="D37" i="44"/>
  <c r="E36" i="44"/>
  <c r="D36" i="44"/>
  <c r="D39" i="44" s="1"/>
  <c r="E35" i="44"/>
  <c r="D35" i="44"/>
  <c r="F27" i="44"/>
  <c r="E27" i="44"/>
  <c r="E22" i="44"/>
  <c r="E25" i="44" s="1"/>
  <c r="AV10" i="44"/>
  <c r="AU10" i="44"/>
  <c r="AT10" i="44"/>
  <c r="AS10" i="44"/>
  <c r="AW11" i="44" s="1"/>
  <c r="AR10" i="44"/>
  <c r="AR74" i="46" s="1"/>
  <c r="AQ10" i="44"/>
  <c r="AQ74" i="46"/>
  <c r="AP10" i="44"/>
  <c r="AP74" i="46" s="1"/>
  <c r="AO10" i="44"/>
  <c r="AO14" i="44" s="1"/>
  <c r="E9" i="44"/>
  <c r="E8" i="44"/>
  <c r="E177" i="44" s="1"/>
  <c r="AU16" i="43"/>
  <c r="AV16" i="43"/>
  <c r="F51" i="43"/>
  <c r="E51" i="43"/>
  <c r="D51" i="43"/>
  <c r="E43" i="43"/>
  <c r="D43" i="43"/>
  <c r="E42" i="43"/>
  <c r="D42" i="43"/>
  <c r="E40" i="43"/>
  <c r="D40" i="43"/>
  <c r="E55" i="43"/>
  <c r="D55" i="43"/>
  <c r="D57" i="43"/>
  <c r="D56" i="43" s="1"/>
  <c r="E57" i="43"/>
  <c r="E56" i="43" s="1"/>
  <c r="AL10" i="43"/>
  <c r="AM10" i="43"/>
  <c r="AN10" i="43"/>
  <c r="AU13" i="43"/>
  <c r="L6" i="47" s="1"/>
  <c r="AT13" i="43"/>
  <c r="AT55" i="45"/>
  <c r="AT22" i="43"/>
  <c r="AV14" i="43"/>
  <c r="AV34" i="43"/>
  <c r="F57" i="43"/>
  <c r="F55" i="43" s="1"/>
  <c r="AT46" i="43"/>
  <c r="AT54" i="46" s="1"/>
  <c r="AR46" i="43"/>
  <c r="AQ46" i="43"/>
  <c r="AL46" i="43"/>
  <c r="AU33" i="43"/>
  <c r="AR14" i="43"/>
  <c r="I7" i="47" s="1"/>
  <c r="E43" i="41"/>
  <c r="E44" i="41"/>
  <c r="E45" i="41"/>
  <c r="E46" i="41"/>
  <c r="AO41" i="41"/>
  <c r="D38" i="41"/>
  <c r="E38" i="41"/>
  <c r="D39" i="41"/>
  <c r="E39" i="41"/>
  <c r="D40" i="41"/>
  <c r="E40" i="41"/>
  <c r="E37" i="41"/>
  <c r="D37" i="41"/>
  <c r="F29" i="41"/>
  <c r="E29" i="41"/>
  <c r="D29" i="41"/>
  <c r="E24" i="41"/>
  <c r="D24" i="41"/>
  <c r="E27" i="41" s="1"/>
  <c r="D15" i="41"/>
  <c r="E9" i="41"/>
  <c r="E10" i="41"/>
  <c r="E11" i="41"/>
  <c r="E8" i="41"/>
  <c r="E72" i="39"/>
  <c r="E71" i="39"/>
  <c r="E67" i="39"/>
  <c r="E66" i="39"/>
  <c r="D67" i="39"/>
  <c r="D66" i="39"/>
  <c r="E20" i="39"/>
  <c r="F16" i="39"/>
  <c r="E12" i="39"/>
  <c r="E9" i="39"/>
  <c r="E8" i="39"/>
  <c r="AV47" i="41"/>
  <c r="AU47" i="41"/>
  <c r="AT47" i="41"/>
  <c r="AS47" i="41"/>
  <c r="AR47" i="41"/>
  <c r="AQ47" i="41"/>
  <c r="AP47" i="41"/>
  <c r="AP41" i="41"/>
  <c r="AQ41" i="41"/>
  <c r="AR41" i="41"/>
  <c r="AS41" i="41"/>
  <c r="AT41" i="41"/>
  <c r="AU41" i="41"/>
  <c r="AV41" i="41"/>
  <c r="AP12" i="41"/>
  <c r="AQ12" i="41"/>
  <c r="AR12" i="41"/>
  <c r="AS12" i="41"/>
  <c r="AT12" i="41"/>
  <c r="AU12" i="41"/>
  <c r="AV12" i="41"/>
  <c r="AO12" i="41"/>
  <c r="AN25" i="41"/>
  <c r="AM25" i="41"/>
  <c r="AN20" i="41"/>
  <c r="AM20" i="41"/>
  <c r="AM31" i="41" s="1"/>
  <c r="AM32" i="41" s="1"/>
  <c r="AL20" i="41"/>
  <c r="AL31" i="41" s="1"/>
  <c r="AN16" i="41"/>
  <c r="AM16" i="41"/>
  <c r="AL16" i="41"/>
  <c r="AV73" i="39"/>
  <c r="AV110" i="39" s="1"/>
  <c r="AV114" i="39" s="1"/>
  <c r="AU73" i="39"/>
  <c r="AU110" i="39" s="1"/>
  <c r="AU114" i="39" s="1"/>
  <c r="AT73" i="39"/>
  <c r="AT110" i="39" s="1"/>
  <c r="AS73" i="39"/>
  <c r="AS110" i="39" s="1"/>
  <c r="AS114" i="39" s="1"/>
  <c r="AR73" i="39"/>
  <c r="AR110" i="39" s="1"/>
  <c r="AR114" i="39" s="1"/>
  <c r="AQ73" i="39"/>
  <c r="AQ110" i="39" s="1"/>
  <c r="AQ114" i="39" s="1"/>
  <c r="AP73" i="39"/>
  <c r="AP110" i="39" s="1"/>
  <c r="AO73" i="39"/>
  <c r="AO110" i="39" s="1"/>
  <c r="AO114" i="39" s="1"/>
  <c r="AV68" i="39"/>
  <c r="AV109" i="39" s="1"/>
  <c r="AV113" i="39" s="1"/>
  <c r="AU68" i="39"/>
  <c r="AU109" i="39" s="1"/>
  <c r="AU113" i="39" s="1"/>
  <c r="AT68" i="39"/>
  <c r="AT109" i="39" s="1"/>
  <c r="AT113" i="39" s="1"/>
  <c r="AS68" i="39"/>
  <c r="E68" i="39" s="1"/>
  <c r="E69" i="39" s="1"/>
  <c r="AR68" i="39"/>
  <c r="AR109" i="39" s="1"/>
  <c r="AR113" i="39" s="1"/>
  <c r="AQ68" i="39"/>
  <c r="AQ109" i="39" s="1"/>
  <c r="AP68" i="39"/>
  <c r="AP109" i="39" s="1"/>
  <c r="AP113" i="39" s="1"/>
  <c r="AO68" i="39"/>
  <c r="D68" i="39" s="1"/>
  <c r="AV10" i="39"/>
  <c r="AZ30" i="39" s="1"/>
  <c r="AU10" i="39"/>
  <c r="AY30" i="39" s="1"/>
  <c r="AT10" i="39"/>
  <c r="AX30" i="39" s="1"/>
  <c r="AS10" i="39"/>
  <c r="AR10" i="39"/>
  <c r="AR30" i="39" s="1"/>
  <c r="AQ10" i="39"/>
  <c r="AQ30" i="39" s="1"/>
  <c r="AP10" i="39"/>
  <c r="AP30" i="39" s="1"/>
  <c r="AO10" i="39"/>
  <c r="S33" i="18"/>
  <c r="R33" i="18"/>
  <c r="Q33" i="18"/>
  <c r="N27" i="18"/>
  <c r="N24" i="18"/>
  <c r="N23" i="18"/>
  <c r="N19" i="18"/>
  <c r="N18" i="18"/>
  <c r="S11" i="18"/>
  <c r="S46" i="18" s="1"/>
  <c r="R11" i="18"/>
  <c r="R46" i="18" s="1"/>
  <c r="Q11" i="18"/>
  <c r="Q46" i="18" s="1"/>
  <c r="N11" i="18"/>
  <c r="Q7" i="18"/>
  <c r="Q6" i="18"/>
  <c r="R6" i="18" s="1"/>
  <c r="S6" i="18" s="1"/>
  <c r="N5" i="18"/>
  <c r="Q5" i="18" s="1"/>
  <c r="R5" i="18" s="1"/>
  <c r="S5" i="18" s="1"/>
  <c r="N63" i="18"/>
  <c r="N64" i="18" s="1"/>
  <c r="N60" i="18"/>
  <c r="N63" i="17"/>
  <c r="N60" i="17"/>
  <c r="N34" i="17"/>
  <c r="S33" i="17"/>
  <c r="R33" i="17"/>
  <c r="Q33" i="17"/>
  <c r="N33" i="17"/>
  <c r="M33" i="17"/>
  <c r="N32" i="17"/>
  <c r="M32" i="17"/>
  <c r="N27" i="17"/>
  <c r="N24" i="17"/>
  <c r="M24" i="17"/>
  <c r="N23" i="17"/>
  <c r="M23" i="17"/>
  <c r="N19" i="17"/>
  <c r="M19" i="17"/>
  <c r="N18" i="17"/>
  <c r="M18" i="17"/>
  <c r="Q14" i="17"/>
  <c r="R14" i="17" s="1"/>
  <c r="S14" i="17" s="1"/>
  <c r="S11" i="17"/>
  <c r="S46" i="17" s="1"/>
  <c r="R11" i="17"/>
  <c r="Q11" i="17"/>
  <c r="Q46" i="17" s="1"/>
  <c r="N11" i="17"/>
  <c r="M11" i="17"/>
  <c r="Q7" i="17"/>
  <c r="Q6" i="17"/>
  <c r="R6" i="17" s="1"/>
  <c r="S6" i="17" s="1"/>
  <c r="Q5" i="17"/>
  <c r="R5" i="17" s="1"/>
  <c r="S5" i="17" s="1"/>
  <c r="S43" i="17"/>
  <c r="S48" i="17" s="1"/>
  <c r="S44" i="18"/>
  <c r="S43" i="18"/>
  <c r="T7" i="20"/>
  <c r="U7" i="20"/>
  <c r="V7" i="20"/>
  <c r="W7" i="20"/>
  <c r="Y7" i="20"/>
  <c r="Z7" i="20"/>
  <c r="AA7" i="20"/>
  <c r="AB7" i="20"/>
  <c r="AD7" i="20"/>
  <c r="AE7" i="20"/>
  <c r="AF7" i="20"/>
  <c r="AG7" i="20"/>
  <c r="AH7" i="20"/>
  <c r="AI7" i="20"/>
  <c r="AJ7" i="20"/>
  <c r="P6" i="20"/>
  <c r="Q6" i="20"/>
  <c r="T6" i="20"/>
  <c r="U6" i="20"/>
  <c r="V6" i="20"/>
  <c r="W6" i="20"/>
  <c r="Y6" i="20"/>
  <c r="Z6" i="20"/>
  <c r="AC6" i="20"/>
  <c r="AD6" i="20"/>
  <c r="AE6" i="20"/>
  <c r="AF6" i="20"/>
  <c r="AH6" i="20"/>
  <c r="AI6" i="20"/>
  <c r="AJ6" i="20"/>
  <c r="E30" i="20"/>
  <c r="T9" i="20"/>
  <c r="U9" i="20"/>
  <c r="AA6" i="20"/>
  <c r="X7" i="20"/>
  <c r="W9" i="20"/>
  <c r="C18" i="20"/>
  <c r="T18" i="20"/>
  <c r="U18" i="20"/>
  <c r="V18" i="20"/>
  <c r="W18" i="20"/>
  <c r="AJ18" i="20"/>
  <c r="AK18" i="20"/>
  <c r="AL18" i="20"/>
  <c r="AM18" i="20"/>
  <c r="AN18" i="20"/>
  <c r="AO18" i="20"/>
  <c r="AP18" i="20"/>
  <c r="AQ18" i="20"/>
  <c r="BC21" i="20"/>
  <c r="O21" i="20"/>
  <c r="P21" i="20" s="1"/>
  <c r="Q21" i="20" s="1"/>
  <c r="T15" i="20"/>
  <c r="W15" i="20"/>
  <c r="X15" i="20"/>
  <c r="AI14" i="20"/>
  <c r="AQ14" i="20"/>
  <c r="BC22" i="20"/>
  <c r="T13" i="20"/>
  <c r="U13" i="20"/>
  <c r="V13" i="20"/>
  <c r="W13" i="20"/>
  <c r="X13" i="20"/>
  <c r="AR13" i="20"/>
  <c r="AZ22" i="20"/>
  <c r="AZ12" i="20" s="1"/>
  <c r="BA22" i="20"/>
  <c r="BC23" i="20"/>
  <c r="O23" i="20"/>
  <c r="P23" i="20" s="1"/>
  <c r="Q23" i="20" s="1"/>
  <c r="AZ23" i="20"/>
  <c r="BB23" i="20"/>
  <c r="BA23" i="20"/>
  <c r="BC24" i="20"/>
  <c r="U16" i="20"/>
  <c r="AO16" i="20"/>
  <c r="AZ24" i="20"/>
  <c r="BC25" i="20"/>
  <c r="T17" i="20"/>
  <c r="U17" i="20"/>
  <c r="V17" i="20"/>
  <c r="W17" i="20"/>
  <c r="X17" i="20"/>
  <c r="AZ25" i="20"/>
  <c r="BA25" i="20"/>
  <c r="BB25" i="20"/>
  <c r="C27" i="20"/>
  <c r="D27" i="20"/>
  <c r="T27" i="20"/>
  <c r="U27" i="20"/>
  <c r="V27" i="20"/>
  <c r="W27" i="20"/>
  <c r="X28" i="20" s="1"/>
  <c r="X27" i="20"/>
  <c r="Y27" i="20"/>
  <c r="Z27" i="20"/>
  <c r="AA27" i="20"/>
  <c r="T30" i="20"/>
  <c r="U30" i="20"/>
  <c r="V30" i="20"/>
  <c r="W30" i="20"/>
  <c r="X30" i="20"/>
  <c r="Y30" i="20"/>
  <c r="Z30" i="20"/>
  <c r="AA30" i="20"/>
  <c r="AB30" i="20"/>
  <c r="AC30" i="20"/>
  <c r="AD30" i="20"/>
  <c r="AE30" i="20"/>
  <c r="AF30" i="20"/>
  <c r="L7" i="18"/>
  <c r="E8" i="18"/>
  <c r="F44" i="18"/>
  <c r="G43" i="18"/>
  <c r="H43" i="18"/>
  <c r="I44" i="18"/>
  <c r="J43" i="18"/>
  <c r="K43" i="18"/>
  <c r="E11" i="18"/>
  <c r="E46" i="18" s="1"/>
  <c r="F11" i="18"/>
  <c r="F46" i="18" s="1"/>
  <c r="G11" i="18"/>
  <c r="G46" i="18" s="1"/>
  <c r="H11" i="18"/>
  <c r="H46" i="18" s="1"/>
  <c r="I11" i="18"/>
  <c r="I46" i="18" s="1"/>
  <c r="J11" i="18"/>
  <c r="K11" i="18"/>
  <c r="L11" i="18"/>
  <c r="M11" i="18"/>
  <c r="E18" i="18"/>
  <c r="F18" i="18"/>
  <c r="G18" i="18"/>
  <c r="H18" i="18"/>
  <c r="I18" i="18"/>
  <c r="J18" i="18"/>
  <c r="K18" i="18"/>
  <c r="L18" i="18"/>
  <c r="M18" i="18"/>
  <c r="E19" i="18"/>
  <c r="F19" i="18"/>
  <c r="G19" i="18"/>
  <c r="H19" i="18"/>
  <c r="I19" i="18"/>
  <c r="J19" i="18"/>
  <c r="K19" i="18"/>
  <c r="L19" i="18"/>
  <c r="M19" i="18"/>
  <c r="F22" i="18"/>
  <c r="E23" i="18"/>
  <c r="F23" i="18"/>
  <c r="G23" i="18"/>
  <c r="H23" i="18"/>
  <c r="I23" i="18"/>
  <c r="J23" i="18"/>
  <c r="K23" i="18"/>
  <c r="L23" i="18"/>
  <c r="M23" i="18"/>
  <c r="E24" i="18"/>
  <c r="F24" i="18"/>
  <c r="G24" i="18"/>
  <c r="H24" i="18"/>
  <c r="I24" i="18"/>
  <c r="J24" i="18"/>
  <c r="K24" i="18"/>
  <c r="L24" i="18"/>
  <c r="M24" i="18"/>
  <c r="E27" i="18"/>
  <c r="F27" i="18"/>
  <c r="G27" i="18"/>
  <c r="H27" i="18"/>
  <c r="I27" i="18"/>
  <c r="J27" i="18"/>
  <c r="K27" i="18"/>
  <c r="L27" i="18"/>
  <c r="M27" i="18"/>
  <c r="E35" i="18"/>
  <c r="F30" i="18" s="1"/>
  <c r="L43" i="18"/>
  <c r="M43" i="18"/>
  <c r="N43" i="18"/>
  <c r="Q43" i="18"/>
  <c r="R43" i="18"/>
  <c r="L44" i="18"/>
  <c r="M44" i="18"/>
  <c r="N44" i="18"/>
  <c r="Q44" i="18"/>
  <c r="R44" i="18"/>
  <c r="J46" i="18"/>
  <c r="K46" i="18"/>
  <c r="L60" i="18"/>
  <c r="M60" i="18"/>
  <c r="L63" i="18"/>
  <c r="M63" i="18"/>
  <c r="M64" i="18" s="1"/>
  <c r="E11" i="17"/>
  <c r="E46" i="17" s="1"/>
  <c r="F11" i="17"/>
  <c r="F46" i="17" s="1"/>
  <c r="G11" i="17"/>
  <c r="G46" i="17" s="1"/>
  <c r="H11" i="17"/>
  <c r="I11" i="17"/>
  <c r="I46" i="17" s="1"/>
  <c r="J11" i="17"/>
  <c r="J46" i="17" s="1"/>
  <c r="K11" i="17"/>
  <c r="K46" i="17"/>
  <c r="L11" i="17"/>
  <c r="E18" i="17"/>
  <c r="F18" i="17"/>
  <c r="G18" i="17"/>
  <c r="H18" i="17"/>
  <c r="I18" i="17"/>
  <c r="J18" i="17"/>
  <c r="K18" i="17"/>
  <c r="L18" i="17"/>
  <c r="E19" i="17"/>
  <c r="F19" i="17"/>
  <c r="G19" i="17"/>
  <c r="H19" i="17"/>
  <c r="I19" i="17"/>
  <c r="J19" i="17"/>
  <c r="K19" i="17"/>
  <c r="L19" i="17"/>
  <c r="E23" i="17"/>
  <c r="F23" i="17"/>
  <c r="G23" i="17"/>
  <c r="H23" i="17"/>
  <c r="I23" i="17"/>
  <c r="J23" i="17"/>
  <c r="K23" i="17"/>
  <c r="L23" i="17"/>
  <c r="E24" i="17"/>
  <c r="F24" i="17"/>
  <c r="G24" i="17"/>
  <c r="H24" i="17"/>
  <c r="I24" i="17"/>
  <c r="J24" i="17"/>
  <c r="K24" i="17"/>
  <c r="L24" i="17"/>
  <c r="E27" i="17"/>
  <c r="F27" i="17"/>
  <c r="G27" i="17"/>
  <c r="H27" i="17"/>
  <c r="I27" i="17"/>
  <c r="L27" i="17"/>
  <c r="E33" i="17"/>
  <c r="E35" i="17" s="1"/>
  <c r="F30" i="17" s="1"/>
  <c r="F33" i="17"/>
  <c r="G33" i="17"/>
  <c r="H33" i="17"/>
  <c r="I33" i="17"/>
  <c r="J33" i="17"/>
  <c r="K33" i="17"/>
  <c r="L33" i="17"/>
  <c r="F34" i="17"/>
  <c r="L34" i="17"/>
  <c r="E43" i="17"/>
  <c r="F43" i="17"/>
  <c r="G43" i="17"/>
  <c r="H43" i="17"/>
  <c r="I43" i="17"/>
  <c r="J43" i="17"/>
  <c r="K43" i="17"/>
  <c r="L43" i="17"/>
  <c r="M43" i="17"/>
  <c r="Q43" i="17"/>
  <c r="Q48" i="17" s="1"/>
  <c r="R43" i="17"/>
  <c r="R48" i="17" s="1"/>
  <c r="H46" i="17"/>
  <c r="R46" i="17"/>
  <c r="L60" i="17"/>
  <c r="L64" i="17" s="1"/>
  <c r="M60" i="17"/>
  <c r="M63" i="17"/>
  <c r="H64" i="17"/>
  <c r="I64" i="17"/>
  <c r="J64" i="17"/>
  <c r="K64" i="17"/>
  <c r="X9" i="20"/>
  <c r="Z9" i="20"/>
  <c r="AA9" i="20"/>
  <c r="AB9" i="20"/>
  <c r="AD9" i="20"/>
  <c r="AE9" i="20"/>
  <c r="AF9" i="20"/>
  <c r="D8" i="20"/>
  <c r="E8" i="20"/>
  <c r="AM7" i="20"/>
  <c r="AP6" i="20"/>
  <c r="AS6" i="20"/>
  <c r="Z18" i="20"/>
  <c r="AA18" i="20"/>
  <c r="AE18" i="20"/>
  <c r="AD27" i="20"/>
  <c r="AH27" i="20"/>
  <c r="AL27" i="20"/>
  <c r="AN27" i="20"/>
  <c r="AR27" i="20"/>
  <c r="AT27" i="20"/>
  <c r="AV27" i="20"/>
  <c r="AX27" i="20"/>
  <c r="P19" i="20"/>
  <c r="AG19" i="20"/>
  <c r="AH19" i="20"/>
  <c r="AI19" i="20"/>
  <c r="AJ19" i="20"/>
  <c r="AO19" i="20"/>
  <c r="AQ19" i="20"/>
  <c r="U10" i="20"/>
  <c r="Y10" i="20"/>
  <c r="Z10" i="20"/>
  <c r="AD19" i="20"/>
  <c r="BC27" i="20"/>
  <c r="AY27" i="20"/>
  <c r="AC18" i="20"/>
  <c r="Y18" i="20"/>
  <c r="BB6" i="20"/>
  <c r="AT6" i="20"/>
  <c r="AC19" i="20"/>
  <c r="BA27" i="20"/>
  <c r="AW27" i="20"/>
  <c r="AS27" i="20"/>
  <c r="AO27" i="20"/>
  <c r="AK27" i="20"/>
  <c r="AL28" i="20" s="1"/>
  <c r="AG27" i="20"/>
  <c r="AC27" i="20"/>
  <c r="AD28" i="20" s="1"/>
  <c r="AE19" i="20"/>
  <c r="AA19" i="20"/>
  <c r="AB18" i="20"/>
  <c r="BA6" i="20"/>
  <c r="AO6" i="20"/>
  <c r="AX7" i="20"/>
  <c r="AV6" i="20"/>
  <c r="AJ9" i="20"/>
  <c r="AG16" i="20"/>
  <c r="N43" i="17"/>
  <c r="AH30" i="20"/>
  <c r="AI30" i="20"/>
  <c r="H18" i="20"/>
  <c r="AQ16" i="20"/>
  <c r="AN6" i="20"/>
  <c r="N27" i="20"/>
  <c r="F27" i="20"/>
  <c r="AI27" i="20"/>
  <c r="G27" i="20"/>
  <c r="AM27" i="20"/>
  <c r="M27" i="20"/>
  <c r="AP12" i="20"/>
  <c r="W16" i="20"/>
  <c r="AA16" i="20"/>
  <c r="AI18" i="20"/>
  <c r="L27" i="20"/>
  <c r="M28" i="20" s="1"/>
  <c r="E27" i="20"/>
  <c r="AE27" i="20"/>
  <c r="K27" i="20"/>
  <c r="AE16" i="20"/>
  <c r="E19" i="20"/>
  <c r="AB19" i="20"/>
  <c r="AO30" i="20"/>
  <c r="J27" i="20"/>
  <c r="AI16" i="20"/>
  <c r="H27" i="20"/>
  <c r="AQ27" i="20"/>
  <c r="I27" i="20"/>
  <c r="J28" i="20" s="1"/>
  <c r="AU27" i="20"/>
  <c r="O27" i="20"/>
  <c r="AQ30" i="20"/>
  <c r="Q19" i="20"/>
  <c r="BC7" i="20"/>
  <c r="AY7" i="20"/>
  <c r="AX9" i="20"/>
  <c r="AM6" i="20"/>
  <c r="AV9" i="20"/>
  <c r="V9" i="20"/>
  <c r="AB6" i="20"/>
  <c r="AW10" i="20"/>
  <c r="F35" i="17"/>
  <c r="BB27" i="20"/>
  <c r="AN10" i="20"/>
  <c r="AX12" i="20"/>
  <c r="G30" i="17"/>
  <c r="AP30" i="20"/>
  <c r="AK30" i="20"/>
  <c r="Z12" i="20"/>
  <c r="G35" i="17"/>
  <c r="H30" i="17"/>
  <c r="H35" i="17"/>
  <c r="I30" i="17" s="1"/>
  <c r="AB10" i="20"/>
  <c r="X10" i="20"/>
  <c r="AP19" i="20"/>
  <c r="H19" i="20"/>
  <c r="AN19" i="20"/>
  <c r="AD10" i="20"/>
  <c r="V10" i="20"/>
  <c r="F19" i="20"/>
  <c r="AF19" i="20"/>
  <c r="AT12" i="20"/>
  <c r="AX30" i="20"/>
  <c r="AH12" i="20"/>
  <c r="AD12" i="20"/>
  <c r="AF10" i="20"/>
  <c r="AK9" i="20"/>
  <c r="AM9" i="20"/>
  <c r="AK6" i="20"/>
  <c r="AQ10" i="20"/>
  <c r="AH10" i="20"/>
  <c r="Q14" i="18"/>
  <c r="R14" i="18" s="1"/>
  <c r="S14" i="18" s="1"/>
  <c r="AX6" i="20"/>
  <c r="AZ7" i="20"/>
  <c r="AI9" i="20"/>
  <c r="AG6" i="20"/>
  <c r="F6" i="20"/>
  <c r="E6" i="20"/>
  <c r="C9" i="20"/>
  <c r="AU10" i="20"/>
  <c r="C6" i="20"/>
  <c r="D7" i="20"/>
  <c r="C7" i="20"/>
  <c r="T10" i="20"/>
  <c r="BA19" i="20"/>
  <c r="AL10" i="20"/>
  <c r="AQ9" i="20"/>
  <c r="AT9" i="20"/>
  <c r="AZ10" i="20"/>
  <c r="AV7" i="20"/>
  <c r="BC6" i="20"/>
  <c r="AH9" i="20"/>
  <c r="BB9" i="20"/>
  <c r="AU19" i="20"/>
  <c r="J6" i="20"/>
  <c r="AR6" i="20"/>
  <c r="AW7" i="20"/>
  <c r="X6" i="20"/>
  <c r="D6" i="20"/>
  <c r="AN9" i="20"/>
  <c r="BA7" i="20"/>
  <c r="AK7" i="20"/>
  <c r="AY6" i="20"/>
  <c r="L6" i="20"/>
  <c r="Y9" i="20"/>
  <c r="D9" i="20"/>
  <c r="AP9" i="20"/>
  <c r="AC9" i="20"/>
  <c r="E9" i="20"/>
  <c r="AA10" i="20"/>
  <c r="D10" i="20"/>
  <c r="W10" i="20"/>
  <c r="C10" i="20"/>
  <c r="AC10" i="20"/>
  <c r="AE10" i="20"/>
  <c r="AO10" i="20"/>
  <c r="H10" i="20"/>
  <c r="AK10" i="20"/>
  <c r="AG10" i="20"/>
  <c r="BA10" i="20"/>
  <c r="AW6" i="20"/>
  <c r="BB7" i="20"/>
  <c r="AL7" i="20"/>
  <c r="AZ6" i="20"/>
  <c r="E10" i="20"/>
  <c r="AO9" i="20"/>
  <c r="AP10" i="20"/>
  <c r="AC7" i="20"/>
  <c r="E7" i="20"/>
  <c r="AY30" i="20"/>
  <c r="AG30" i="20"/>
  <c r="F30" i="20"/>
  <c r="BC28" i="20"/>
  <c r="BB28" i="20"/>
  <c r="K28" i="20"/>
  <c r="AZ27" i="20"/>
  <c r="L28" i="20"/>
  <c r="AY28" i="20"/>
  <c r="AS28" i="20"/>
  <c r="AP27" i="20"/>
  <c r="AF27" i="20"/>
  <c r="AB27" i="20"/>
  <c r="AC28" i="20" s="1"/>
  <c r="G9" i="20"/>
  <c r="AL9" i="20"/>
  <c r="M6" i="20"/>
  <c r="AW19" i="20"/>
  <c r="BB10" i="20"/>
  <c r="AQ6" i="20"/>
  <c r="H6" i="20"/>
  <c r="I10" i="20"/>
  <c r="AG9" i="20"/>
  <c r="F9" i="20"/>
  <c r="K6" i="20"/>
  <c r="AJ10" i="20"/>
  <c r="AR10" i="20"/>
  <c r="AL6" i="20"/>
  <c r="G6" i="20"/>
  <c r="AY10" i="20"/>
  <c r="AV19" i="20"/>
  <c r="AZ9" i="20"/>
  <c r="AV10" i="20"/>
  <c r="AY19" i="20"/>
  <c r="G10" i="20"/>
  <c r="AS10" i="20"/>
  <c r="H9" i="20"/>
  <c r="AZ18" i="20"/>
  <c r="AB28" i="20"/>
  <c r="AR18" i="20"/>
  <c r="P9" i="20"/>
  <c r="AW9" i="20"/>
  <c r="BA9" i="20"/>
  <c r="N19" i="20"/>
  <c r="AX10" i="20"/>
  <c r="AX19" i="20"/>
  <c r="AU9" i="20"/>
  <c r="N10" i="20"/>
  <c r="AT10" i="20"/>
  <c r="AT19" i="20"/>
  <c r="BB19" i="20"/>
  <c r="AY9" i="20"/>
  <c r="J10" i="20"/>
  <c r="BC9" i="20"/>
  <c r="L10" i="20"/>
  <c r="O9" i="20"/>
  <c r="P10" i="20"/>
  <c r="AU30" i="20"/>
  <c r="AZ30" i="20"/>
  <c r="M30" i="20"/>
  <c r="BA18" i="20"/>
  <c r="AT13" i="20"/>
  <c r="BA30" i="20"/>
  <c r="BB30" i="20"/>
  <c r="I9" i="20"/>
  <c r="BC19" i="20"/>
  <c r="L9" i="20"/>
  <c r="M9" i="20"/>
  <c r="V12" i="20"/>
  <c r="AS15" i="20"/>
  <c r="X12" i="20"/>
  <c r="Q8" i="18"/>
  <c r="R7" i="18"/>
  <c r="Q8" i="17"/>
  <c r="S7" i="17"/>
  <c r="Q27" i="20"/>
  <c r="AU20" i="41"/>
  <c r="L46" i="47" s="1"/>
  <c r="AU31" i="41"/>
  <c r="AU32" i="41" s="1"/>
  <c r="AT13" i="41"/>
  <c r="AU16" i="41"/>
  <c r="AQ20" i="41"/>
  <c r="H46" i="47" s="1"/>
  <c r="AQ31" i="41"/>
  <c r="AQ33" i="41" s="1"/>
  <c r="AP16" i="41"/>
  <c r="AT16" i="41"/>
  <c r="AR20" i="41"/>
  <c r="I46" i="47" s="1"/>
  <c r="AR31" i="41"/>
  <c r="AV20" i="41"/>
  <c r="AR16" i="41"/>
  <c r="AV16" i="41"/>
  <c r="AR13" i="41"/>
  <c r="AV13" i="41"/>
  <c r="AU21" i="41"/>
  <c r="L47" i="47" s="1"/>
  <c r="AN31" i="41"/>
  <c r="AN32" i="41" s="1"/>
  <c r="AM21" i="41"/>
  <c r="AU22" i="41"/>
  <c r="AL21" i="41"/>
  <c r="AV30" i="39"/>
  <c r="AT27" i="39"/>
  <c r="K39" i="47" s="1"/>
  <c r="O40" i="47" s="1"/>
  <c r="AQ21" i="41"/>
  <c r="H47" i="47" s="1"/>
  <c r="AQ22" i="41"/>
  <c r="AV22" i="41"/>
  <c r="AR21" i="41"/>
  <c r="I47" i="47" s="1"/>
  <c r="AR22" i="41"/>
  <c r="AT11" i="44"/>
  <c r="AT18" i="44"/>
  <c r="AP11" i="44"/>
  <c r="AS18" i="44"/>
  <c r="J18" i="47" s="1"/>
  <c r="AT23" i="44"/>
  <c r="AT63" i="44"/>
  <c r="K26" i="47" s="1"/>
  <c r="AP18" i="44"/>
  <c r="G18" i="47" s="1"/>
  <c r="AP23" i="44"/>
  <c r="AU63" i="44"/>
  <c r="L26" i="47" s="1"/>
  <c r="AR11" i="44"/>
  <c r="AV11" i="44"/>
  <c r="AR18" i="44"/>
  <c r="AV18" i="44"/>
  <c r="AO23" i="44"/>
  <c r="AS23" i="44"/>
  <c r="E10" i="44"/>
  <c r="E18" i="44" s="1"/>
  <c r="AU14" i="44"/>
  <c r="AV14" i="44"/>
  <c r="AQ23" i="44"/>
  <c r="AU23" i="44"/>
  <c r="AQ11" i="44"/>
  <c r="AU11" i="44"/>
  <c r="AQ14" i="43"/>
  <c r="H7" i="47" s="1"/>
  <c r="AT34" i="43"/>
  <c r="AS19" i="44"/>
  <c r="J19" i="47" s="1"/>
  <c r="E10" i="39"/>
  <c r="AT16" i="43"/>
  <c r="D10" i="44"/>
  <c r="D23" i="44" s="1"/>
  <c r="AP34" i="39"/>
  <c r="AP35" i="39" s="1"/>
  <c r="AN18" i="44"/>
  <c r="AN19" i="44" s="1"/>
  <c r="E19" i="47" s="1"/>
  <c r="AQ18" i="44"/>
  <c r="H18" i="47"/>
  <c r="E13" i="44"/>
  <c r="AR34" i="39"/>
  <c r="AR35" i="39" s="1"/>
  <c r="AV34" i="39"/>
  <c r="AV37" i="39" s="1"/>
  <c r="AU34" i="43"/>
  <c r="AV24" i="43"/>
  <c r="AU22" i="43"/>
  <c r="AP14" i="43"/>
  <c r="G7" i="47" s="1"/>
  <c r="AT14" i="43"/>
  <c r="K7" i="47" s="1"/>
  <c r="AT34" i="39"/>
  <c r="AT37" i="39" s="1"/>
  <c r="AV25" i="41"/>
  <c r="AT20" i="41"/>
  <c r="AO20" i="41"/>
  <c r="AU25" i="41"/>
  <c r="E12" i="41"/>
  <c r="E25" i="41" s="1"/>
  <c r="AP10" i="43"/>
  <c r="AO10" i="43"/>
  <c r="AU34" i="39"/>
  <c r="AU37" i="39" s="1"/>
  <c r="AQ34" i="39"/>
  <c r="AQ35" i="39" s="1"/>
  <c r="AV18" i="43"/>
  <c r="AR18" i="43"/>
  <c r="AO25" i="41"/>
  <c r="AQ25" i="41"/>
  <c r="AR10" i="43"/>
  <c r="AU24" i="43"/>
  <c r="L8" i="47" s="1"/>
  <c r="AV21" i="41"/>
  <c r="AQ29" i="44"/>
  <c r="AQ19" i="44"/>
  <c r="H19" i="47" s="1"/>
  <c r="AQ116" i="44"/>
  <c r="AT115" i="44"/>
  <c r="F72" i="39"/>
  <c r="AU67" i="41"/>
  <c r="AU62" i="41" s="1"/>
  <c r="AY63" i="41" s="1"/>
  <c r="AS99" i="41"/>
  <c r="AU100" i="41"/>
  <c r="F46" i="41"/>
  <c r="E83" i="41"/>
  <c r="AR100" i="41"/>
  <c r="AU99" i="41"/>
  <c r="AQ99" i="41"/>
  <c r="AU17" i="39"/>
  <c r="AQ18" i="39"/>
  <c r="AU19" i="39"/>
  <c r="AV17" i="39"/>
  <c r="AR18" i="39"/>
  <c r="AV19" i="39"/>
  <c r="AS17" i="39"/>
  <c r="AS18" i="39"/>
  <c r="AS19" i="39"/>
  <c r="AT17" i="39"/>
  <c r="AP18" i="39"/>
  <c r="AT18" i="39"/>
  <c r="AT19" i="39"/>
  <c r="AP31" i="39"/>
  <c r="AT31" i="39"/>
  <c r="AS109" i="39"/>
  <c r="E109" i="39" s="1"/>
  <c r="E113" i="39" s="1"/>
  <c r="AO109" i="39"/>
  <c r="F98" i="41"/>
  <c r="AH52" i="44"/>
  <c r="AH47" i="44" s="1"/>
  <c r="AP115" i="44"/>
  <c r="AT52" i="41"/>
  <c r="AS67" i="41"/>
  <c r="AS62" i="41" s="1"/>
  <c r="E74" i="41"/>
  <c r="E60" i="41"/>
  <c r="E51" i="41"/>
  <c r="AO116" i="44"/>
  <c r="AR115" i="44"/>
  <c r="AU116" i="44"/>
  <c r="AU15" i="44"/>
  <c r="F44" i="41"/>
  <c r="D12" i="41"/>
  <c r="AR77" i="41"/>
  <c r="AV80" i="41" s="1"/>
  <c r="AQ77" i="41"/>
  <c r="AS75" i="41"/>
  <c r="AU77" i="41"/>
  <c r="AT75" i="41"/>
  <c r="AV77" i="41"/>
  <c r="AT30" i="39"/>
  <c r="AV27" i="39"/>
  <c r="D10" i="39"/>
  <c r="AV94" i="39"/>
  <c r="AV89" i="39" s="1"/>
  <c r="AP27" i="39"/>
  <c r="AP8" i="43" s="1"/>
  <c r="AS30" i="39"/>
  <c r="E86" i="39"/>
  <c r="AS16" i="41"/>
  <c r="AS52" i="41"/>
  <c r="AV54" i="41"/>
  <c r="AS13" i="41"/>
  <c r="AU54" i="41"/>
  <c r="AT67" i="41"/>
  <c r="AT62" i="41" s="1"/>
  <c r="AS20" i="41"/>
  <c r="AS25" i="41"/>
  <c r="E15" i="41"/>
  <c r="E18" i="41"/>
  <c r="AT54" i="41"/>
  <c r="AP13" i="41"/>
  <c r="AT25" i="41"/>
  <c r="AP20" i="41"/>
  <c r="G46" i="47" s="1"/>
  <c r="AS34" i="39"/>
  <c r="AS35" i="39" s="1"/>
  <c r="AP18" i="43"/>
  <c r="AU30" i="39"/>
  <c r="AR27" i="39"/>
  <c r="I39" i="47" s="1"/>
  <c r="M40" i="47" s="1"/>
  <c r="AR31" i="39"/>
  <c r="AT43" i="39"/>
  <c r="AU27" i="39"/>
  <c r="L39" i="47" s="1"/>
  <c r="P40" i="47" s="1"/>
  <c r="E16" i="39"/>
  <c r="AV31" i="39"/>
  <c r="AT45" i="39"/>
  <c r="K41" i="47" s="1"/>
  <c r="AT58" i="39"/>
  <c r="AL8" i="43"/>
  <c r="AT15" i="44"/>
  <c r="AQ15" i="44"/>
  <c r="AM18" i="44"/>
  <c r="AV15" i="44"/>
  <c r="AR15" i="44"/>
  <c r="AU16" i="44"/>
  <c r="AQ16" i="44"/>
  <c r="AT16" i="44"/>
  <c r="E16" i="44"/>
  <c r="AP15" i="44"/>
  <c r="AS16" i="44"/>
  <c r="E172" i="44"/>
  <c r="AS15" i="44"/>
  <c r="F13" i="44"/>
  <c r="F16" i="44" s="1"/>
  <c r="AV16" i="44"/>
  <c r="F44" i="44"/>
  <c r="AK76" i="44"/>
  <c r="AU18" i="44"/>
  <c r="L18" i="47" s="1"/>
  <c r="E125" i="44"/>
  <c r="E126" i="44" s="1"/>
  <c r="D174" i="44"/>
  <c r="D125" i="44"/>
  <c r="D126" i="44" s="1"/>
  <c r="E174" i="44"/>
  <c r="E135" i="44"/>
  <c r="E136" i="44" s="1"/>
  <c r="AM83" i="44"/>
  <c r="AM78" i="44" s="1"/>
  <c r="AM120" i="44" s="1"/>
  <c r="AT83" i="44"/>
  <c r="S83" i="44"/>
  <c r="AR170" i="44"/>
  <c r="AR171" i="44" s="1"/>
  <c r="AV19" i="44"/>
  <c r="AV29" i="44"/>
  <c r="AJ170" i="44"/>
  <c r="AJ171" i="44" s="1"/>
  <c r="AN29" i="44"/>
  <c r="AN30" i="44"/>
  <c r="AT19" i="44"/>
  <c r="K19" i="47" s="1"/>
  <c r="AH175" i="44"/>
  <c r="F71" i="44"/>
  <c r="AM170" i="44"/>
  <c r="AM171" i="44" s="1"/>
  <c r="AI170" i="44"/>
  <c r="AI171" i="44" s="1"/>
  <c r="AQ170" i="44"/>
  <c r="AQ171" i="44" s="1"/>
  <c r="AP170" i="44"/>
  <c r="AP171" i="44" s="1"/>
  <c r="AL170" i="44"/>
  <c r="AH170" i="44"/>
  <c r="AH171" i="44" s="1"/>
  <c r="AN172" i="44"/>
  <c r="AN170" i="44" s="1"/>
  <c r="AN171" i="44" s="1"/>
  <c r="AK170" i="44"/>
  <c r="AK171" i="44"/>
  <c r="AO172" i="44"/>
  <c r="AR20" i="44"/>
  <c r="AU162" i="44"/>
  <c r="AQ162" i="44"/>
  <c r="AM162" i="44"/>
  <c r="AS162" i="44"/>
  <c r="AO162" i="44"/>
  <c r="AV135" i="44"/>
  <c r="AE130" i="44"/>
  <c r="AN136" i="44"/>
  <c r="AA130" i="44"/>
  <c r="AG59" i="44"/>
  <c r="AU125" i="44"/>
  <c r="AC130" i="44"/>
  <c r="AR121" i="44"/>
  <c r="AN121" i="44"/>
  <c r="AJ121" i="44"/>
  <c r="AF121" i="44"/>
  <c r="AP121" i="44"/>
  <c r="AL121" i="44"/>
  <c r="AH121" i="44"/>
  <c r="AD121" i="44"/>
  <c r="D114" i="44"/>
  <c r="E71" i="44"/>
  <c r="AJ10" i="44"/>
  <c r="AF10" i="44"/>
  <c r="D112" i="44"/>
  <c r="AL18" i="44"/>
  <c r="AP20" i="44"/>
  <c r="AU29" i="44"/>
  <c r="AY31" i="44" s="1"/>
  <c r="AU20" i="44"/>
  <c r="AU19" i="44"/>
  <c r="L19" i="47" s="1"/>
  <c r="AS11" i="44"/>
  <c r="F19" i="39"/>
  <c r="AT32" i="39"/>
  <c r="AR32" i="39"/>
  <c r="J46" i="41"/>
  <c r="E20" i="41"/>
  <c r="E21" i="41" s="1"/>
  <c r="AS31" i="41"/>
  <c r="AW33" i="41" s="1"/>
  <c r="AP22" i="41"/>
  <c r="AU8" i="43"/>
  <c r="AU58" i="39"/>
  <c r="AU43" i="39"/>
  <c r="AU45" i="39"/>
  <c r="L41" i="47" s="1"/>
  <c r="AT46" i="39"/>
  <c r="K42" i="47" s="1"/>
  <c r="AT60" i="39"/>
  <c r="AQ31" i="39"/>
  <c r="AU31" i="39"/>
  <c r="AQ27" i="39"/>
  <c r="AM29" i="44"/>
  <c r="AM19" i="44"/>
  <c r="AQ20" i="44"/>
  <c r="AV137" i="44"/>
  <c r="AV172" i="44" s="1"/>
  <c r="AV170" i="44" s="1"/>
  <c r="AV171" i="44" s="1"/>
  <c r="AL171" i="44"/>
  <c r="AL29" i="44"/>
  <c r="AL19" i="44"/>
  <c r="AU30" i="44"/>
  <c r="AM30" i="44"/>
  <c r="AL30" i="44"/>
  <c r="F37" i="44"/>
  <c r="F38" i="44"/>
  <c r="F12" i="39"/>
  <c r="F83" i="41"/>
  <c r="F38" i="41"/>
  <c r="S78" i="44"/>
  <c r="AQ54" i="41"/>
  <c r="AO100" i="41"/>
  <c r="AV67" i="41"/>
  <c r="AV62" i="41" s="1"/>
  <c r="AT21" i="41"/>
  <c r="K47" i="47" s="1"/>
  <c r="AU52" i="41"/>
  <c r="AT18" i="41"/>
  <c r="AP54" i="41"/>
  <c r="AT55" i="41" s="1"/>
  <c r="AV52" i="41"/>
  <c r="E87" i="41"/>
  <c r="AO54" i="41"/>
  <c r="AS88" i="41"/>
  <c r="AU33" i="41"/>
  <c r="AQ32" i="41"/>
  <c r="AL32" i="41"/>
  <c r="F40" i="41"/>
  <c r="F97" i="41"/>
  <c r="AQ18" i="43"/>
  <c r="AP100" i="41"/>
  <c r="AU17" i="41"/>
  <c r="AQ17" i="41"/>
  <c r="AP18" i="41"/>
  <c r="AS18" i="41"/>
  <c r="AO67" i="41"/>
  <c r="AO62" i="41" s="1"/>
  <c r="AT17" i="41"/>
  <c r="AV18" i="41"/>
  <c r="AR18" i="41"/>
  <c r="AU10" i="43"/>
  <c r="AS17" i="41"/>
  <c r="AU18" i="41"/>
  <c r="F82" i="41"/>
  <c r="F22" i="44"/>
  <c r="F25" i="44" s="1"/>
  <c r="F20" i="39"/>
  <c r="F21" i="39" s="1"/>
  <c r="F95" i="41"/>
  <c r="F17" i="39"/>
  <c r="E112" i="39"/>
  <c r="AO113" i="39"/>
  <c r="AR94" i="39"/>
  <c r="D109" i="39"/>
  <c r="D113" i="39" s="1"/>
  <c r="E73" i="39"/>
  <c r="AQ63" i="46"/>
  <c r="AV40" i="46"/>
  <c r="AV63" i="46" s="1"/>
  <c r="AU63" i="46"/>
  <c r="AV25" i="43"/>
  <c r="AV36" i="43"/>
  <c r="AZ38" i="43" s="1"/>
  <c r="AP52" i="46"/>
  <c r="AL91" i="46"/>
  <c r="AR14" i="46"/>
  <c r="AR54" i="46" s="1"/>
  <c r="AQ54" i="46"/>
  <c r="AP33" i="46"/>
  <c r="AP45" i="46" s="1"/>
  <c r="D13" i="46"/>
  <c r="AQ28" i="46"/>
  <c r="AS20" i="46"/>
  <c r="AQ56" i="46"/>
  <c r="E39" i="46"/>
  <c r="E31" i="46"/>
  <c r="AT45" i="46"/>
  <c r="AU36" i="43"/>
  <c r="AY38" i="43" s="1"/>
  <c r="AL22" i="43"/>
  <c r="AM22" i="43"/>
  <c r="AS24" i="43"/>
  <c r="J8" i="47" s="1"/>
  <c r="AS22" i="43"/>
  <c r="AS16" i="43"/>
  <c r="AR43" i="39"/>
  <c r="AR16" i="43"/>
  <c r="AR45" i="39"/>
  <c r="I41" i="47" s="1"/>
  <c r="AR89" i="39"/>
  <c r="AV37" i="43"/>
  <c r="AM24" i="43"/>
  <c r="AU37" i="43"/>
  <c r="AU44" i="43"/>
  <c r="AL24" i="43"/>
  <c r="AL25" i="43" s="1"/>
  <c r="AQ16" i="43"/>
  <c r="AN28" i="43"/>
  <c r="AN58" i="39"/>
  <c r="AL28" i="43"/>
  <c r="AL58" i="39"/>
  <c r="AN16" i="43"/>
  <c r="AN45" i="39"/>
  <c r="AR47" i="39" s="1"/>
  <c r="AN43" i="39"/>
  <c r="AM28" i="43"/>
  <c r="AM58" i="39"/>
  <c r="AL45" i="39"/>
  <c r="AL16" i="43"/>
  <c r="AL43" i="39"/>
  <c r="AM43" i="39"/>
  <c r="AM16" i="43"/>
  <c r="AM45" i="39"/>
  <c r="AM25" i="43"/>
  <c r="AS25" i="43"/>
  <c r="J9" i="47" s="1"/>
  <c r="AS28" i="43"/>
  <c r="AR58" i="39"/>
  <c r="AR28" i="43"/>
  <c r="AR46" i="39"/>
  <c r="I42" i="47" s="1"/>
  <c r="AR60" i="39"/>
  <c r="AQ28" i="43"/>
  <c r="AP58" i="39"/>
  <c r="AP28" i="43"/>
  <c r="AP16" i="43"/>
  <c r="AP43" i="39"/>
  <c r="AP45" i="39"/>
  <c r="AP46" i="39" s="1"/>
  <c r="G42" i="47" s="1"/>
  <c r="AO28" i="43"/>
  <c r="AU47" i="43"/>
  <c r="AU49" i="43"/>
  <c r="AU53" i="43" s="1"/>
  <c r="AU60" i="43" s="1"/>
  <c r="L5" i="47" s="1"/>
  <c r="AL60" i="39"/>
  <c r="AL61" i="39" s="1"/>
  <c r="AL46" i="39"/>
  <c r="AR24" i="43"/>
  <c r="I8" i="47" s="1"/>
  <c r="AR22" i="43"/>
  <c r="AQ24" i="43"/>
  <c r="AQ22" i="43"/>
  <c r="AM60" i="39"/>
  <c r="AM61" i="39" s="1"/>
  <c r="AM46" i="39"/>
  <c r="AN24" i="43"/>
  <c r="AN22" i="43"/>
  <c r="AO16" i="43"/>
  <c r="AT47" i="39"/>
  <c r="AP22" i="43"/>
  <c r="AP24" i="43"/>
  <c r="AP36" i="43" s="1"/>
  <c r="AO24" i="43"/>
  <c r="AO51" i="46" s="1"/>
  <c r="AO22" i="43"/>
  <c r="AP26" i="43"/>
  <c r="AS34" i="43"/>
  <c r="AR34" i="43"/>
  <c r="AS36" i="43"/>
  <c r="AS44" i="43" s="1"/>
  <c r="AQ34" i="43"/>
  <c r="AP34" i="43"/>
  <c r="AO34" i="43"/>
  <c r="AO36" i="43"/>
  <c r="AN34" i="43"/>
  <c r="AN36" i="43"/>
  <c r="AN37" i="43" s="1"/>
  <c r="AM34" i="43"/>
  <c r="AM36" i="43"/>
  <c r="AM37" i="43" s="1"/>
  <c r="AL34" i="43"/>
  <c r="AL36" i="43"/>
  <c r="AV74" i="46"/>
  <c r="AN30" i="20"/>
  <c r="AJ30" i="20"/>
  <c r="BC30" i="20"/>
  <c r="AL30" i="20"/>
  <c r="AM30" i="20"/>
  <c r="G30" i="20"/>
  <c r="X21" i="47"/>
  <c r="V15" i="20"/>
  <c r="AT15" i="20"/>
  <c r="I43" i="18"/>
  <c r="AW67" i="41"/>
  <c r="AW62" i="41" s="1"/>
  <c r="D82" i="41"/>
  <c r="BB21" i="20"/>
  <c r="BB14" i="20" s="1"/>
  <c r="AT155" i="44"/>
  <c r="AT152" i="44"/>
  <c r="AT172" i="44"/>
  <c r="AT170" i="44" s="1"/>
  <c r="AT171" i="44" s="1"/>
  <c r="AM74" i="44"/>
  <c r="AM76" i="44" s="1"/>
  <c r="AV152" i="44"/>
  <c r="AV155" i="44"/>
  <c r="AO18" i="44"/>
  <c r="AO29" i="44" s="1"/>
  <c r="AO30" i="44" s="1"/>
  <c r="AR23" i="44"/>
  <c r="AM23" i="44"/>
  <c r="AV121" i="44"/>
  <c r="AS175" i="44"/>
  <c r="AS170" i="44"/>
  <c r="E170" i="44" s="1"/>
  <c r="E171" i="44" s="1"/>
  <c r="D67" i="44"/>
  <c r="D131" i="44" s="1"/>
  <c r="AO140" i="44"/>
  <c r="AU152" i="44"/>
  <c r="AU155" i="44"/>
  <c r="AN152" i="44"/>
  <c r="AW139" i="44"/>
  <c r="AN139" i="44"/>
  <c r="AO146" i="44" s="1"/>
  <c r="AQ139" i="44"/>
  <c r="AT139" i="44"/>
  <c r="AP139" i="44"/>
  <c r="AN155" i="44"/>
  <c r="AU139" i="44"/>
  <c r="AU146" i="44" s="1"/>
  <c r="AS139" i="44"/>
  <c r="AO139" i="44"/>
  <c r="AP146" i="44" s="1"/>
  <c r="AV139" i="44"/>
  <c r="AW157" i="44" s="1"/>
  <c r="AR139" i="44"/>
  <c r="AN144" i="44"/>
  <c r="D137" i="44"/>
  <c r="AO155" i="44"/>
  <c r="AO152" i="44"/>
  <c r="AS74" i="46"/>
  <c r="BB22" i="20"/>
  <c r="BB12" i="20" s="1"/>
  <c r="G112" i="44"/>
  <c r="AS38" i="43"/>
  <c r="AS14" i="43"/>
  <c r="J7" i="47" s="1"/>
  <c r="AU14" i="43"/>
  <c r="L7" i="47" s="1"/>
  <c r="D46" i="43"/>
  <c r="BA24" i="20"/>
  <c r="BA16" i="20" s="1"/>
  <c r="F21" i="45"/>
  <c r="AS37" i="43"/>
  <c r="AU25" i="43"/>
  <c r="L9" i="47" s="1"/>
  <c r="AV51" i="46"/>
  <c r="AT24" i="43"/>
  <c r="K8" i="47" s="1"/>
  <c r="AL51" i="46"/>
  <c r="AR51" i="46"/>
  <c r="AM51" i="46"/>
  <c r="AL54" i="46"/>
  <c r="AU55" i="45"/>
  <c r="AQ55" i="45"/>
  <c r="AM55" i="45"/>
  <c r="G6" i="47"/>
  <c r="Y7" i="47"/>
  <c r="G8" i="47"/>
  <c r="AP51" i="46"/>
  <c r="AR67" i="45"/>
  <c r="AS55" i="45"/>
  <c r="Y3" i="47"/>
  <c r="F64" i="43"/>
  <c r="F56" i="43"/>
  <c r="F67" i="39"/>
  <c r="H96" i="41"/>
  <c r="H100" i="41" s="1"/>
  <c r="E99" i="41"/>
  <c r="AU56" i="41"/>
  <c r="AT100" i="41"/>
  <c r="AV100" i="41"/>
  <c r="F43" i="45"/>
  <c r="F45" i="45"/>
  <c r="F63" i="45"/>
  <c r="F111" i="39"/>
  <c r="F39" i="41"/>
  <c r="F73" i="39"/>
  <c r="F45" i="41"/>
  <c r="W17" i="47"/>
  <c r="W15" i="47"/>
  <c r="F33" i="45"/>
  <c r="AP157" i="44"/>
  <c r="AQ157" i="44"/>
  <c r="AS146" i="44"/>
  <c r="AQ141" i="44"/>
  <c r="AW146" i="44"/>
  <c r="AN157" i="44"/>
  <c r="AO19" i="44"/>
  <c r="F19" i="47" s="1"/>
  <c r="F18" i="47"/>
  <c r="AS20" i="44"/>
  <c r="G99" i="44"/>
  <c r="W7" i="47"/>
  <c r="AT25" i="43"/>
  <c r="K9" i="47" s="1"/>
  <c r="G96" i="41"/>
  <c r="G100" i="41" s="1"/>
  <c r="F24" i="41"/>
  <c r="F27" i="41" s="1"/>
  <c r="F15" i="41"/>
  <c r="F18" i="41" s="1"/>
  <c r="F40" i="43"/>
  <c r="F87" i="41"/>
  <c r="F88" i="41"/>
  <c r="F10" i="41"/>
  <c r="F125" i="44"/>
  <c r="F127" i="44"/>
  <c r="F126" i="44" s="1"/>
  <c r="F27" i="45"/>
  <c r="F31" i="45" s="1"/>
  <c r="F135" i="44"/>
  <c r="F15" i="45"/>
  <c r="F137" i="44"/>
  <c r="F174" i="44"/>
  <c r="F175" i="44" s="1"/>
  <c r="F9" i="44"/>
  <c r="F11" i="41"/>
  <c r="F9" i="39"/>
  <c r="F29" i="39" s="1"/>
  <c r="F8" i="44"/>
  <c r="F177" i="44" s="1"/>
  <c r="F178" i="44" s="1"/>
  <c r="F35" i="44"/>
  <c r="F41" i="44"/>
  <c r="F70" i="44"/>
  <c r="F130" i="44"/>
  <c r="F16" i="45"/>
  <c r="F34" i="45"/>
  <c r="AW90" i="44"/>
  <c r="F8" i="41"/>
  <c r="F9" i="41"/>
  <c r="F12" i="41" s="1"/>
  <c r="F37" i="41"/>
  <c r="F43" i="41"/>
  <c r="F47" i="41" s="1"/>
  <c r="F51" i="41"/>
  <c r="F67" i="41"/>
  <c r="F74" i="41"/>
  <c r="F52" i="41"/>
  <c r="F8" i="39"/>
  <c r="F28" i="39" s="1"/>
  <c r="F71" i="39"/>
  <c r="F66" i="39"/>
  <c r="F86" i="39"/>
  <c r="F9" i="45"/>
  <c r="F46" i="43"/>
  <c r="F42" i="45"/>
  <c r="AS144" i="44"/>
  <c r="AS148" i="44" s="1"/>
  <c r="AT144" i="44"/>
  <c r="AU144" i="44"/>
  <c r="AV144" i="44"/>
  <c r="AW144" i="44"/>
  <c r="AW148" i="44" s="1"/>
  <c r="AP144" i="44"/>
  <c r="AQ144" i="44"/>
  <c r="AR144" i="44"/>
  <c r="AO144" i="44"/>
  <c r="O24" i="20"/>
  <c r="O16" i="20" s="1"/>
  <c r="AO27" i="39"/>
  <c r="D25" i="39"/>
  <c r="AW30" i="39"/>
  <c r="AQ113" i="39"/>
  <c r="AS25" i="39"/>
  <c r="AS27" i="39" s="1"/>
  <c r="J39" i="47" s="1"/>
  <c r="N40" i="47" s="1"/>
  <c r="AP114" i="39"/>
  <c r="AN8" i="43"/>
  <c r="AW17" i="39"/>
  <c r="AR8" i="43"/>
  <c r="AO8" i="43"/>
  <c r="AW155" i="44"/>
  <c r="F155" i="44" s="1"/>
  <c r="AW172" i="44"/>
  <c r="AW152" i="44"/>
  <c r="E18" i="47"/>
  <c r="AR16" i="44"/>
  <c r="AT178" i="44"/>
  <c r="AP16" i="44"/>
  <c r="AU178" i="44"/>
  <c r="AP178" i="44"/>
  <c r="E178" i="44"/>
  <c r="AW178" i="44"/>
  <c r="AW16" i="44"/>
  <c r="AW15" i="44"/>
  <c r="AV178" i="44"/>
  <c r="F39" i="47"/>
  <c r="AO45" i="39"/>
  <c r="AO46" i="39" s="1"/>
  <c r="F42" i="47" s="1"/>
  <c r="AO58" i="39"/>
  <c r="AO43" i="39"/>
  <c r="AS31" i="39"/>
  <c r="AW170" i="44"/>
  <c r="AW171" i="44" s="1"/>
  <c r="BB24" i="20"/>
  <c r="BB16" i="20" s="1"/>
  <c r="E44" i="18"/>
  <c r="E43" i="18"/>
  <c r="V19" i="20"/>
  <c r="AF12" i="20"/>
  <c r="O22" i="20"/>
  <c r="O12" i="20" s="1"/>
  <c r="Y14" i="20"/>
  <c r="Y15" i="20"/>
  <c r="AD14" i="20"/>
  <c r="AA14" i="20"/>
  <c r="AG14" i="20"/>
  <c r="U15" i="20"/>
  <c r="U14" i="20"/>
  <c r="S8" i="17" l="1"/>
  <c r="T7" i="17"/>
  <c r="J72" i="41"/>
  <c r="AW118" i="44"/>
  <c r="E118" i="44"/>
  <c r="AW168" i="44"/>
  <c r="F76" i="39"/>
  <c r="F99" i="39"/>
  <c r="E101" i="44"/>
  <c r="F28" i="43"/>
  <c r="I49" i="41"/>
  <c r="I35" i="41"/>
  <c r="I85" i="41"/>
  <c r="I72" i="41"/>
  <c r="I168" i="44"/>
  <c r="I133" i="44"/>
  <c r="I57" i="44"/>
  <c r="I118" i="44"/>
  <c r="I33" i="44"/>
  <c r="I101" i="44"/>
  <c r="I88" i="44"/>
  <c r="I76" i="39"/>
  <c r="I64" i="39"/>
  <c r="I99" i="39"/>
  <c r="I66" i="46"/>
  <c r="I49" i="46"/>
  <c r="I61" i="45"/>
  <c r="I53" i="45"/>
  <c r="Y16" i="20"/>
  <c r="D49" i="41"/>
  <c r="J49" i="41"/>
  <c r="AT91" i="44"/>
  <c r="AT35" i="39"/>
  <c r="AS50" i="39"/>
  <c r="AM37" i="39"/>
  <c r="AM38" i="39" s="1"/>
  <c r="AS40" i="46"/>
  <c r="AS63" i="46" s="1"/>
  <c r="AR63" i="46"/>
  <c r="E63" i="46" s="1"/>
  <c r="D20" i="46"/>
  <c r="AU43" i="46"/>
  <c r="AO14" i="46"/>
  <c r="AL52" i="46"/>
  <c r="D29" i="46"/>
  <c r="AV27" i="46"/>
  <c r="AV89" i="46" s="1"/>
  <c r="AL33" i="46"/>
  <c r="AR82" i="46"/>
  <c r="AU56" i="46"/>
  <c r="D11" i="46"/>
  <c r="AR56" i="46"/>
  <c r="D15" i="46"/>
  <c r="AQ84" i="46"/>
  <c r="AL43" i="46"/>
  <c r="AS41" i="46"/>
  <c r="E41" i="46" s="1"/>
  <c r="AS56" i="46"/>
  <c r="AQ43" i="46"/>
  <c r="AR27" i="46"/>
  <c r="AQ89" i="46"/>
  <c r="AQ52" i="46"/>
  <c r="AO18" i="46"/>
  <c r="AO56" i="46" s="1"/>
  <c r="AN56" i="46"/>
  <c r="BC92" i="46"/>
  <c r="AV91" i="46"/>
  <c r="M11" i="47" s="1"/>
  <c r="E40" i="46"/>
  <c r="AV52" i="46"/>
  <c r="AU33" i="46"/>
  <c r="AP89" i="46"/>
  <c r="AP68" i="46" s="1"/>
  <c r="AU89" i="46"/>
  <c r="AM56" i="46"/>
  <c r="AV18" i="46"/>
  <c r="AV56" i="46" s="1"/>
  <c r="AO12" i="46"/>
  <c r="D12" i="46" s="1"/>
  <c r="AN23" i="46"/>
  <c r="AO23" i="46" s="1"/>
  <c r="AN40" i="46"/>
  <c r="E20" i="46"/>
  <c r="E22" i="46"/>
  <c r="AU54" i="46"/>
  <c r="AT89" i="46"/>
  <c r="K10" i="47" s="1"/>
  <c r="AT59" i="46"/>
  <c r="K12" i="47" s="1"/>
  <c r="AU82" i="46"/>
  <c r="J49" i="46"/>
  <c r="AS14" i="46"/>
  <c r="AT52" i="46"/>
  <c r="F49" i="46"/>
  <c r="AW49" i="41"/>
  <c r="E35" i="41"/>
  <c r="F168" i="44"/>
  <c r="F33" i="44"/>
  <c r="AW57" i="44"/>
  <c r="AV76" i="39"/>
  <c r="E11" i="46"/>
  <c r="D49" i="46"/>
  <c r="F133" i="44"/>
  <c r="E72" i="41"/>
  <c r="AT57" i="44"/>
  <c r="AW101" i="44"/>
  <c r="F88" i="44"/>
  <c r="F118" i="44"/>
  <c r="AW72" i="41"/>
  <c r="E49" i="41"/>
  <c r="AW33" i="44"/>
  <c r="AW35" i="41"/>
  <c r="AV49" i="46"/>
  <c r="G53" i="45"/>
  <c r="D72" i="41"/>
  <c r="F57" i="44"/>
  <c r="G64" i="39"/>
  <c r="AT61" i="45"/>
  <c r="D85" i="41"/>
  <c r="D16" i="43"/>
  <c r="AQ20" i="43"/>
  <c r="E30" i="43"/>
  <c r="AP57" i="46"/>
  <c r="P24" i="20"/>
  <c r="Q24" i="20" s="1"/>
  <c r="BB80" i="41"/>
  <c r="BB78" i="41"/>
  <c r="AT99" i="41"/>
  <c r="AP99" i="41"/>
  <c r="W14" i="20"/>
  <c r="F68" i="44"/>
  <c r="L21" i="47"/>
  <c r="H21" i="47"/>
  <c r="AN140" i="44"/>
  <c r="AN141" i="44" s="1"/>
  <c r="AF59" i="44"/>
  <c r="F20" i="47"/>
  <c r="K21" i="47"/>
  <c r="G21" i="47"/>
  <c r="AC83" i="44"/>
  <c r="AC78" i="44" s="1"/>
  <c r="W52" i="44"/>
  <c r="W47" i="44" s="1"/>
  <c r="AA48" i="44" s="1"/>
  <c r="E20" i="47"/>
  <c r="E21" i="47"/>
  <c r="J21" i="47"/>
  <c r="F21" i="47"/>
  <c r="L20" i="47"/>
  <c r="M20" i="47"/>
  <c r="M21" i="47"/>
  <c r="I21" i="47"/>
  <c r="H42" i="44"/>
  <c r="Q29" i="47"/>
  <c r="AY40" i="39"/>
  <c r="AX40" i="39"/>
  <c r="AS7" i="20"/>
  <c r="AP7" i="20"/>
  <c r="AO7" i="20"/>
  <c r="AN7" i="20"/>
  <c r="AR7" i="20"/>
  <c r="AT7" i="20"/>
  <c r="AT17" i="20"/>
  <c r="AX16" i="20"/>
  <c r="AP16" i="20"/>
  <c r="AH16" i="20"/>
  <c r="Z16" i="20"/>
  <c r="AG12" i="20"/>
  <c r="Y12" i="20"/>
  <c r="AW15" i="20"/>
  <c r="AC14" i="20"/>
  <c r="BA40" i="39"/>
  <c r="AU7" i="20"/>
  <c r="C13" i="20"/>
  <c r="C15" i="20"/>
  <c r="C17" i="20"/>
  <c r="N12" i="20"/>
  <c r="AE14" i="20"/>
  <c r="AZ75" i="46"/>
  <c r="AQ7" i="20"/>
  <c r="BA75" i="46"/>
  <c r="J63" i="43"/>
  <c r="J44" i="18"/>
  <c r="F43" i="18"/>
  <c r="U12" i="20"/>
  <c r="BA21" i="20"/>
  <c r="BA14" i="20" s="1"/>
  <c r="E30" i="39"/>
  <c r="E16" i="41"/>
  <c r="E31" i="41"/>
  <c r="AU49" i="41"/>
  <c r="G85" i="41"/>
  <c r="E19" i="44"/>
  <c r="E29" i="44"/>
  <c r="E30" i="44" s="1"/>
  <c r="AR50" i="39"/>
  <c r="E11" i="44"/>
  <c r="D14" i="44"/>
  <c r="AV75" i="46"/>
  <c r="E23" i="44"/>
  <c r="AN37" i="39"/>
  <c r="AO39" i="39" s="1"/>
  <c r="AN50" i="39"/>
  <c r="AV101" i="44"/>
  <c r="AV133" i="44"/>
  <c r="E57" i="44"/>
  <c r="AW50" i="39"/>
  <c r="E168" i="44"/>
  <c r="E133" i="44"/>
  <c r="E33" i="44"/>
  <c r="F72" i="46"/>
  <c r="F75" i="46" s="1"/>
  <c r="AU91" i="44"/>
  <c r="AS37" i="39"/>
  <c r="AQ37" i="39"/>
  <c r="AO35" i="39"/>
  <c r="AU101" i="44"/>
  <c r="D101" i="44"/>
  <c r="D88" i="44"/>
  <c r="AT50" i="39"/>
  <c r="E53" i="45"/>
  <c r="AU88" i="44"/>
  <c r="AU118" i="44"/>
  <c r="D133" i="44"/>
  <c r="AU72" i="41"/>
  <c r="D33" i="44"/>
  <c r="AU133" i="44"/>
  <c r="AU76" i="39"/>
  <c r="AT66" i="46"/>
  <c r="J168" i="44"/>
  <c r="E49" i="46"/>
  <c r="AT35" i="41"/>
  <c r="AT49" i="41"/>
  <c r="J33" i="44"/>
  <c r="AU168" i="44"/>
  <c r="J118" i="44"/>
  <c r="G49" i="41"/>
  <c r="J57" i="44"/>
  <c r="D168" i="44"/>
  <c r="J133" i="44"/>
  <c r="AT32" i="43"/>
  <c r="AO70" i="45"/>
  <c r="AU64" i="39"/>
  <c r="AT76" i="39"/>
  <c r="AU57" i="44"/>
  <c r="J88" i="44"/>
  <c r="D118" i="44"/>
  <c r="J99" i="39"/>
  <c r="AU25" i="46"/>
  <c r="AT64" i="39"/>
  <c r="AT33" i="44"/>
  <c r="AT118" i="44"/>
  <c r="F53" i="45"/>
  <c r="D64" i="39"/>
  <c r="AT101" i="44"/>
  <c r="AT85" i="41"/>
  <c r="AT168" i="44"/>
  <c r="AQ25" i="46"/>
  <c r="AQ59" i="46" s="1"/>
  <c r="AQ64" i="46" s="1"/>
  <c r="AT88" i="44"/>
  <c r="D76" i="39"/>
  <c r="AW61" i="45"/>
  <c r="AR17" i="20"/>
  <c r="AN59" i="44"/>
  <c r="AO121" i="44"/>
  <c r="AB83" i="44"/>
  <c r="AB130" i="44"/>
  <c r="AG83" i="44"/>
  <c r="AG78" i="44" s="1"/>
  <c r="AR83" i="44"/>
  <c r="S52" i="44"/>
  <c r="S47" i="44" s="1"/>
  <c r="AY49" i="44"/>
  <c r="BB48" i="44"/>
  <c r="BB50" i="44"/>
  <c r="L64" i="18"/>
  <c r="F28" i="18"/>
  <c r="G22" i="18" s="1"/>
  <c r="G28" i="18" s="1"/>
  <c r="H22" i="18" s="1"/>
  <c r="H28" i="18" s="1"/>
  <c r="I22" i="18" s="1"/>
  <c r="I28" i="18" s="1"/>
  <c r="J22" i="18" s="1"/>
  <c r="J28" i="18" s="1"/>
  <c r="Q13" i="17"/>
  <c r="L12" i="20"/>
  <c r="Y13" i="20"/>
  <c r="O14" i="20"/>
  <c r="AD16" i="20"/>
  <c r="AP148" i="44"/>
  <c r="AT26" i="43"/>
  <c r="AN146" i="44"/>
  <c r="AS171" i="44"/>
  <c r="AR146" i="44"/>
  <c r="AO148" i="44"/>
  <c r="N18" i="20"/>
  <c r="F47" i="45"/>
  <c r="AT51" i="46"/>
  <c r="AT57" i="46" s="1"/>
  <c r="AN74" i="44"/>
  <c r="AO74" i="44" s="1"/>
  <c r="AO157" i="44"/>
  <c r="F38" i="45"/>
  <c r="AW154" i="44"/>
  <c r="AW159" i="44" s="1"/>
  <c r="F14" i="45"/>
  <c r="AT36" i="43"/>
  <c r="H16" i="20"/>
  <c r="H12" i="20"/>
  <c r="AW22" i="41"/>
  <c r="J46" i="47"/>
  <c r="AO21" i="41"/>
  <c r="F47" i="47" s="1"/>
  <c r="F46" i="47"/>
  <c r="AP20" i="43"/>
  <c r="AU64" i="41"/>
  <c r="AT31" i="41"/>
  <c r="K46" i="47"/>
  <c r="AP19" i="44"/>
  <c r="G19" i="47" s="1"/>
  <c r="AV31" i="41"/>
  <c r="AS30" i="20"/>
  <c r="AP32" i="43"/>
  <c r="AN46" i="39"/>
  <c r="E42" i="47" s="1"/>
  <c r="AU91" i="46"/>
  <c r="L11" i="47" s="1"/>
  <c r="AS21" i="41"/>
  <c r="J47" i="47" s="1"/>
  <c r="AP29" i="44"/>
  <c r="AM44" i="43"/>
  <c r="AS26" i="43"/>
  <c r="AN60" i="39"/>
  <c r="AN61" i="39" s="1"/>
  <c r="E41" i="47"/>
  <c r="D8" i="46"/>
  <c r="AS32" i="41"/>
  <c r="AS22" i="41"/>
  <c r="E175" i="44"/>
  <c r="AV78" i="41"/>
  <c r="E14" i="44"/>
  <c r="AH18" i="20"/>
  <c r="P27" i="20"/>
  <c r="P28" i="20" s="1"/>
  <c r="AA28" i="20"/>
  <c r="U28" i="20"/>
  <c r="M64" i="17"/>
  <c r="D28" i="20"/>
  <c r="Y28" i="20"/>
  <c r="T28" i="20"/>
  <c r="AO16" i="41"/>
  <c r="F44" i="47"/>
  <c r="AW13" i="41"/>
  <c r="J44" i="47"/>
  <c r="N45" i="47" s="1"/>
  <c r="V83" i="44"/>
  <c r="AK10" i="44"/>
  <c r="AM175" i="44"/>
  <c r="AN58" i="45"/>
  <c r="AM25" i="46"/>
  <c r="AM59" i="46" s="1"/>
  <c r="AP84" i="46"/>
  <c r="AM54" i="46"/>
  <c r="AW133" i="44"/>
  <c r="H101" i="44"/>
  <c r="H168" i="44"/>
  <c r="H88" i="44"/>
  <c r="H133" i="44"/>
  <c r="H57" i="44"/>
  <c r="H118" i="44"/>
  <c r="H33" i="44"/>
  <c r="AX31" i="41"/>
  <c r="AN21" i="41"/>
  <c r="E47" i="47" s="1"/>
  <c r="E46" i="47"/>
  <c r="AV10" i="43"/>
  <c r="AR25" i="41"/>
  <c r="I44" i="47"/>
  <c r="H66" i="46"/>
  <c r="H49" i="46"/>
  <c r="AW23" i="44"/>
  <c r="BA11" i="44"/>
  <c r="AW10" i="43"/>
  <c r="BA74" i="41"/>
  <c r="AU13" i="41"/>
  <c r="L44" i="47"/>
  <c r="P45" i="47" s="1"/>
  <c r="AQ10" i="43"/>
  <c r="H44" i="47"/>
  <c r="AC52" i="44"/>
  <c r="AC47" i="44" s="1"/>
  <c r="Y52" i="44"/>
  <c r="Y47" i="44" s="1"/>
  <c r="AC50" i="44" s="1"/>
  <c r="U52" i="44"/>
  <c r="U47" i="44" s="1"/>
  <c r="BA139" i="44"/>
  <c r="F60" i="41"/>
  <c r="AS54" i="41"/>
  <c r="AP77" i="41"/>
  <c r="AP79" i="41" s="1"/>
  <c r="AR93" i="44"/>
  <c r="F96" i="41"/>
  <c r="E96" i="41"/>
  <c r="D11" i="45"/>
  <c r="AS49" i="45"/>
  <c r="AL83" i="46"/>
  <c r="AM65" i="45"/>
  <c r="AQ65" i="45"/>
  <c r="AU65" i="45"/>
  <c r="AU67" i="45" s="1"/>
  <c r="AW30" i="44"/>
  <c r="BA20" i="44"/>
  <c r="H76" i="39"/>
  <c r="H64" i="39"/>
  <c r="H99" i="39"/>
  <c r="H61" i="45"/>
  <c r="H53" i="45"/>
  <c r="AZ87" i="41"/>
  <c r="BA10" i="41"/>
  <c r="BA87" i="41" s="1"/>
  <c r="S48" i="18"/>
  <c r="AT10" i="43"/>
  <c r="K44" i="47"/>
  <c r="O45" i="47" s="1"/>
  <c r="AP25" i="41"/>
  <c r="G44" i="47"/>
  <c r="D41" i="41"/>
  <c r="E41" i="41"/>
  <c r="E47" i="41"/>
  <c r="AT175" i="44"/>
  <c r="AQ175" i="44"/>
  <c r="AN175" i="44"/>
  <c r="D31" i="45"/>
  <c r="D38" i="45" s="1"/>
  <c r="E31" i="45"/>
  <c r="E38" i="45" s="1"/>
  <c r="AL59" i="46"/>
  <c r="F53" i="46"/>
  <c r="H85" i="41"/>
  <c r="H72" i="41"/>
  <c r="H49" i="41"/>
  <c r="H35" i="41"/>
  <c r="AX15" i="44"/>
  <c r="BA16" i="44"/>
  <c r="AW114" i="39"/>
  <c r="BA89" i="46"/>
  <c r="BA52" i="46"/>
  <c r="BA59" i="46"/>
  <c r="R12" i="47" s="1"/>
  <c r="T83" i="44"/>
  <c r="AS52" i="44"/>
  <c r="H83" i="41"/>
  <c r="H44" i="41"/>
  <c r="AT52" i="44"/>
  <c r="AT47" i="44" s="1"/>
  <c r="AV20" i="43"/>
  <c r="P29" i="47"/>
  <c r="AM12" i="43"/>
  <c r="N29" i="47"/>
  <c r="E77" i="41"/>
  <c r="E90" i="41"/>
  <c r="AV90" i="41"/>
  <c r="AS90" i="41"/>
  <c r="AW55" i="41"/>
  <c r="AW56" i="41"/>
  <c r="AW57" i="41"/>
  <c r="AS55" i="41"/>
  <c r="AT56" i="41"/>
  <c r="AU90" i="41"/>
  <c r="AT90" i="41"/>
  <c r="AQ90" i="41"/>
  <c r="F68" i="41"/>
  <c r="AV79" i="41"/>
  <c r="AP56" i="41"/>
  <c r="AQ100" i="41"/>
  <c r="AT57" i="41"/>
  <c r="AT77" i="41"/>
  <c r="AR54" i="41"/>
  <c r="AV57" i="41" s="1"/>
  <c r="E98" i="41"/>
  <c r="E100" i="41" s="1"/>
  <c r="AS77" i="41"/>
  <c r="BA65" i="41"/>
  <c r="BA63" i="41"/>
  <c r="F77" i="41"/>
  <c r="F54" i="41"/>
  <c r="AQ67" i="41"/>
  <c r="AQ62" i="41" s="1"/>
  <c r="AR67" i="41"/>
  <c r="AR62" i="41" s="1"/>
  <c r="F100" i="41"/>
  <c r="F41" i="41"/>
  <c r="AO99" i="41"/>
  <c r="AO90" i="41" s="1"/>
  <c r="BA154" i="44"/>
  <c r="BA33" i="44"/>
  <c r="BA118" i="44"/>
  <c r="BA88" i="44"/>
  <c r="BA133" i="44"/>
  <c r="BA101" i="44"/>
  <c r="BA168" i="44"/>
  <c r="BA57" i="44"/>
  <c r="BA35" i="41"/>
  <c r="BA72" i="41"/>
  <c r="BA85" i="41"/>
  <c r="BA49" i="41"/>
  <c r="BA64" i="39"/>
  <c r="BA99" i="39"/>
  <c r="BA76" i="39"/>
  <c r="G21" i="45"/>
  <c r="G43" i="45"/>
  <c r="G11" i="45"/>
  <c r="G45" i="45"/>
  <c r="G26" i="45"/>
  <c r="AM50" i="44"/>
  <c r="D68" i="44"/>
  <c r="AS49" i="43"/>
  <c r="AS53" i="43" s="1"/>
  <c r="AS60" i="43" s="1"/>
  <c r="J5" i="47" s="1"/>
  <c r="AS47" i="43"/>
  <c r="AP37" i="43"/>
  <c r="AT38" i="43"/>
  <c r="AP44" i="43"/>
  <c r="F13" i="41"/>
  <c r="F20" i="41"/>
  <c r="F21" i="41" s="1"/>
  <c r="F152" i="44"/>
  <c r="H16" i="39"/>
  <c r="G40" i="41"/>
  <c r="G73" i="39"/>
  <c r="AR157" i="44"/>
  <c r="AV157" i="44"/>
  <c r="AQ146" i="44"/>
  <c r="AN148" i="44"/>
  <c r="AT154" i="44"/>
  <c r="AN44" i="43"/>
  <c r="AR36" i="43"/>
  <c r="AP25" i="43"/>
  <c r="G9" i="47" s="1"/>
  <c r="AR62" i="39"/>
  <c r="E56" i="46"/>
  <c r="AO60" i="39"/>
  <c r="AO61" i="39" s="1"/>
  <c r="F49" i="45"/>
  <c r="H45" i="41"/>
  <c r="H110" i="39"/>
  <c r="AO20" i="43"/>
  <c r="AS51" i="46"/>
  <c r="AU68" i="46"/>
  <c r="AV44" i="43"/>
  <c r="D116" i="44"/>
  <c r="AR148" i="44"/>
  <c r="F136" i="44"/>
  <c r="AY61" i="43"/>
  <c r="BA28" i="20"/>
  <c r="AZ28" i="20"/>
  <c r="AQ148" i="44"/>
  <c r="F10" i="39"/>
  <c r="F30" i="39" s="1"/>
  <c r="F75" i="41"/>
  <c r="G45" i="41"/>
  <c r="AV146" i="44"/>
  <c r="AO141" i="44"/>
  <c r="AO25" i="43"/>
  <c r="AR25" i="43"/>
  <c r="I9" i="47" s="1"/>
  <c r="AY20" i="44"/>
  <c r="AP32" i="39"/>
  <c r="G39" i="47"/>
  <c r="K40" i="47" s="1"/>
  <c r="F74" i="39"/>
  <c r="D18" i="44"/>
  <c r="AU51" i="46"/>
  <c r="D74" i="46"/>
  <c r="E74" i="46"/>
  <c r="AZ20" i="44"/>
  <c r="R8" i="17"/>
  <c r="F7" i="20"/>
  <c r="Q23" i="17"/>
  <c r="N16" i="20"/>
  <c r="I28" i="20"/>
  <c r="AZ32" i="39"/>
  <c r="AV92" i="39"/>
  <c r="AZ92" i="39"/>
  <c r="AZ90" i="39"/>
  <c r="AS29" i="44"/>
  <c r="AV30" i="44"/>
  <c r="AZ31" i="44"/>
  <c r="AS56" i="41"/>
  <c r="K18" i="47"/>
  <c r="AX20" i="44"/>
  <c r="AT8" i="43"/>
  <c r="AM19" i="20"/>
  <c r="AX28" i="20"/>
  <c r="AR28" i="20"/>
  <c r="AM28" i="20"/>
  <c r="AE28" i="20"/>
  <c r="AO59" i="45"/>
  <c r="AP64" i="46"/>
  <c r="G12" i="47"/>
  <c r="AM89" i="46"/>
  <c r="AM33" i="46"/>
  <c r="AN27" i="46"/>
  <c r="AM52" i="46"/>
  <c r="O28" i="20"/>
  <c r="AN35" i="46"/>
  <c r="AM43" i="46"/>
  <c r="E37" i="18"/>
  <c r="E40" i="18" s="1"/>
  <c r="C28" i="20"/>
  <c r="Y17" i="20"/>
  <c r="BA12" i="20"/>
  <c r="O29" i="47"/>
  <c r="AY14" i="43"/>
  <c r="AV17" i="41"/>
  <c r="AZ18" i="41"/>
  <c r="AR141" i="44"/>
  <c r="AT114" i="39"/>
  <c r="AR49" i="45"/>
  <c r="AM49" i="45"/>
  <c r="AM51" i="45" s="1"/>
  <c r="AR58" i="45"/>
  <c r="AV58" i="45"/>
  <c r="AR55" i="45"/>
  <c r="AT70" i="45"/>
  <c r="AP70" i="45"/>
  <c r="AL70" i="45"/>
  <c r="AW18" i="43"/>
  <c r="AW20" i="43" s="1"/>
  <c r="AX17" i="41"/>
  <c r="AX154" i="44"/>
  <c r="AX13" i="41"/>
  <c r="AY88" i="41"/>
  <c r="AY75" i="41"/>
  <c r="AY77" i="41"/>
  <c r="AY91" i="46"/>
  <c r="P11" i="47" s="1"/>
  <c r="AY92" i="46"/>
  <c r="E28" i="17"/>
  <c r="R48" i="18"/>
  <c r="BC12" i="20"/>
  <c r="AR15" i="20"/>
  <c r="AB14" i="20"/>
  <c r="BC14" i="20"/>
  <c r="D30" i="20"/>
  <c r="N64" i="17"/>
  <c r="AO74" i="46"/>
  <c r="AT74" i="46"/>
  <c r="AX11" i="44"/>
  <c r="AL74" i="46"/>
  <c r="AQ14" i="44"/>
  <c r="AS14" i="44"/>
  <c r="AP14" i="44"/>
  <c r="AE10" i="44"/>
  <c r="D135" i="44"/>
  <c r="D136" i="44" s="1"/>
  <c r="AV175" i="44"/>
  <c r="AI175" i="44"/>
  <c r="AU75" i="41"/>
  <c r="AT88" i="41"/>
  <c r="D12" i="45"/>
  <c r="D24" i="45" s="1"/>
  <c r="AT49" i="45"/>
  <c r="E53" i="46"/>
  <c r="D53" i="46"/>
  <c r="E64" i="43"/>
  <c r="E65" i="45"/>
  <c r="F69" i="45"/>
  <c r="F70" i="45" s="1"/>
  <c r="AW25" i="41"/>
  <c r="AY79" i="41"/>
  <c r="AW70" i="45"/>
  <c r="AX33" i="41"/>
  <c r="AZ89" i="46"/>
  <c r="Q10" i="47" s="1"/>
  <c r="AZ52" i="46"/>
  <c r="I52" i="46" s="1"/>
  <c r="AZ59" i="46"/>
  <c r="Q12" i="47" s="1"/>
  <c r="AY64" i="46"/>
  <c r="AY57" i="46"/>
  <c r="AY60" i="46"/>
  <c r="Q48" i="18"/>
  <c r="AU17" i="20"/>
  <c r="AQ12" i="20"/>
  <c r="AM12" i="20"/>
  <c r="AA12" i="20"/>
  <c r="N14" i="20"/>
  <c r="C30" i="20"/>
  <c r="AU74" i="46"/>
  <c r="AY11" i="44"/>
  <c r="AN74" i="46"/>
  <c r="AN14" i="44"/>
  <c r="AS53" i="39"/>
  <c r="AT14" i="44"/>
  <c r="AX16" i="44"/>
  <c r="AT18" i="43"/>
  <c r="AT20" i="43" s="1"/>
  <c r="AX18" i="41"/>
  <c r="AU141" i="44"/>
  <c r="AP141" i="44"/>
  <c r="AZ139" i="44"/>
  <c r="AY139" i="44"/>
  <c r="AZ157" i="44" s="1"/>
  <c r="AX139" i="44"/>
  <c r="AX157" i="44" s="1"/>
  <c r="AV91" i="39"/>
  <c r="AY90" i="39"/>
  <c r="AY92" i="39"/>
  <c r="F87" i="39"/>
  <c r="AV49" i="45"/>
  <c r="AR70" i="45"/>
  <c r="AN70" i="45"/>
  <c r="H12" i="39"/>
  <c r="H20" i="39"/>
  <c r="AW89" i="39"/>
  <c r="AY12" i="41"/>
  <c r="AY51" i="41"/>
  <c r="Z28" i="20"/>
  <c r="V28" i="20"/>
  <c r="AX14" i="20"/>
  <c r="AQ13" i="41"/>
  <c r="AQ16" i="41"/>
  <c r="AS10" i="43"/>
  <c r="E74" i="39"/>
  <c r="E46" i="43"/>
  <c r="K6" i="47"/>
  <c r="AX14" i="43"/>
  <c r="AV23" i="44"/>
  <c r="AZ11" i="44"/>
  <c r="AM74" i="46"/>
  <c r="AM14" i="44"/>
  <c r="D73" i="46"/>
  <c r="AR14" i="44"/>
  <c r="AU18" i="43"/>
  <c r="AU20" i="43" s="1"/>
  <c r="AY18" i="41"/>
  <c r="AU175" i="44"/>
  <c r="AY175" i="44"/>
  <c r="AS94" i="39"/>
  <c r="AS89" i="39" s="1"/>
  <c r="E87" i="39"/>
  <c r="E47" i="45"/>
  <c r="E49" i="45" s="1"/>
  <c r="D47" i="45"/>
  <c r="D49" i="45" s="1"/>
  <c r="AU49" i="45"/>
  <c r="AU51" i="45" s="1"/>
  <c r="AP49" i="45"/>
  <c r="AP51" i="45" s="1"/>
  <c r="AS58" i="45"/>
  <c r="AW15" i="46"/>
  <c r="F15" i="46" s="1"/>
  <c r="AW19" i="46"/>
  <c r="F19" i="46" s="1"/>
  <c r="AW22" i="46"/>
  <c r="F22" i="46" s="1"/>
  <c r="AW35" i="46"/>
  <c r="AW37" i="46"/>
  <c r="F37" i="46" s="1"/>
  <c r="AO37" i="46"/>
  <c r="D37" i="46" s="1"/>
  <c r="AW24" i="43"/>
  <c r="AZ88" i="41"/>
  <c r="AZ90" i="41"/>
  <c r="AZ74" i="41"/>
  <c r="AZ8" i="41"/>
  <c r="AY90" i="41"/>
  <c r="AR12" i="43"/>
  <c r="AN20" i="43"/>
  <c r="AN12" i="43"/>
  <c r="AV32" i="43"/>
  <c r="AW32" i="43"/>
  <c r="AU35" i="39"/>
  <c r="AL50" i="39"/>
  <c r="AV64" i="39"/>
  <c r="AL37" i="39"/>
  <c r="D37" i="39" s="1"/>
  <c r="AP50" i="39"/>
  <c r="D34" i="39"/>
  <c r="D35" i="39" s="1"/>
  <c r="AU32" i="43"/>
  <c r="G76" i="39"/>
  <c r="AU50" i="39"/>
  <c r="AV54" i="39"/>
  <c r="AV35" i="39"/>
  <c r="F30" i="43"/>
  <c r="AM52" i="39"/>
  <c r="AQ55" i="39" s="1"/>
  <c r="E49" i="39"/>
  <c r="E50" i="39" s="1"/>
  <c r="AO12" i="43"/>
  <c r="AU53" i="39"/>
  <c r="AQ50" i="39"/>
  <c r="F49" i="39"/>
  <c r="F50" i="39" s="1"/>
  <c r="AR20" i="43"/>
  <c r="AS55" i="39"/>
  <c r="D18" i="43"/>
  <c r="D30" i="43"/>
  <c r="AO93" i="44"/>
  <c r="AV35" i="41"/>
  <c r="D10" i="43"/>
  <c r="AV91" i="44"/>
  <c r="E90" i="44"/>
  <c r="E93" i="44" s="1"/>
  <c r="AV53" i="39"/>
  <c r="AV50" i="39"/>
  <c r="AL12" i="43"/>
  <c r="AO50" i="39"/>
  <c r="AV93" i="44"/>
  <c r="F35" i="41"/>
  <c r="AU85" i="41"/>
  <c r="F85" i="41"/>
  <c r="F49" i="41"/>
  <c r="AO54" i="39"/>
  <c r="AO53" i="39"/>
  <c r="D49" i="39"/>
  <c r="AS91" i="44"/>
  <c r="AS32" i="43"/>
  <c r="AL20" i="43"/>
  <c r="AV72" i="41"/>
  <c r="AV49" i="41"/>
  <c r="AW35" i="39"/>
  <c r="AV168" i="44"/>
  <c r="G88" i="44"/>
  <c r="F34" i="39"/>
  <c r="F35" i="39" s="1"/>
  <c r="E34" i="39"/>
  <c r="E35" i="39" s="1"/>
  <c r="AP37" i="39"/>
  <c r="AV88" i="44"/>
  <c r="G118" i="44"/>
  <c r="AT38" i="39"/>
  <c r="AR37" i="39"/>
  <c r="G101" i="44"/>
  <c r="AO38" i="39"/>
  <c r="AQ53" i="39"/>
  <c r="AU55" i="39"/>
  <c r="G33" i="44"/>
  <c r="AV33" i="44"/>
  <c r="AV118" i="44"/>
  <c r="G168" i="44"/>
  <c r="AW39" i="39"/>
  <c r="AZ40" i="39"/>
  <c r="AS54" i="39"/>
  <c r="AR54" i="39"/>
  <c r="AR53" i="39"/>
  <c r="AV55" i="39"/>
  <c r="AR55" i="39"/>
  <c r="AW38" i="39"/>
  <c r="AX39" i="39"/>
  <c r="AP54" i="39"/>
  <c r="AP53" i="39"/>
  <c r="AQ54" i="39"/>
  <c r="AP55" i="39"/>
  <c r="E52" i="39"/>
  <c r="AX54" i="39"/>
  <c r="AW54" i="39"/>
  <c r="AW55" i="39"/>
  <c r="F52" i="39"/>
  <c r="AQ93" i="44"/>
  <c r="AT93" i="44"/>
  <c r="AT54" i="39"/>
  <c r="AX55" i="39"/>
  <c r="AW53" i="39"/>
  <c r="G49" i="46"/>
  <c r="AW75" i="46"/>
  <c r="AW66" i="46"/>
  <c r="AU49" i="46"/>
  <c r="AV70" i="45"/>
  <c r="D69" i="45"/>
  <c r="AU53" i="45"/>
  <c r="J53" i="45"/>
  <c r="D53" i="45"/>
  <c r="E69" i="45"/>
  <c r="E70" i="45" s="1"/>
  <c r="AS8" i="46"/>
  <c r="E8" i="46" s="1"/>
  <c r="AR25" i="46"/>
  <c r="AR59" i="46" s="1"/>
  <c r="E12" i="45"/>
  <c r="E58" i="45" s="1"/>
  <c r="AR32" i="43"/>
  <c r="AM32" i="43"/>
  <c r="J64" i="39"/>
  <c r="E18" i="43"/>
  <c r="E76" i="39"/>
  <c r="AS20" i="43"/>
  <c r="AL32" i="43"/>
  <c r="AW64" i="39"/>
  <c r="AW76" i="39"/>
  <c r="E64" i="39"/>
  <c r="AO32" i="43"/>
  <c r="AW11" i="46"/>
  <c r="F11" i="46" s="1"/>
  <c r="AV53" i="45"/>
  <c r="AP12" i="43"/>
  <c r="AS96" i="44"/>
  <c r="K20" i="47"/>
  <c r="AN162" i="44"/>
  <c r="AR59" i="44"/>
  <c r="AS121" i="44"/>
  <c r="AK59" i="44"/>
  <c r="AR162" i="44"/>
  <c r="AK83" i="44"/>
  <c r="AK78" i="44" s="1"/>
  <c r="AK120" i="44" s="1"/>
  <c r="AF83" i="44"/>
  <c r="AF78" i="44" s="1"/>
  <c r="J20" i="47"/>
  <c r="AN76" i="44"/>
  <c r="AG121" i="44"/>
  <c r="AO59" i="44"/>
  <c r="AT78" i="44"/>
  <c r="AT120" i="44" s="1"/>
  <c r="U83" i="44"/>
  <c r="AJ83" i="44"/>
  <c r="AJ76" i="44"/>
  <c r="E39" i="44"/>
  <c r="AS47" i="44"/>
  <c r="AN47" i="44"/>
  <c r="I20" i="47"/>
  <c r="X78" i="44"/>
  <c r="E115" i="44"/>
  <c r="D45" i="44"/>
  <c r="F114" i="44"/>
  <c r="G20" i="47"/>
  <c r="AF130" i="44"/>
  <c r="AJ59" i="44"/>
  <c r="AK121" i="44"/>
  <c r="AO83" i="44"/>
  <c r="AO78" i="44" s="1"/>
  <c r="AO120" i="44" s="1"/>
  <c r="AO123" i="44" s="1"/>
  <c r="AO124" i="44" s="1"/>
  <c r="Y83" i="44"/>
  <c r="Y78" i="44" s="1"/>
  <c r="AP52" i="44"/>
  <c r="H20" i="47"/>
  <c r="AZ53" i="45"/>
  <c r="AZ61" i="45"/>
  <c r="AZ66" i="46"/>
  <c r="AZ49" i="46"/>
  <c r="AZ168" i="44"/>
  <c r="AZ88" i="44"/>
  <c r="AZ118" i="44"/>
  <c r="AZ101" i="44"/>
  <c r="AZ33" i="44"/>
  <c r="AZ133" i="44"/>
  <c r="AZ57" i="44"/>
  <c r="AZ72" i="41"/>
  <c r="AZ35" i="41"/>
  <c r="AZ85" i="41"/>
  <c r="AZ49" i="41"/>
  <c r="AZ99" i="39"/>
  <c r="AZ64" i="39"/>
  <c r="AZ76" i="39"/>
  <c r="AZ91" i="41"/>
  <c r="AZ93" i="41"/>
  <c r="AW99" i="41"/>
  <c r="AX90" i="41" s="1"/>
  <c r="AV64" i="41"/>
  <c r="AZ63" i="41"/>
  <c r="AZ65" i="41"/>
  <c r="AU148" i="44"/>
  <c r="AZ154" i="44"/>
  <c r="AZ159" i="44" s="1"/>
  <c r="AX162" i="44"/>
  <c r="AY154" i="44"/>
  <c r="F144" i="44"/>
  <c r="F39" i="44"/>
  <c r="AS59" i="44"/>
  <c r="AS78" i="39" s="1"/>
  <c r="AS101" i="39" s="1"/>
  <c r="R52" i="44"/>
  <c r="R47" i="44" s="1"/>
  <c r="AP59" i="44"/>
  <c r="AP78" i="39" s="1"/>
  <c r="AP101" i="39" s="1"/>
  <c r="AP104" i="39" s="1"/>
  <c r="AU59" i="44"/>
  <c r="AY60" i="44" s="1"/>
  <c r="AT121" i="44"/>
  <c r="AL162" i="44"/>
  <c r="T78" i="44"/>
  <c r="X81" i="44" s="1"/>
  <c r="AJ78" i="44"/>
  <c r="AU83" i="44"/>
  <c r="AU78" i="44" s="1"/>
  <c r="AY81" i="44" s="1"/>
  <c r="AD52" i="44"/>
  <c r="AD47" i="44" s="1"/>
  <c r="AO52" i="44"/>
  <c r="AO47" i="44" s="1"/>
  <c r="AW162" i="44"/>
  <c r="AW93" i="44"/>
  <c r="AI121" i="44"/>
  <c r="Z83" i="44"/>
  <c r="Z78" i="44" s="1"/>
  <c r="F99" i="44"/>
  <c r="F42" i="44" s="1"/>
  <c r="F45" i="44" s="1"/>
  <c r="V52" i="44"/>
  <c r="V47" i="44" s="1"/>
  <c r="W49" i="44" s="1"/>
  <c r="F67" i="44"/>
  <c r="F131" i="44" s="1"/>
  <c r="AS83" i="44"/>
  <c r="AS78" i="44" s="1"/>
  <c r="AW59" i="44"/>
  <c r="AH59" i="44"/>
  <c r="W83" i="44"/>
  <c r="W78" i="44" s="1"/>
  <c r="W81" i="44" s="1"/>
  <c r="AB78" i="44"/>
  <c r="AO115" i="44"/>
  <c r="AP93" i="44"/>
  <c r="Z52" i="44"/>
  <c r="Z47" i="44" s="1"/>
  <c r="E45" i="44"/>
  <c r="AP47" i="44"/>
  <c r="AT48" i="44" s="1"/>
  <c r="AW77" i="41"/>
  <c r="AS65" i="41"/>
  <c r="R78" i="44"/>
  <c r="F112" i="44"/>
  <c r="AL52" i="44"/>
  <c r="AL47" i="44" s="1"/>
  <c r="E114" i="44"/>
  <c r="D115" i="44"/>
  <c r="AR116" i="44"/>
  <c r="AU115" i="44"/>
  <c r="AQ115" i="44"/>
  <c r="AI12" i="20"/>
  <c r="T12" i="20"/>
  <c r="T14" i="20"/>
  <c r="AF14" i="20"/>
  <c r="AF16" i="20"/>
  <c r="X14" i="20"/>
  <c r="H44" i="18"/>
  <c r="AY66" i="46"/>
  <c r="AY49" i="46"/>
  <c r="AY133" i="44"/>
  <c r="AY118" i="44"/>
  <c r="AY88" i="44"/>
  <c r="AY57" i="44"/>
  <c r="AY33" i="44"/>
  <c r="AY168" i="44"/>
  <c r="AY101" i="44"/>
  <c r="AY85" i="41"/>
  <c r="AY49" i="41"/>
  <c r="AY72" i="41"/>
  <c r="AY35" i="41"/>
  <c r="AY64" i="39"/>
  <c r="AY99" i="39"/>
  <c r="AY76" i="39"/>
  <c r="AY53" i="45"/>
  <c r="AY61" i="45"/>
  <c r="Y19" i="20"/>
  <c r="U19" i="20"/>
  <c r="P22" i="20"/>
  <c r="Q22" i="20" s="1"/>
  <c r="AW27" i="39"/>
  <c r="AV32" i="39"/>
  <c r="AV45" i="39"/>
  <c r="AV8" i="43"/>
  <c r="AY32" i="39"/>
  <c r="AY47" i="39"/>
  <c r="F13" i="39"/>
  <c r="J40" i="47"/>
  <c r="AS43" i="39"/>
  <c r="AS32" i="39"/>
  <c r="AW32" i="39"/>
  <c r="F15" i="39"/>
  <c r="E25" i="39"/>
  <c r="E27" i="39" s="1"/>
  <c r="AV56" i="41"/>
  <c r="AY78" i="41"/>
  <c r="AY80" i="41"/>
  <c r="AY65" i="41"/>
  <c r="G39" i="41"/>
  <c r="F99" i="41"/>
  <c r="F90" i="41" s="1"/>
  <c r="AX67" i="41"/>
  <c r="AX62" i="41" s="1"/>
  <c r="AX54" i="41"/>
  <c r="E54" i="41"/>
  <c r="F55" i="41" s="1"/>
  <c r="AY93" i="41"/>
  <c r="AY91" i="41"/>
  <c r="G97" i="41"/>
  <c r="V78" i="44"/>
  <c r="F115" i="44"/>
  <c r="AR52" i="44"/>
  <c r="AR47" i="44" s="1"/>
  <c r="AV52" i="44"/>
  <c r="AV47" i="44" s="1"/>
  <c r="AF52" i="44"/>
  <c r="AF47" i="44" s="1"/>
  <c r="AG49" i="44" s="1"/>
  <c r="S80" i="44"/>
  <c r="AG48" i="44"/>
  <c r="AG50" i="44"/>
  <c r="AW121" i="44"/>
  <c r="AI59" i="44"/>
  <c r="AN78" i="44"/>
  <c r="AL59" i="44"/>
  <c r="E112" i="44"/>
  <c r="E116" i="44" s="1"/>
  <c r="AV59" i="44"/>
  <c r="AZ60" i="44" s="1"/>
  <c r="AM121" i="44"/>
  <c r="AM123" i="44" s="1"/>
  <c r="AM124" i="44" s="1"/>
  <c r="AD130" i="44"/>
  <c r="AP162" i="44"/>
  <c r="AP83" i="44"/>
  <c r="AP78" i="44" s="1"/>
  <c r="AA83" i="44"/>
  <c r="AA78" i="44" s="1"/>
  <c r="AQ83" i="44"/>
  <c r="AQ78" i="44" s="1"/>
  <c r="AQ120" i="44" s="1"/>
  <c r="AD83" i="44"/>
  <c r="AD78" i="44" s="1"/>
  <c r="D99" i="44"/>
  <c r="E99" i="44"/>
  <c r="AK52" i="44"/>
  <c r="AK47" i="44" s="1"/>
  <c r="AQ52" i="44"/>
  <c r="AQ47" i="44" s="1"/>
  <c r="AV116" i="44"/>
  <c r="AU52" i="44"/>
  <c r="AU47" i="44" s="1"/>
  <c r="AU49" i="44" s="1"/>
  <c r="AW52" i="44"/>
  <c r="AW47" i="44" s="1"/>
  <c r="T52" i="44"/>
  <c r="T47" i="44" s="1"/>
  <c r="T49" i="44" s="1"/>
  <c r="E67" i="44"/>
  <c r="E131" i="44" s="1"/>
  <c r="AU93" i="44"/>
  <c r="AW116" i="44"/>
  <c r="AL76" i="44"/>
  <c r="AM59" i="44"/>
  <c r="AR78" i="44"/>
  <c r="AR120" i="44" s="1"/>
  <c r="AR123" i="44" s="1"/>
  <c r="AR124" i="44" s="1"/>
  <c r="AT59" i="44"/>
  <c r="E68" i="44"/>
  <c r="AQ121" i="44"/>
  <c r="AT162" i="44"/>
  <c r="AV162" i="44"/>
  <c r="AE83" i="44"/>
  <c r="AE78" i="44" s="1"/>
  <c r="U78" i="44"/>
  <c r="U80" i="44" s="1"/>
  <c r="AH83" i="44"/>
  <c r="AH78" i="44" s="1"/>
  <c r="AP116" i="44"/>
  <c r="AE50" i="44"/>
  <c r="AW115" i="44"/>
  <c r="AW83" i="44"/>
  <c r="AW78" i="44" s="1"/>
  <c r="AE59" i="44"/>
  <c r="AQ59" i="44"/>
  <c r="AQ60" i="44" s="1"/>
  <c r="AD59" i="44"/>
  <c r="AE121" i="44"/>
  <c r="AU121" i="44"/>
  <c r="AK60" i="44"/>
  <c r="AI83" i="44"/>
  <c r="AI78" i="44" s="1"/>
  <c r="AL83" i="44"/>
  <c r="AV83" i="44"/>
  <c r="AV78" i="44" s="1"/>
  <c r="AV80" i="44" s="1"/>
  <c r="AS115" i="44"/>
  <c r="G44" i="18"/>
  <c r="AZ21" i="20"/>
  <c r="AZ14" i="20" s="1"/>
  <c r="W12" i="20"/>
  <c r="G42" i="44"/>
  <c r="G110" i="39"/>
  <c r="G43" i="44"/>
  <c r="AX66" i="46"/>
  <c r="AX49" i="46"/>
  <c r="AX101" i="44"/>
  <c r="AX133" i="44"/>
  <c r="AX57" i="44"/>
  <c r="AX168" i="44"/>
  <c r="AX118" i="44"/>
  <c r="AX88" i="44"/>
  <c r="AX33" i="44"/>
  <c r="AX35" i="41"/>
  <c r="AX85" i="41"/>
  <c r="AX49" i="41"/>
  <c r="AX72" i="41"/>
  <c r="AX99" i="39"/>
  <c r="AX64" i="39"/>
  <c r="AX76" i="39"/>
  <c r="AX61" i="45"/>
  <c r="AX53" i="45"/>
  <c r="AX47" i="43"/>
  <c r="AX49" i="43"/>
  <c r="AX53" i="43" s="1"/>
  <c r="AX60" i="43" s="1"/>
  <c r="G42" i="43"/>
  <c r="AP60" i="39"/>
  <c r="AU46" i="39"/>
  <c r="L42" i="47" s="1"/>
  <c r="AP47" i="39"/>
  <c r="G41" i="47"/>
  <c r="AU60" i="39"/>
  <c r="W19" i="20"/>
  <c r="X16" i="20"/>
  <c r="AB16" i="20"/>
  <c r="O25" i="20"/>
  <c r="P25" i="20" s="1"/>
  <c r="Q25" i="20" s="1"/>
  <c r="K44" i="18"/>
  <c r="AH14" i="20"/>
  <c r="Z14" i="20"/>
  <c r="AP14" i="20"/>
  <c r="AE12" i="20"/>
  <c r="AU13" i="20"/>
  <c r="F23" i="39"/>
  <c r="G20" i="39"/>
  <c r="G23" i="39" s="1"/>
  <c r="E31" i="39"/>
  <c r="AW31" i="39"/>
  <c r="AW45" i="39"/>
  <c r="AW43" i="39"/>
  <c r="F25" i="39"/>
  <c r="AV58" i="39"/>
  <c r="AV43" i="39"/>
  <c r="AU12" i="43"/>
  <c r="AX32" i="39"/>
  <c r="AR61" i="39"/>
  <c r="F109" i="39"/>
  <c r="F113" i="39" s="1"/>
  <c r="AW113" i="39"/>
  <c r="E110" i="39"/>
  <c r="E114" i="39" s="1"/>
  <c r="AT94" i="39"/>
  <c r="AS113" i="39"/>
  <c r="AP94" i="39"/>
  <c r="D69" i="39"/>
  <c r="AV90" i="39"/>
  <c r="AW92" i="39"/>
  <c r="F110" i="39"/>
  <c r="F68" i="39"/>
  <c r="F69" i="39" s="1"/>
  <c r="F112" i="39"/>
  <c r="AQ94" i="39"/>
  <c r="AQ89" i="39" s="1"/>
  <c r="AR91" i="39" s="1"/>
  <c r="AX94" i="39"/>
  <c r="AX89" i="39" s="1"/>
  <c r="AY91" i="39" s="1"/>
  <c r="G21" i="39"/>
  <c r="G12" i="39"/>
  <c r="AX60" i="39"/>
  <c r="AX46" i="39"/>
  <c r="AX47" i="39"/>
  <c r="AX32" i="41"/>
  <c r="AX22" i="41"/>
  <c r="AX21" i="41"/>
  <c r="AX91" i="41"/>
  <c r="AX93" i="41"/>
  <c r="F80" i="41"/>
  <c r="AX78" i="41"/>
  <c r="AX80" i="41"/>
  <c r="AX50" i="44"/>
  <c r="AX49" i="44"/>
  <c r="AX48" i="44"/>
  <c r="AX59" i="44"/>
  <c r="BB60" i="44" s="1"/>
  <c r="AX121" i="44"/>
  <c r="AX83" i="44"/>
  <c r="AX78" i="44" s="1"/>
  <c r="F72" i="44"/>
  <c r="AB52" i="44"/>
  <c r="AB47" i="44" s="1"/>
  <c r="AB49" i="44" s="1"/>
  <c r="X52" i="44"/>
  <c r="X47" i="44" s="1"/>
  <c r="AJ52" i="44"/>
  <c r="AJ47" i="44" s="1"/>
  <c r="BC16" i="20"/>
  <c r="AZ16" i="20"/>
  <c r="W29" i="47"/>
  <c r="T19" i="20"/>
  <c r="AS157" i="44"/>
  <c r="AT146" i="44"/>
  <c r="AT157" i="44"/>
  <c r="AT159" i="44" s="1"/>
  <c r="D8" i="43"/>
  <c r="D27" i="39"/>
  <c r="F170" i="44"/>
  <c r="F171" i="44" s="1"/>
  <c r="AS45" i="39"/>
  <c r="J41" i="47" s="1"/>
  <c r="F41" i="47"/>
  <c r="F172" i="44"/>
  <c r="AW91" i="44"/>
  <c r="G16" i="39"/>
  <c r="AS91" i="39"/>
  <c r="AU54" i="39"/>
  <c r="AV148" i="44"/>
  <c r="F25" i="41"/>
  <c r="F22" i="41"/>
  <c r="F16" i="41"/>
  <c r="F10" i="44"/>
  <c r="AT53" i="39"/>
  <c r="G44" i="41"/>
  <c r="G83" i="41"/>
  <c r="AT50" i="44"/>
  <c r="AW78" i="39"/>
  <c r="AO37" i="43"/>
  <c r="AO44" i="43"/>
  <c r="AN25" i="43"/>
  <c r="AP67" i="45"/>
  <c r="AR26" i="43"/>
  <c r="AN51" i="46"/>
  <c r="D51" i="46" s="1"/>
  <c r="AQ67" i="45"/>
  <c r="AT62" i="39"/>
  <c r="AT61" i="39"/>
  <c r="AO170" i="44"/>
  <c r="D172" i="44"/>
  <c r="AQ79" i="44"/>
  <c r="AQ81" i="44"/>
  <c r="D25" i="41"/>
  <c r="D20" i="41"/>
  <c r="E13" i="41"/>
  <c r="D16" i="41"/>
  <c r="Y48" i="44"/>
  <c r="AL50" i="44"/>
  <c r="AM49" i="44"/>
  <c r="AL48" i="44"/>
  <c r="AT32" i="41"/>
  <c r="AT29" i="44"/>
  <c r="AX31" i="44" s="1"/>
  <c r="AT20" i="44"/>
  <c r="AU157" i="44"/>
  <c r="AT141" i="44"/>
  <c r="AU154" i="44"/>
  <c r="AP154" i="44"/>
  <c r="AP159" i="44" s="1"/>
  <c r="AR154" i="44"/>
  <c r="AR159" i="44" s="1"/>
  <c r="AN154" i="44"/>
  <c r="AN159" i="44" s="1"/>
  <c r="AS154" i="44"/>
  <c r="AS159" i="44" s="1"/>
  <c r="AL44" i="43"/>
  <c r="AL37" i="43"/>
  <c r="AP38" i="43"/>
  <c r="AN49" i="43"/>
  <c r="AN53" i="43" s="1"/>
  <c r="AN60" i="43" s="1"/>
  <c r="AN47" i="43"/>
  <c r="AU26" i="43"/>
  <c r="AQ25" i="43"/>
  <c r="H9" i="47" s="1"/>
  <c r="AQ36" i="43"/>
  <c r="H8" i="47"/>
  <c r="AQ51" i="46"/>
  <c r="AQ26" i="43"/>
  <c r="E28" i="43"/>
  <c r="AQ32" i="43"/>
  <c r="AP70" i="46"/>
  <c r="AU90" i="39"/>
  <c r="AV63" i="41"/>
  <c r="AV65" i="41"/>
  <c r="AU32" i="39"/>
  <c r="AQ32" i="39"/>
  <c r="AQ43" i="39"/>
  <c r="H39" i="47"/>
  <c r="L40" i="47" s="1"/>
  <c r="AQ8" i="43"/>
  <c r="AQ45" i="39"/>
  <c r="AQ58" i="39"/>
  <c r="AJ60" i="44"/>
  <c r="AR79" i="41"/>
  <c r="AU78" i="41"/>
  <c r="AQ79" i="41"/>
  <c r="AU80" i="41"/>
  <c r="AU81" i="44"/>
  <c r="AE48" i="44"/>
  <c r="AK48" i="44"/>
  <c r="AD49" i="44"/>
  <c r="AV38" i="39"/>
  <c r="AV39" i="39"/>
  <c r="F16" i="43"/>
  <c r="AT92" i="41"/>
  <c r="F31" i="41"/>
  <c r="AP50" i="44"/>
  <c r="AT67" i="45"/>
  <c r="E72" i="44"/>
  <c r="AP74" i="44"/>
  <c r="D74" i="44"/>
  <c r="D76" i="44" s="1"/>
  <c r="AO76" i="44"/>
  <c r="AS141" i="44"/>
  <c r="AK50" i="44"/>
  <c r="AO154" i="44"/>
  <c r="AO159" i="44" s="1"/>
  <c r="AV154" i="44"/>
  <c r="AV159" i="44" s="1"/>
  <c r="AW63" i="41"/>
  <c r="AW64" i="41"/>
  <c r="AW65" i="41"/>
  <c r="K30" i="20"/>
  <c r="H30" i="20"/>
  <c r="AT30" i="20"/>
  <c r="AP49" i="43"/>
  <c r="AP53" i="43" s="1"/>
  <c r="AP60" i="43" s="1"/>
  <c r="AP47" i="43"/>
  <c r="E16" i="43"/>
  <c r="D28" i="43"/>
  <c r="AN32" i="43"/>
  <c r="AQ33" i="46"/>
  <c r="AR28" i="46"/>
  <c r="AS28" i="46" s="1"/>
  <c r="E32" i="41"/>
  <c r="AU93" i="41"/>
  <c r="AU91" i="41"/>
  <c r="AV92" i="41"/>
  <c r="AU92" i="41"/>
  <c r="AT80" i="41"/>
  <c r="AS93" i="41"/>
  <c r="AU55" i="41"/>
  <c r="AQ56" i="41"/>
  <c r="AU57" i="41"/>
  <c r="AR56" i="41"/>
  <c r="AR80" i="44"/>
  <c r="AT78" i="39"/>
  <c r="AT103" i="44"/>
  <c r="Z81" i="44"/>
  <c r="AT22" i="41"/>
  <c r="AP31" i="41"/>
  <c r="AP21" i="41"/>
  <c r="G47" i="47" s="1"/>
  <c r="AT64" i="41"/>
  <c r="F62" i="41"/>
  <c r="E67" i="41"/>
  <c r="E68" i="41" s="1"/>
  <c r="F70" i="41" s="1"/>
  <c r="AP62" i="41"/>
  <c r="AT65" i="41" s="1"/>
  <c r="AA49" i="44"/>
  <c r="AR90" i="41"/>
  <c r="AS92" i="41" s="1"/>
  <c r="AO31" i="41"/>
  <c r="F37" i="39"/>
  <c r="I18" i="47"/>
  <c r="AV20" i="44"/>
  <c r="AR29" i="44"/>
  <c r="AR19" i="44"/>
  <c r="I19" i="47" s="1"/>
  <c r="AV33" i="41"/>
  <c r="AV32" i="41"/>
  <c r="AS58" i="39"/>
  <c r="AS8" i="43"/>
  <c r="AW90" i="39"/>
  <c r="F90" i="44"/>
  <c r="AT55" i="39"/>
  <c r="AQ154" i="44"/>
  <c r="AQ159" i="44" s="1"/>
  <c r="AL49" i="44"/>
  <c r="AM20" i="43"/>
  <c r="AT60" i="46"/>
  <c r="AT64" i="46"/>
  <c r="AS82" i="46"/>
  <c r="E82" i="46" s="1"/>
  <c r="AR83" i="46"/>
  <c r="AR78" i="39"/>
  <c r="AC120" i="44"/>
  <c r="AC123" i="44" s="1"/>
  <c r="AS64" i="41"/>
  <c r="AR64" i="41"/>
  <c r="AU65" i="41"/>
  <c r="AU63" i="41"/>
  <c r="AH49" i="44"/>
  <c r="AH48" i="44"/>
  <c r="AI49" i="44"/>
  <c r="AI48" i="44"/>
  <c r="AM48" i="44"/>
  <c r="AI50" i="44"/>
  <c r="AV48" i="44"/>
  <c r="AV50" i="44"/>
  <c r="AU31" i="44"/>
  <c r="AQ30" i="44"/>
  <c r="AQ31" i="44"/>
  <c r="AU39" i="39"/>
  <c r="AU38" i="39"/>
  <c r="AR33" i="41"/>
  <c r="AR32" i="41"/>
  <c r="K19" i="20"/>
  <c r="AW20" i="44"/>
  <c r="R8" i="18"/>
  <c r="S7" i="18"/>
  <c r="S8" i="18" s="1"/>
  <c r="AW17" i="20"/>
  <c r="AW13" i="20"/>
  <c r="AU15" i="20"/>
  <c r="K10" i="20"/>
  <c r="AS9" i="20"/>
  <c r="AP28" i="20"/>
  <c r="AQ28" i="20"/>
  <c r="AR19" i="20"/>
  <c r="I35" i="17"/>
  <c r="E8" i="17"/>
  <c r="O7" i="20"/>
  <c r="AM10" i="20"/>
  <c r="H7" i="20"/>
  <c r="AR9" i="20"/>
  <c r="E28" i="20"/>
  <c r="F28" i="20"/>
  <c r="G28" i="20"/>
  <c r="H28" i="20"/>
  <c r="F10" i="20"/>
  <c r="AI10" i="20"/>
  <c r="AL19" i="20"/>
  <c r="AW28" i="20"/>
  <c r="AV28" i="20"/>
  <c r="AF18" i="20"/>
  <c r="H14" i="20"/>
  <c r="AG18" i="20"/>
  <c r="AU6" i="20"/>
  <c r="I6" i="20"/>
  <c r="Q13" i="18"/>
  <c r="T16" i="20"/>
  <c r="AS13" i="20"/>
  <c r="AS17" i="20"/>
  <c r="AG28" i="20"/>
  <c r="AF28" i="20"/>
  <c r="AK19" i="20"/>
  <c r="G19" i="20"/>
  <c r="K22" i="18"/>
  <c r="K28" i="18" s="1"/>
  <c r="AT28" i="20"/>
  <c r="AU28" i="20"/>
  <c r="AH28" i="20"/>
  <c r="AI28" i="20"/>
  <c r="AO28" i="20"/>
  <c r="AN28" i="20"/>
  <c r="N28" i="20"/>
  <c r="X18" i="20"/>
  <c r="D18" i="20"/>
  <c r="AO12" i="20"/>
  <c r="AO14" i="20"/>
  <c r="AT16" i="20"/>
  <c r="AT14" i="20"/>
  <c r="AJ27" i="20"/>
  <c r="F35" i="18"/>
  <c r="F8" i="18"/>
  <c r="AC12" i="20"/>
  <c r="AC16" i="20"/>
  <c r="V14" i="20"/>
  <c r="V16" i="20"/>
  <c r="L14" i="20"/>
  <c r="L16" i="20"/>
  <c r="AM14" i="20"/>
  <c r="AM16" i="20"/>
  <c r="AB12" i="20"/>
  <c r="AS59" i="45"/>
  <c r="F35" i="46"/>
  <c r="G57" i="43"/>
  <c r="W28" i="20"/>
  <c r="AM68" i="46"/>
  <c r="AS23" i="46"/>
  <c r="AS25" i="46" s="1"/>
  <c r="AN82" i="46"/>
  <c r="AR84" i="46" s="1"/>
  <c r="AM83" i="46"/>
  <c r="E38" i="18"/>
  <c r="AL51" i="45"/>
  <c r="AT24" i="45"/>
  <c r="AT51" i="45" s="1"/>
  <c r="AT58" i="45"/>
  <c r="AT59" i="45" s="1"/>
  <c r="E73" i="46"/>
  <c r="AN23" i="44"/>
  <c r="AM178" i="44"/>
  <c r="AI178" i="44"/>
  <c r="D30" i="46"/>
  <c r="AO38" i="46"/>
  <c r="AV65" i="45"/>
  <c r="AV67" i="45" s="1"/>
  <c r="AL58" i="45"/>
  <c r="AP58" i="45"/>
  <c r="AP59" i="45" s="1"/>
  <c r="AS24" i="45"/>
  <c r="AS51" i="45" s="1"/>
  <c r="AO24" i="45"/>
  <c r="AO51" i="45" s="1"/>
  <c r="AW17" i="41"/>
  <c r="AW51" i="46"/>
  <c r="AH10" i="44"/>
  <c r="AV13" i="46"/>
  <c r="AV29" i="46"/>
  <c r="AW29" i="46" s="1"/>
  <c r="AV39" i="46"/>
  <c r="AV41" i="46"/>
  <c r="E12" i="46"/>
  <c r="E13" i="46"/>
  <c r="AR35" i="46"/>
  <c r="AR36" i="46"/>
  <c r="AS36" i="46" s="1"/>
  <c r="E38" i="46"/>
  <c r="D63" i="45"/>
  <c r="AO65" i="45"/>
  <c r="AO67" i="45" s="1"/>
  <c r="AS65" i="45"/>
  <c r="AS67" i="45" s="1"/>
  <c r="AM58" i="45"/>
  <c r="AM59" i="45" s="1"/>
  <c r="AQ58" i="45"/>
  <c r="AU58" i="45"/>
  <c r="AU70" i="45"/>
  <c r="AS70" i="45"/>
  <c r="AQ70" i="45"/>
  <c r="AM70" i="45"/>
  <c r="AV24" i="45"/>
  <c r="AV51" i="45" s="1"/>
  <c r="AR24" i="45"/>
  <c r="AR51" i="45" s="1"/>
  <c r="AN24" i="45"/>
  <c r="AN51" i="45" s="1"/>
  <c r="AW18" i="41"/>
  <c r="AW27" i="46"/>
  <c r="AW89" i="46" s="1"/>
  <c r="N10" i="47" s="1"/>
  <c r="AN178" i="44"/>
  <c r="AL178" i="44"/>
  <c r="AH178" i="44"/>
  <c r="AW31" i="46"/>
  <c r="F31" i="46" s="1"/>
  <c r="E18" i="46"/>
  <c r="AI10" i="44"/>
  <c r="AG10" i="44"/>
  <c r="AW8" i="46"/>
  <c r="AW12" i="46"/>
  <c r="F12" i="46" s="1"/>
  <c r="AW14" i="46"/>
  <c r="F14" i="46" s="1"/>
  <c r="AW20" i="46"/>
  <c r="F20" i="46" s="1"/>
  <c r="AV23" i="46"/>
  <c r="AV28" i="46"/>
  <c r="AV30" i="46"/>
  <c r="AW36" i="46"/>
  <c r="F36" i="46" s="1"/>
  <c r="AW38" i="46"/>
  <c r="F38" i="46" s="1"/>
  <c r="AW40" i="46"/>
  <c r="AO178" i="44"/>
  <c r="I40" i="47"/>
  <c r="I17" i="47"/>
  <c r="I29" i="47"/>
  <c r="I15" i="47"/>
  <c r="R10" i="47" l="1"/>
  <c r="BE92" i="46"/>
  <c r="T8" i="17"/>
  <c r="U7" i="17"/>
  <c r="H26" i="45"/>
  <c r="BF26" i="45"/>
  <c r="BG26" i="45" s="1"/>
  <c r="BH26" i="45" s="1"/>
  <c r="BI26" i="45" s="1"/>
  <c r="I26" i="45" s="1"/>
  <c r="H11" i="45"/>
  <c r="BF11" i="45"/>
  <c r="BG11" i="45" s="1"/>
  <c r="BH11" i="45" s="1"/>
  <c r="BI11" i="45" s="1"/>
  <c r="I11" i="45" s="1"/>
  <c r="H21" i="45"/>
  <c r="BF21" i="45"/>
  <c r="BG21" i="45" s="1"/>
  <c r="BH21" i="45" s="1"/>
  <c r="BI21" i="45" s="1"/>
  <c r="I21" i="45" s="1"/>
  <c r="J21" i="45" s="1"/>
  <c r="K21" i="45" s="1"/>
  <c r="L21" i="45" s="1"/>
  <c r="M21" i="45" s="1"/>
  <c r="N21" i="45" s="1"/>
  <c r="O21" i="45" s="1"/>
  <c r="P21" i="45" s="1"/>
  <c r="H45" i="45"/>
  <c r="BF45" i="45"/>
  <c r="BG45" i="45" s="1"/>
  <c r="BH45" i="45" s="1"/>
  <c r="BI45" i="45" s="1"/>
  <c r="I45" i="45" s="1"/>
  <c r="J45" i="45" s="1"/>
  <c r="K45" i="45" s="1"/>
  <c r="L45" i="45" s="1"/>
  <c r="M45" i="45" s="1"/>
  <c r="N45" i="45" s="1"/>
  <c r="O45" i="45" s="1"/>
  <c r="P45" i="45" s="1"/>
  <c r="H43" i="45"/>
  <c r="BF43" i="45"/>
  <c r="BG43" i="45" s="1"/>
  <c r="BH43" i="45" s="1"/>
  <c r="BI43" i="45" s="1"/>
  <c r="I43" i="45" s="1"/>
  <c r="E24" i="45"/>
  <c r="E51" i="45" s="1"/>
  <c r="I23" i="39"/>
  <c r="I21" i="39"/>
  <c r="I15" i="39"/>
  <c r="I13" i="39"/>
  <c r="I19" i="39"/>
  <c r="I17" i="39"/>
  <c r="J17" i="39" s="1"/>
  <c r="K17" i="39" s="1"/>
  <c r="L17" i="39" s="1"/>
  <c r="M17" i="39" s="1"/>
  <c r="N17" i="39" s="1"/>
  <c r="O17" i="39" s="1"/>
  <c r="P17" i="39" s="1"/>
  <c r="X19" i="20"/>
  <c r="AS95" i="44"/>
  <c r="AS12" i="43"/>
  <c r="AN39" i="39"/>
  <c r="AT95" i="44"/>
  <c r="AW96" i="44"/>
  <c r="AS94" i="44"/>
  <c r="F73" i="46"/>
  <c r="D14" i="46"/>
  <c r="AO54" i="46"/>
  <c r="D54" i="46" s="1"/>
  <c r="AX92" i="46"/>
  <c r="AQ45" i="46"/>
  <c r="AQ60" i="46"/>
  <c r="AL45" i="46"/>
  <c r="AL47" i="46" s="1"/>
  <c r="AM46" i="46" s="1"/>
  <c r="M10" i="47"/>
  <c r="AM60" i="46"/>
  <c r="AM64" i="46"/>
  <c r="AP92" i="46"/>
  <c r="AP91" i="46"/>
  <c r="G11" i="47" s="1"/>
  <c r="G10" i="47"/>
  <c r="D18" i="46"/>
  <c r="AO25" i="46"/>
  <c r="D56" i="46"/>
  <c r="D23" i="46"/>
  <c r="BD92" i="46"/>
  <c r="AO40" i="46"/>
  <c r="AO63" i="46" s="1"/>
  <c r="AN63" i="46"/>
  <c r="AR89" i="46"/>
  <c r="AR52" i="46"/>
  <c r="AS27" i="46"/>
  <c r="E14" i="46"/>
  <c r="AS54" i="46"/>
  <c r="E54" i="46" s="1"/>
  <c r="AT68" i="46"/>
  <c r="AT91" i="46"/>
  <c r="K11" i="47" s="1"/>
  <c r="H10" i="47"/>
  <c r="AQ91" i="46"/>
  <c r="H11" i="47" s="1"/>
  <c r="AQ68" i="46"/>
  <c r="AW18" i="46"/>
  <c r="AW56" i="46" s="1"/>
  <c r="F56" i="46" s="1"/>
  <c r="AT92" i="46"/>
  <c r="AV82" i="46"/>
  <c r="AU83" i="46"/>
  <c r="AU84" i="46"/>
  <c r="L10" i="47"/>
  <c r="AU92" i="46"/>
  <c r="AN25" i="46"/>
  <c r="AN59" i="46" s="1"/>
  <c r="E51" i="46"/>
  <c r="D51" i="45"/>
  <c r="D58" i="45"/>
  <c r="E59" i="45" s="1"/>
  <c r="BB55" i="41"/>
  <c r="BB57" i="41"/>
  <c r="BD93" i="41"/>
  <c r="BD91" i="41"/>
  <c r="BC78" i="41"/>
  <c r="BC80" i="41"/>
  <c r="BB65" i="41"/>
  <c r="BB63" i="41"/>
  <c r="BC93" i="41"/>
  <c r="BC91" i="41"/>
  <c r="AV55" i="41"/>
  <c r="AY92" i="41"/>
  <c r="BB93" i="41"/>
  <c r="BB91" i="41"/>
  <c r="Z19" i="20"/>
  <c r="AG81" i="44"/>
  <c r="AG120" i="44"/>
  <c r="V49" i="44"/>
  <c r="AU120" i="44"/>
  <c r="Z50" i="44"/>
  <c r="AH60" i="44"/>
  <c r="E121" i="44"/>
  <c r="E122" i="44" s="1"/>
  <c r="W48" i="44"/>
  <c r="F116" i="44"/>
  <c r="AA50" i="44"/>
  <c r="AS60" i="44"/>
  <c r="AL60" i="44"/>
  <c r="W50" i="44"/>
  <c r="AW60" i="44"/>
  <c r="AN60" i="44"/>
  <c r="AR60" i="44"/>
  <c r="AR95" i="44"/>
  <c r="AS103" i="44"/>
  <c r="AS106" i="44" s="1"/>
  <c r="AS108" i="44" s="1"/>
  <c r="E52" i="44"/>
  <c r="AU79" i="44"/>
  <c r="AI79" i="44"/>
  <c r="V81" i="44"/>
  <c r="AY79" i="44"/>
  <c r="M29" i="47"/>
  <c r="L29" i="47"/>
  <c r="AV40" i="39"/>
  <c r="AT40" i="39"/>
  <c r="AS38" i="39"/>
  <c r="AN38" i="39"/>
  <c r="I12" i="47"/>
  <c r="H12" i="47"/>
  <c r="AQ38" i="39"/>
  <c r="J64" i="43"/>
  <c r="K63" i="43"/>
  <c r="AV96" i="44"/>
  <c r="D52" i="39"/>
  <c r="D53" i="39" s="1"/>
  <c r="AM54" i="39"/>
  <c r="AU40" i="39"/>
  <c r="AQ40" i="39"/>
  <c r="AT39" i="39"/>
  <c r="AS40" i="39"/>
  <c r="AW40" i="39"/>
  <c r="AV94" i="44"/>
  <c r="AW95" i="44"/>
  <c r="F32" i="43"/>
  <c r="F33" i="43" s="1"/>
  <c r="AU59" i="46"/>
  <c r="AU57" i="46" s="1"/>
  <c r="AU45" i="46"/>
  <c r="AV12" i="43"/>
  <c r="E10" i="43"/>
  <c r="F18" i="43"/>
  <c r="F51" i="46"/>
  <c r="D20" i="43"/>
  <c r="D21" i="43" s="1"/>
  <c r="D56" i="45" s="1"/>
  <c r="F10" i="43"/>
  <c r="Z79" i="44"/>
  <c r="AW50" i="44"/>
  <c r="D52" i="44"/>
  <c r="D53" i="44" s="1"/>
  <c r="T80" i="44"/>
  <c r="AT49" i="44"/>
  <c r="Z49" i="44"/>
  <c r="X79" i="44"/>
  <c r="AP103" i="44"/>
  <c r="AT104" i="44" s="1"/>
  <c r="AW48" i="44"/>
  <c r="AE80" i="44"/>
  <c r="AC48" i="44"/>
  <c r="AS49" i="44"/>
  <c r="Y50" i="44"/>
  <c r="BB79" i="44"/>
  <c r="BB81" i="44"/>
  <c r="AR48" i="44"/>
  <c r="AK123" i="44"/>
  <c r="AK124" i="44" s="1"/>
  <c r="R13" i="17"/>
  <c r="J26" i="45"/>
  <c r="K26" i="45" s="1"/>
  <c r="L26" i="45" s="1"/>
  <c r="M26" i="45" s="1"/>
  <c r="N26" i="45" s="1"/>
  <c r="O26" i="45" s="1"/>
  <c r="P26" i="45" s="1"/>
  <c r="K45" i="47"/>
  <c r="I45" i="47"/>
  <c r="M45" i="47"/>
  <c r="BA75" i="41"/>
  <c r="BA77" i="41"/>
  <c r="BB79" i="41" s="1"/>
  <c r="AV47" i="39"/>
  <c r="W45" i="47"/>
  <c r="AM47" i="43"/>
  <c r="AM49" i="43"/>
  <c r="AM53" i="43" s="1"/>
  <c r="AM60" i="43" s="1"/>
  <c r="AW23" i="46"/>
  <c r="F23" i="46" s="1"/>
  <c r="AR103" i="44"/>
  <c r="AR106" i="44" s="1"/>
  <c r="AR50" i="44"/>
  <c r="AP106" i="44"/>
  <c r="AN49" i="44"/>
  <c r="BA47" i="39"/>
  <c r="AP60" i="44"/>
  <c r="AN81" i="44"/>
  <c r="BA32" i="39"/>
  <c r="AW90" i="41"/>
  <c r="AZ92" i="41"/>
  <c r="BA157" i="44"/>
  <c r="BA159" i="44" s="1"/>
  <c r="BA146" i="44"/>
  <c r="BA148" i="44" s="1"/>
  <c r="BA92" i="46"/>
  <c r="BA91" i="46"/>
  <c r="R11" i="47" s="1"/>
  <c r="AL64" i="46"/>
  <c r="AL60" i="46"/>
  <c r="L45" i="47"/>
  <c r="Q28" i="20"/>
  <c r="AP30" i="44"/>
  <c r="AP31" i="44"/>
  <c r="AX38" i="43"/>
  <c r="AT37" i="43"/>
  <c r="AT44" i="43"/>
  <c r="AL57" i="46"/>
  <c r="D47" i="44"/>
  <c r="AG123" i="44"/>
  <c r="AV60" i="39"/>
  <c r="AW91" i="39"/>
  <c r="BA90" i="39"/>
  <c r="BA92" i="39"/>
  <c r="F78" i="41"/>
  <c r="BA60" i="46"/>
  <c r="BA57" i="46"/>
  <c r="BA64" i="46"/>
  <c r="BA88" i="41"/>
  <c r="BA90" i="41"/>
  <c r="W50" i="47"/>
  <c r="G18" i="20"/>
  <c r="BA8" i="41"/>
  <c r="J45" i="47"/>
  <c r="J29" i="47"/>
  <c r="BA80" i="41"/>
  <c r="BA78" i="41"/>
  <c r="AP90" i="41"/>
  <c r="AQ92" i="41" s="1"/>
  <c r="AT79" i="41"/>
  <c r="AU79" i="41"/>
  <c r="AW91" i="41"/>
  <c r="BA93" i="41"/>
  <c r="AS79" i="41"/>
  <c r="AS80" i="41"/>
  <c r="C19" i="20"/>
  <c r="J11" i="45"/>
  <c r="K11" i="45" s="1"/>
  <c r="L11" i="45" s="1"/>
  <c r="M11" i="45" s="1"/>
  <c r="N11" i="45" s="1"/>
  <c r="O11" i="45" s="1"/>
  <c r="P11" i="45" s="1"/>
  <c r="J43" i="45"/>
  <c r="K43" i="45" s="1"/>
  <c r="L43" i="45" s="1"/>
  <c r="M43" i="45" s="1"/>
  <c r="N43" i="45" s="1"/>
  <c r="O43" i="45" s="1"/>
  <c r="P43" i="45" s="1"/>
  <c r="H15" i="39"/>
  <c r="H13" i="39"/>
  <c r="J13" i="39" s="1"/>
  <c r="K13" i="39" s="1"/>
  <c r="L13" i="39" s="1"/>
  <c r="M13" i="39" s="1"/>
  <c r="N13" i="39" s="1"/>
  <c r="O13" i="39" s="1"/>
  <c r="P13" i="39" s="1"/>
  <c r="H25" i="39"/>
  <c r="I31" i="39" s="1"/>
  <c r="H19" i="39"/>
  <c r="H17" i="39"/>
  <c r="H23" i="39"/>
  <c r="H21" i="39"/>
  <c r="AW49" i="44"/>
  <c r="BA48" i="44"/>
  <c r="BA50" i="44"/>
  <c r="AW103" i="44"/>
  <c r="AW106" i="44" s="1"/>
  <c r="BA60" i="44"/>
  <c r="BA79" i="44"/>
  <c r="BA81" i="44"/>
  <c r="E12" i="20"/>
  <c r="E16" i="20"/>
  <c r="E14" i="20"/>
  <c r="AQ59" i="45"/>
  <c r="AY80" i="44"/>
  <c r="G114" i="44"/>
  <c r="H114" i="44"/>
  <c r="AW36" i="43"/>
  <c r="BA38" i="43" s="1"/>
  <c r="AW25" i="43"/>
  <c r="AZ60" i="46"/>
  <c r="AZ64" i="46"/>
  <c r="AZ57" i="46"/>
  <c r="I57" i="46" s="1"/>
  <c r="E38" i="17"/>
  <c r="F22" i="17"/>
  <c r="F28" i="17" s="1"/>
  <c r="E37" i="17"/>
  <c r="E40" i="17" s="1"/>
  <c r="D29" i="44"/>
  <c r="D19" i="44"/>
  <c r="E20" i="44"/>
  <c r="AM57" i="46"/>
  <c r="AW18" i="20"/>
  <c r="G95" i="41"/>
  <c r="H73" i="39"/>
  <c r="E28" i="46"/>
  <c r="F52" i="44"/>
  <c r="AZ47" i="39"/>
  <c r="AT123" i="44"/>
  <c r="AT124" i="44" s="1"/>
  <c r="AY146" i="44"/>
  <c r="AY148" i="44" s="1"/>
  <c r="AY157" i="44"/>
  <c r="AX159" i="44"/>
  <c r="AN89" i="46"/>
  <c r="AO27" i="46"/>
  <c r="AN33" i="46"/>
  <c r="AN52" i="46"/>
  <c r="AN57" i="46" s="1"/>
  <c r="AW31" i="44"/>
  <c r="AS30" i="44"/>
  <c r="AS31" i="44"/>
  <c r="AV49" i="43"/>
  <c r="AV53" i="43" s="1"/>
  <c r="AV60" i="43" s="1"/>
  <c r="AV47" i="43"/>
  <c r="K29" i="47"/>
  <c r="F20" i="43"/>
  <c r="F114" i="39"/>
  <c r="AV61" i="39"/>
  <c r="AZ62" i="39"/>
  <c r="E47" i="44"/>
  <c r="AO60" i="44"/>
  <c r="E20" i="43"/>
  <c r="E21" i="43" s="1"/>
  <c r="E56" i="45" s="1"/>
  <c r="AZ12" i="41"/>
  <c r="AZ51" i="41"/>
  <c r="AY52" i="41"/>
  <c r="AY54" i="41"/>
  <c r="AY78" i="39"/>
  <c r="BC79" i="39" s="1"/>
  <c r="AO35" i="46"/>
  <c r="AO43" i="46" s="1"/>
  <c r="AN43" i="46"/>
  <c r="AM45" i="46"/>
  <c r="AV33" i="46"/>
  <c r="AN59" i="45"/>
  <c r="AD50" i="44"/>
  <c r="V50" i="44"/>
  <c r="AY159" i="44"/>
  <c r="AZ75" i="41"/>
  <c r="AZ77" i="41"/>
  <c r="AY20" i="41"/>
  <c r="AY25" i="41"/>
  <c r="AY16" i="41"/>
  <c r="AY13" i="41"/>
  <c r="AZ146" i="44"/>
  <c r="AZ148" i="44" s="1"/>
  <c r="AZ91" i="46"/>
  <c r="Q11" i="47" s="1"/>
  <c r="AZ92" i="46"/>
  <c r="AX31" i="46"/>
  <c r="AQ92" i="46"/>
  <c r="AM91" i="46"/>
  <c r="AX146" i="44"/>
  <c r="AX148" i="44" s="1"/>
  <c r="AR37" i="43"/>
  <c r="AR38" i="43"/>
  <c r="AR44" i="43"/>
  <c r="AV38" i="43"/>
  <c r="D12" i="43"/>
  <c r="D13" i="43" s="1"/>
  <c r="AP81" i="39"/>
  <c r="AM39" i="39"/>
  <c r="AL38" i="39"/>
  <c r="D32" i="43"/>
  <c r="D33" i="43" s="1"/>
  <c r="AQ95" i="44"/>
  <c r="AN54" i="39"/>
  <c r="AM53" i="39"/>
  <c r="E32" i="43"/>
  <c r="E33" i="43" s="1"/>
  <c r="F53" i="39"/>
  <c r="AU95" i="44"/>
  <c r="AP39" i="39"/>
  <c r="D50" i="39"/>
  <c r="AR38" i="39"/>
  <c r="AR40" i="39"/>
  <c r="AR39" i="39"/>
  <c r="AP40" i="39"/>
  <c r="AQ39" i="39"/>
  <c r="AP38" i="39"/>
  <c r="E37" i="39"/>
  <c r="F40" i="39" s="1"/>
  <c r="AS39" i="39"/>
  <c r="AW94" i="44"/>
  <c r="D42" i="39"/>
  <c r="D43" i="39" s="1"/>
  <c r="AT94" i="44"/>
  <c r="AT96" i="44"/>
  <c r="AS104" i="39"/>
  <c r="AP95" i="44"/>
  <c r="D38" i="39"/>
  <c r="AS81" i="39"/>
  <c r="F55" i="39"/>
  <c r="F57" i="39"/>
  <c r="F58" i="39" s="1"/>
  <c r="E57" i="39"/>
  <c r="E58" i="39" s="1"/>
  <c r="AJ79" i="44"/>
  <c r="AF120" i="44"/>
  <c r="AF123" i="44" s="1"/>
  <c r="AC81" i="44"/>
  <c r="Y81" i="44"/>
  <c r="AV49" i="44"/>
  <c r="AH50" i="44"/>
  <c r="F78" i="44"/>
  <c r="AC49" i="44"/>
  <c r="E53" i="44"/>
  <c r="E55" i="44" s="1"/>
  <c r="AE49" i="44"/>
  <c r="AU80" i="44"/>
  <c r="W80" i="44"/>
  <c r="AP48" i="44"/>
  <c r="AJ80" i="44"/>
  <c r="F53" i="44"/>
  <c r="V80" i="44"/>
  <c r="AD48" i="44"/>
  <c r="S49" i="44"/>
  <c r="X80" i="44"/>
  <c r="AF79" i="44"/>
  <c r="AT80" i="44"/>
  <c r="Z48" i="44"/>
  <c r="F47" i="44"/>
  <c r="F48" i="44" s="1"/>
  <c r="AK79" i="44"/>
  <c r="W79" i="44"/>
  <c r="F121" i="44"/>
  <c r="F122" i="44" s="1"/>
  <c r="AO78" i="39"/>
  <c r="AO103" i="44"/>
  <c r="D103" i="44" s="1"/>
  <c r="J21" i="39"/>
  <c r="K21" i="39" s="1"/>
  <c r="F93" i="41"/>
  <c r="F91" i="41"/>
  <c r="AU159" i="44"/>
  <c r="F159" i="44" s="1"/>
  <c r="AZ162" i="44"/>
  <c r="AY162" i="44"/>
  <c r="AC80" i="44"/>
  <c r="AR79" i="44"/>
  <c r="AR81" i="44"/>
  <c r="AJ120" i="44"/>
  <c r="AJ123" i="44" s="1"/>
  <c r="AG80" i="44"/>
  <c r="AN79" i="44"/>
  <c r="AS81" i="44"/>
  <c r="AS79" i="44"/>
  <c r="AS120" i="44"/>
  <c r="AS123" i="44" s="1"/>
  <c r="AS124" i="44" s="1"/>
  <c r="AU103" i="44"/>
  <c r="AU106" i="44" s="1"/>
  <c r="AU78" i="39"/>
  <c r="E83" i="44"/>
  <c r="E84" i="44" s="1"/>
  <c r="AV60" i="44"/>
  <c r="AK80" i="44"/>
  <c r="AJ81" i="44"/>
  <c r="AG79" i="44"/>
  <c r="AZ81" i="44"/>
  <c r="AZ79" i="44"/>
  <c r="AB81" i="44"/>
  <c r="AB79" i="44"/>
  <c r="AF81" i="44"/>
  <c r="AS80" i="44"/>
  <c r="AV81" i="44"/>
  <c r="AK81" i="44"/>
  <c r="U49" i="44"/>
  <c r="E59" i="44"/>
  <c r="AE81" i="44"/>
  <c r="AM60" i="44"/>
  <c r="G44" i="44"/>
  <c r="AZ48" i="44"/>
  <c r="AZ50" i="44"/>
  <c r="AW92" i="41"/>
  <c r="AW93" i="41"/>
  <c r="AX92" i="41"/>
  <c r="F57" i="41"/>
  <c r="AX79" i="41"/>
  <c r="AW80" i="41"/>
  <c r="AW79" i="41"/>
  <c r="AW78" i="41"/>
  <c r="G116" i="44"/>
  <c r="D59" i="44"/>
  <c r="D62" i="44" s="1"/>
  <c r="AE79" i="44"/>
  <c r="Y80" i="44"/>
  <c r="G112" i="39"/>
  <c r="G114" i="39" s="1"/>
  <c r="AC79" i="44"/>
  <c r="AF49" i="44"/>
  <c r="AE120" i="44"/>
  <c r="AE123" i="44" s="1"/>
  <c r="Z80" i="44"/>
  <c r="AY50" i="44"/>
  <c r="AY48" i="44"/>
  <c r="AF80" i="44"/>
  <c r="AW8" i="43"/>
  <c r="AW58" i="39"/>
  <c r="AV46" i="39"/>
  <c r="AU61" i="39"/>
  <c r="AY62" i="39"/>
  <c r="W40" i="47"/>
  <c r="E53" i="39"/>
  <c r="G99" i="41"/>
  <c r="AX56" i="41"/>
  <c r="AX55" i="41"/>
  <c r="AY56" i="41"/>
  <c r="AX57" i="41"/>
  <c r="AX65" i="41"/>
  <c r="AY64" i="41"/>
  <c r="AX64" i="41"/>
  <c r="AX63" i="41"/>
  <c r="AI81" i="44"/>
  <c r="AI60" i="44"/>
  <c r="AP49" i="44"/>
  <c r="AX60" i="44"/>
  <c r="AX78" i="39"/>
  <c r="BB79" i="39" s="1"/>
  <c r="AH79" i="44"/>
  <c r="AH120" i="44"/>
  <c r="AH123" i="44" s="1"/>
  <c r="AH81" i="44"/>
  <c r="AH80" i="44"/>
  <c r="AQ123" i="44"/>
  <c r="AQ124" i="44" s="1"/>
  <c r="Y79" i="44"/>
  <c r="D121" i="44"/>
  <c r="D122" i="44" s="1"/>
  <c r="AV120" i="44"/>
  <c r="AV123" i="44" s="1"/>
  <c r="AV124" i="44" s="1"/>
  <c r="AV79" i="44"/>
  <c r="AW79" i="44"/>
  <c r="H78" i="44"/>
  <c r="AW80" i="44"/>
  <c r="AW81" i="44"/>
  <c r="AW120" i="44"/>
  <c r="AW123" i="44" s="1"/>
  <c r="AW124" i="44" s="1"/>
  <c r="AU96" i="44"/>
  <c r="AV95" i="44"/>
  <c r="AU94" i="44"/>
  <c r="AA80" i="44"/>
  <c r="AA79" i="44"/>
  <c r="AA81" i="44"/>
  <c r="AN80" i="44"/>
  <c r="AO80" i="44"/>
  <c r="AN120" i="44"/>
  <c r="AN123" i="44" s="1"/>
  <c r="AN124" i="44" s="1"/>
  <c r="AL78" i="44"/>
  <c r="D83" i="44"/>
  <c r="D84" i="44" s="1"/>
  <c r="AU60" i="44"/>
  <c r="AQ103" i="44"/>
  <c r="AQ78" i="39"/>
  <c r="E78" i="39" s="1"/>
  <c r="E81" i="39" s="1"/>
  <c r="AV78" i="39"/>
  <c r="AV103" i="44"/>
  <c r="AV106" i="44" s="1"/>
  <c r="AB80" i="44"/>
  <c r="AI80" i="44"/>
  <c r="AM79" i="44"/>
  <c r="AI120" i="44"/>
  <c r="AI123" i="44" s="1"/>
  <c r="AM81" i="44"/>
  <c r="AT60" i="44"/>
  <c r="F59" i="44"/>
  <c r="F62" i="44" s="1"/>
  <c r="AO79" i="44"/>
  <c r="AO81" i="44"/>
  <c r="AD79" i="44"/>
  <c r="AD80" i="44"/>
  <c r="AD120" i="44"/>
  <c r="AD123" i="44" s="1"/>
  <c r="AD81" i="44"/>
  <c r="F83" i="44"/>
  <c r="F84" i="44" s="1"/>
  <c r="J99" i="44"/>
  <c r="F27" i="39"/>
  <c r="AP62" i="39"/>
  <c r="AP61" i="39"/>
  <c r="AV62" i="39"/>
  <c r="F31" i="39"/>
  <c r="AW60" i="39"/>
  <c r="AW46" i="39"/>
  <c r="AT89" i="39"/>
  <c r="AX92" i="39" s="1"/>
  <c r="F94" i="39"/>
  <c r="F95" i="39" s="1"/>
  <c r="AX91" i="39"/>
  <c r="AP89" i="39"/>
  <c r="E94" i="39"/>
  <c r="E95" i="39" s="1"/>
  <c r="AU92" i="39"/>
  <c r="G15" i="39"/>
  <c r="G13" i="39"/>
  <c r="AX62" i="39"/>
  <c r="AX61" i="39"/>
  <c r="AJ50" i="44"/>
  <c r="AJ48" i="44"/>
  <c r="AJ49" i="44"/>
  <c r="AN50" i="44"/>
  <c r="AN48" i="44"/>
  <c r="AK49" i="44"/>
  <c r="AX79" i="44"/>
  <c r="AX120" i="44"/>
  <c r="AX123" i="44" s="1"/>
  <c r="AX124" i="44" s="1"/>
  <c r="AX80" i="44"/>
  <c r="AX81" i="44"/>
  <c r="AF50" i="44"/>
  <c r="AF48" i="44"/>
  <c r="E48" i="44"/>
  <c r="E50" i="44"/>
  <c r="D12" i="20"/>
  <c r="D16" i="20"/>
  <c r="D14" i="20"/>
  <c r="AV25" i="46"/>
  <c r="G55" i="43"/>
  <c r="G56" i="43"/>
  <c r="AU18" i="20"/>
  <c r="AW52" i="46"/>
  <c r="F52" i="46" s="1"/>
  <c r="F27" i="46"/>
  <c r="AU59" i="45"/>
  <c r="AW41" i="46"/>
  <c r="F41" i="46" s="1"/>
  <c r="AV59" i="45"/>
  <c r="X49" i="44"/>
  <c r="X48" i="44"/>
  <c r="X50" i="44"/>
  <c r="AB50" i="44"/>
  <c r="AB48" i="44"/>
  <c r="D38" i="46"/>
  <c r="F38" i="18"/>
  <c r="G30" i="18"/>
  <c r="F37" i="18"/>
  <c r="F40" i="18" s="1"/>
  <c r="AY18" i="20"/>
  <c r="BC18" i="20"/>
  <c r="M10" i="20"/>
  <c r="J19" i="20"/>
  <c r="R13" i="18"/>
  <c r="Q23" i="18"/>
  <c r="P7" i="20"/>
  <c r="AZ19" i="20"/>
  <c r="I7" i="20"/>
  <c r="AX18" i="20"/>
  <c r="K7" i="20"/>
  <c r="J30" i="17"/>
  <c r="O18" i="20"/>
  <c r="AS83" i="46"/>
  <c r="AO32" i="41"/>
  <c r="AS33" i="41"/>
  <c r="AP33" i="41"/>
  <c r="AP32" i="41"/>
  <c r="AQ70" i="46"/>
  <c r="H41" i="47"/>
  <c r="AQ46" i="39"/>
  <c r="H42" i="47" s="1"/>
  <c r="AQ60" i="39"/>
  <c r="AQ47" i="39"/>
  <c r="AU47" i="39"/>
  <c r="AN60" i="46"/>
  <c r="AT31" i="44"/>
  <c r="AT30" i="44"/>
  <c r="D31" i="41"/>
  <c r="E22" i="41"/>
  <c r="D21" i="41"/>
  <c r="D170" i="44"/>
  <c r="D171" i="44" s="1"/>
  <c r="AO171" i="44"/>
  <c r="AW101" i="39"/>
  <c r="AW81" i="39"/>
  <c r="AW79" i="39"/>
  <c r="F32" i="39"/>
  <c r="AW47" i="39"/>
  <c r="AS60" i="39"/>
  <c r="AS46" i="39"/>
  <c r="J42" i="47" s="1"/>
  <c r="AS47" i="39"/>
  <c r="F14" i="20"/>
  <c r="F12" i="20"/>
  <c r="F16" i="20"/>
  <c r="AW63" i="46"/>
  <c r="F40" i="46"/>
  <c r="AW54" i="46"/>
  <c r="F54" i="46" s="1"/>
  <c r="AS35" i="46"/>
  <c r="AS43" i="46" s="1"/>
  <c r="AR43" i="46"/>
  <c r="AV43" i="46"/>
  <c r="AW30" i="46"/>
  <c r="F30" i="46" s="1"/>
  <c r="AW13" i="46"/>
  <c r="F13" i="46" s="1"/>
  <c r="AR59" i="45"/>
  <c r="AW39" i="46"/>
  <c r="F39" i="46" s="1"/>
  <c r="AV18" i="20"/>
  <c r="AV30" i="20"/>
  <c r="I13" i="20"/>
  <c r="I17" i="20"/>
  <c r="I15" i="20"/>
  <c r="F18" i="20"/>
  <c r="AS18" i="20"/>
  <c r="BC10" i="20"/>
  <c r="AR92" i="41"/>
  <c r="AV93" i="41"/>
  <c r="AV91" i="41"/>
  <c r="AV107" i="44"/>
  <c r="F32" i="41"/>
  <c r="F33" i="41"/>
  <c r="AQ12" i="43"/>
  <c r="E8" i="43"/>
  <c r="G25" i="39"/>
  <c r="G17" i="39"/>
  <c r="G19" i="39"/>
  <c r="F8" i="46"/>
  <c r="I19" i="20"/>
  <c r="AS19" i="20"/>
  <c r="G16" i="20"/>
  <c r="G12" i="20"/>
  <c r="G14" i="20"/>
  <c r="D65" i="45"/>
  <c r="D70" i="45"/>
  <c r="F29" i="46"/>
  <c r="AW28" i="46"/>
  <c r="E36" i="46"/>
  <c r="AN83" i="46"/>
  <c r="AO82" i="46"/>
  <c r="AO83" i="46" s="1"/>
  <c r="E23" i="46"/>
  <c r="E25" i="46" s="1"/>
  <c r="G40" i="46"/>
  <c r="G43" i="46" s="1"/>
  <c r="AD18" i="20"/>
  <c r="E18" i="20"/>
  <c r="AJ28" i="20"/>
  <c r="AK28" i="20"/>
  <c r="AT18" i="20"/>
  <c r="L22" i="18"/>
  <c r="L28" i="18" s="1"/>
  <c r="O10" i="20"/>
  <c r="AV17" i="20"/>
  <c r="AV15" i="20"/>
  <c r="AV13" i="20"/>
  <c r="AT81" i="44"/>
  <c r="AT79" i="44"/>
  <c r="AP81" i="44"/>
  <c r="AP80" i="44"/>
  <c r="AP120" i="44"/>
  <c r="E78" i="44"/>
  <c r="AP79" i="44"/>
  <c r="F91" i="44"/>
  <c r="F93" i="44"/>
  <c r="F38" i="39"/>
  <c r="F42" i="39"/>
  <c r="F43" i="39" s="1"/>
  <c r="AQ64" i="41"/>
  <c r="E62" i="41"/>
  <c r="F63" i="41" s="1"/>
  <c r="AP64" i="41"/>
  <c r="AT106" i="44"/>
  <c r="G5" i="47"/>
  <c r="AP76" i="44"/>
  <c r="AQ74" i="44"/>
  <c r="AU50" i="44"/>
  <c r="AU48" i="44"/>
  <c r="AQ50" i="44"/>
  <c r="AQ49" i="44"/>
  <c r="AQ48" i="44"/>
  <c r="AL47" i="43"/>
  <c r="AL49" i="43"/>
  <c r="AL53" i="43" s="1"/>
  <c r="AL60" i="43" s="1"/>
  <c r="AR49" i="44"/>
  <c r="AQ80" i="44"/>
  <c r="AR33" i="46"/>
  <c r="F157" i="44"/>
  <c r="AT12" i="43"/>
  <c r="E62" i="44"/>
  <c r="AR81" i="39"/>
  <c r="AR101" i="39"/>
  <c r="E83" i="46"/>
  <c r="AV31" i="44"/>
  <c r="AR31" i="44"/>
  <c r="AR30" i="44"/>
  <c r="AS50" i="44"/>
  <c r="AO50" i="44"/>
  <c r="AO49" i="44"/>
  <c r="AS48" i="44"/>
  <c r="AO48" i="44"/>
  <c r="AT101" i="39"/>
  <c r="AT81" i="39"/>
  <c r="AT79" i="39"/>
  <c r="AU123" i="44"/>
  <c r="AQ37" i="43"/>
  <c r="AQ38" i="43"/>
  <c r="AU38" i="43"/>
  <c r="AQ44" i="43"/>
  <c r="AT33" i="41"/>
  <c r="Y49" i="44"/>
  <c r="AR60" i="46"/>
  <c r="AR64" i="46"/>
  <c r="AR57" i="46"/>
  <c r="AO47" i="43"/>
  <c r="AO49" i="43"/>
  <c r="AO53" i="43" s="1"/>
  <c r="AO60" i="43" s="1"/>
  <c r="AS61" i="43" s="1"/>
  <c r="F23" i="44"/>
  <c r="F14" i="44"/>
  <c r="F11" i="44"/>
  <c r="F18" i="44"/>
  <c r="F74" i="46"/>
  <c r="E32" i="39"/>
  <c r="F146" i="44"/>
  <c r="AT148" i="44"/>
  <c r="F148" i="44" s="1"/>
  <c r="F55" i="44"/>
  <c r="AQ57" i="46"/>
  <c r="F154" i="44"/>
  <c r="V7" i="17" l="1"/>
  <c r="U8" i="17"/>
  <c r="I79" i="44"/>
  <c r="I81" i="44"/>
  <c r="AS104" i="44"/>
  <c r="E12" i="43"/>
  <c r="E13" i="43" s="1"/>
  <c r="AW104" i="44"/>
  <c r="D45" i="39"/>
  <c r="D46" i="39" s="1"/>
  <c r="E103" i="44"/>
  <c r="E104" i="44" s="1"/>
  <c r="E55" i="39"/>
  <c r="D57" i="39"/>
  <c r="D58" i="39" s="1"/>
  <c r="AM47" i="46"/>
  <c r="AN46" i="46" s="1"/>
  <c r="D25" i="46"/>
  <c r="F18" i="46"/>
  <c r="F25" i="46" s="1"/>
  <c r="D40" i="46"/>
  <c r="AW25" i="46"/>
  <c r="AW82" i="46"/>
  <c r="AV68" i="46"/>
  <c r="AV84" i="46"/>
  <c r="AU70" i="46"/>
  <c r="AT70" i="46"/>
  <c r="D63" i="46"/>
  <c r="AS89" i="46"/>
  <c r="AS52" i="46"/>
  <c r="E52" i="46" s="1"/>
  <c r="E27" i="46"/>
  <c r="E33" i="46" s="1"/>
  <c r="AS59" i="46"/>
  <c r="J12" i="47" s="1"/>
  <c r="AN64" i="46"/>
  <c r="F82" i="46"/>
  <c r="F84" i="46" s="1"/>
  <c r="AR91" i="46"/>
  <c r="I11" i="47" s="1"/>
  <c r="I10" i="47"/>
  <c r="AR68" i="46"/>
  <c r="AV92" i="46"/>
  <c r="AS33" i="46"/>
  <c r="AS45" i="46" s="1"/>
  <c r="H50" i="48"/>
  <c r="BA92" i="41"/>
  <c r="BB92" i="41"/>
  <c r="BC57" i="41"/>
  <c r="BC55" i="41"/>
  <c r="BD80" i="41"/>
  <c r="BD78" i="41"/>
  <c r="D19" i="20"/>
  <c r="AV108" i="44"/>
  <c r="K64" i="43"/>
  <c r="L63" i="43"/>
  <c r="L21" i="39"/>
  <c r="M21" i="39" s="1"/>
  <c r="N21" i="39" s="1"/>
  <c r="O21" i="39" s="1"/>
  <c r="P21" i="39" s="1"/>
  <c r="H116" i="44"/>
  <c r="J42" i="44"/>
  <c r="K99" i="44"/>
  <c r="J96" i="41"/>
  <c r="J110" i="39" s="1"/>
  <c r="J73" i="39" s="1"/>
  <c r="E40" i="39"/>
  <c r="F21" i="43"/>
  <c r="F56" i="45" s="1"/>
  <c r="L12" i="47"/>
  <c r="AU64" i="46"/>
  <c r="AU60" i="46"/>
  <c r="J43" i="44"/>
  <c r="R23" i="17"/>
  <c r="S13" i="17"/>
  <c r="BA91" i="41"/>
  <c r="AK12" i="20"/>
  <c r="AK14" i="20"/>
  <c r="AK16" i="20"/>
  <c r="BA12" i="41"/>
  <c r="BA51" i="41"/>
  <c r="AN12" i="20"/>
  <c r="AN16" i="20"/>
  <c r="AN14" i="20"/>
  <c r="AT49" i="43"/>
  <c r="AT53" i="43" s="1"/>
  <c r="AT60" i="43" s="1"/>
  <c r="AT47" i="43"/>
  <c r="F43" i="46"/>
  <c r="Z17" i="20"/>
  <c r="Z13" i="20"/>
  <c r="Z15" i="20"/>
  <c r="AW61" i="39"/>
  <c r="BA62" i="39"/>
  <c r="AR12" i="20"/>
  <c r="AR16" i="20"/>
  <c r="AR14" i="20"/>
  <c r="AZ79" i="41"/>
  <c r="BA79" i="41"/>
  <c r="AT91" i="41"/>
  <c r="AT93" i="41"/>
  <c r="AP92" i="41"/>
  <c r="H31" i="39"/>
  <c r="E60" i="44"/>
  <c r="AW43" i="46"/>
  <c r="AW33" i="46"/>
  <c r="E35" i="46"/>
  <c r="AY22" i="41"/>
  <c r="AY21" i="41"/>
  <c r="AY31" i="41"/>
  <c r="AS12" i="20"/>
  <c r="AS14" i="20"/>
  <c r="AS16" i="20"/>
  <c r="H112" i="39"/>
  <c r="H114" i="39" s="1"/>
  <c r="G68" i="39"/>
  <c r="AR47" i="43"/>
  <c r="AR49" i="43"/>
  <c r="AR53" i="43" s="1"/>
  <c r="AR60" i="43" s="1"/>
  <c r="AZ80" i="41"/>
  <c r="AZ78" i="41"/>
  <c r="G7" i="20"/>
  <c r="AY101" i="39"/>
  <c r="AY81" i="39"/>
  <c r="AN45" i="46"/>
  <c r="AN47" i="46" s="1"/>
  <c r="AO46" i="46" s="1"/>
  <c r="AY31" i="46"/>
  <c r="AX33" i="46"/>
  <c r="AX45" i="46" s="1"/>
  <c r="H52" i="39"/>
  <c r="I55" i="39" s="1"/>
  <c r="AY55" i="41"/>
  <c r="AY57" i="41"/>
  <c r="AZ52" i="41"/>
  <c r="AZ54" i="41"/>
  <c r="AZ78" i="39"/>
  <c r="AO33" i="46"/>
  <c r="AO45" i="46" s="1"/>
  <c r="AO47" i="46" s="1"/>
  <c r="AP46" i="46" s="1"/>
  <c r="AP47" i="46" s="1"/>
  <c r="AQ46" i="46" s="1"/>
  <c r="AQ47" i="46" s="1"/>
  <c r="AR46" i="46" s="1"/>
  <c r="D27" i="46"/>
  <c r="AO59" i="46"/>
  <c r="AO89" i="46"/>
  <c r="AO52" i="46"/>
  <c r="D52" i="46" s="1"/>
  <c r="AW12" i="20"/>
  <c r="AW14" i="20"/>
  <c r="AW16" i="20"/>
  <c r="AR45" i="46"/>
  <c r="D60" i="43"/>
  <c r="D35" i="46"/>
  <c r="D43" i="46" s="1"/>
  <c r="AZ10" i="43"/>
  <c r="AZ12" i="43" s="1"/>
  <c r="AZ20" i="41"/>
  <c r="AZ16" i="41"/>
  <c r="AZ25" i="41"/>
  <c r="AZ13" i="41"/>
  <c r="AZ61" i="43"/>
  <c r="AV61" i="43"/>
  <c r="AN68" i="46"/>
  <c r="AN91" i="46"/>
  <c r="AR92" i="46"/>
  <c r="D30" i="44"/>
  <c r="E31" i="44"/>
  <c r="AW30" i="20"/>
  <c r="AV12" i="20"/>
  <c r="AV14" i="20"/>
  <c r="AV16" i="20"/>
  <c r="F37" i="17"/>
  <c r="F40" i="17" s="1"/>
  <c r="F38" i="17"/>
  <c r="G22" i="17"/>
  <c r="G28" i="17" s="1"/>
  <c r="AW37" i="43"/>
  <c r="AW44" i="43"/>
  <c r="AW38" i="43"/>
  <c r="D34" i="43"/>
  <c r="D24" i="43"/>
  <c r="D36" i="43" s="1"/>
  <c r="AV109" i="44"/>
  <c r="AV104" i="44"/>
  <c r="D55" i="45"/>
  <c r="D22" i="43"/>
  <c r="F103" i="44"/>
  <c r="E38" i="39"/>
  <c r="E42" i="39"/>
  <c r="F50" i="44"/>
  <c r="AO101" i="39"/>
  <c r="AS102" i="39" s="1"/>
  <c r="AS79" i="39"/>
  <c r="F78" i="39"/>
  <c r="F81" i="39" s="1"/>
  <c r="AV79" i="39"/>
  <c r="F60" i="44"/>
  <c r="F86" i="44"/>
  <c r="G63" i="46"/>
  <c r="AU81" i="39"/>
  <c r="AU83" i="39" s="1"/>
  <c r="AY79" i="39"/>
  <c r="AU101" i="39"/>
  <c r="G109" i="39"/>
  <c r="F120" i="44"/>
  <c r="G72" i="39"/>
  <c r="J83" i="41"/>
  <c r="J44" i="41" s="1"/>
  <c r="F8" i="43"/>
  <c r="AW12" i="43"/>
  <c r="F12" i="43" s="1"/>
  <c r="AQ101" i="39"/>
  <c r="E101" i="39" s="1"/>
  <c r="E104" i="39" s="1"/>
  <c r="AQ81" i="39"/>
  <c r="AR83" i="39" s="1"/>
  <c r="AU79" i="39"/>
  <c r="AM80" i="44"/>
  <c r="AL80" i="44"/>
  <c r="AL120" i="44"/>
  <c r="AL81" i="44"/>
  <c r="D78" i="44"/>
  <c r="E81" i="44" s="1"/>
  <c r="AL79" i="44"/>
  <c r="AX101" i="39"/>
  <c r="AX79" i="39"/>
  <c r="AX81" i="39"/>
  <c r="AQ106" i="44"/>
  <c r="AU104" i="44"/>
  <c r="AV101" i="39"/>
  <c r="AV102" i="39" s="1"/>
  <c r="AV81" i="39"/>
  <c r="AV82" i="39" s="1"/>
  <c r="G78" i="44"/>
  <c r="H79" i="44" s="1"/>
  <c r="AU91" i="39"/>
  <c r="AT91" i="39"/>
  <c r="F89" i="39"/>
  <c r="AX90" i="39"/>
  <c r="AT92" i="39"/>
  <c r="E89" i="39"/>
  <c r="AQ91" i="39"/>
  <c r="F97" i="39"/>
  <c r="AR74" i="44"/>
  <c r="AQ76" i="44"/>
  <c r="AP123" i="44"/>
  <c r="E120" i="44"/>
  <c r="AQ47" i="43"/>
  <c r="AQ49" i="43"/>
  <c r="AQ53" i="43" s="1"/>
  <c r="AQ60" i="43" s="1"/>
  <c r="AR104" i="39"/>
  <c r="AP61" i="43"/>
  <c r="F28" i="46"/>
  <c r="G33" i="45"/>
  <c r="F65" i="41"/>
  <c r="F79" i="44"/>
  <c r="J20" i="39"/>
  <c r="J23" i="39" s="1"/>
  <c r="D32" i="41"/>
  <c r="E33" i="41"/>
  <c r="AQ61" i="39"/>
  <c r="AQ62" i="39"/>
  <c r="AU62" i="39"/>
  <c r="J8" i="17"/>
  <c r="J35" i="17"/>
  <c r="F8" i="17"/>
  <c r="N9" i="20"/>
  <c r="F33" i="46"/>
  <c r="N7" i="20"/>
  <c r="J7" i="20"/>
  <c r="I16" i="20"/>
  <c r="I12" i="20"/>
  <c r="I14" i="20"/>
  <c r="M7" i="20"/>
  <c r="AW59" i="46"/>
  <c r="N12" i="47" s="1"/>
  <c r="AW45" i="46"/>
  <c r="F81" i="44"/>
  <c r="AS62" i="39"/>
  <c r="AW62" i="39"/>
  <c r="AS61" i="39"/>
  <c r="F45" i="39"/>
  <c r="G37" i="39"/>
  <c r="AS84" i="46"/>
  <c r="J9" i="20"/>
  <c r="G8" i="18"/>
  <c r="G35" i="18"/>
  <c r="K9" i="20"/>
  <c r="F20" i="44"/>
  <c r="F29" i="44"/>
  <c r="F19" i="44"/>
  <c r="AU124" i="44"/>
  <c r="F123" i="44"/>
  <c r="F124" i="44" s="1"/>
  <c r="AT84" i="39"/>
  <c r="AT83" i="39"/>
  <c r="AT107" i="44"/>
  <c r="AT109" i="44"/>
  <c r="AU108" i="44"/>
  <c r="AT108" i="44"/>
  <c r="AT102" i="39"/>
  <c r="AT104" i="39"/>
  <c r="M22" i="18"/>
  <c r="M28" i="18" s="1"/>
  <c r="AY12" i="20"/>
  <c r="AY16" i="20"/>
  <c r="AY14" i="20"/>
  <c r="AU12" i="20"/>
  <c r="AU14" i="20"/>
  <c r="AU16" i="20"/>
  <c r="D82" i="46"/>
  <c r="G31" i="39"/>
  <c r="AS83" i="39"/>
  <c r="L19" i="20"/>
  <c r="I18" i="20"/>
  <c r="J18" i="20"/>
  <c r="E43" i="46"/>
  <c r="F63" i="46"/>
  <c r="AW109" i="44"/>
  <c r="AW107" i="44"/>
  <c r="AW108" i="44"/>
  <c r="J45" i="41"/>
  <c r="AW84" i="39"/>
  <c r="AW82" i="39"/>
  <c r="E106" i="44"/>
  <c r="S13" i="18"/>
  <c r="R23" i="18"/>
  <c r="O19" i="20"/>
  <c r="AX15" i="20"/>
  <c r="AX13" i="20"/>
  <c r="AX17" i="20"/>
  <c r="M19" i="20"/>
  <c r="BB18" i="20"/>
  <c r="E65" i="44"/>
  <c r="E63" i="44"/>
  <c r="F63" i="44"/>
  <c r="F65" i="44"/>
  <c r="F96" i="44"/>
  <c r="F94" i="44"/>
  <c r="L7" i="20"/>
  <c r="AS60" i="46"/>
  <c r="AS64" i="46"/>
  <c r="AW102" i="39"/>
  <c r="AW104" i="39"/>
  <c r="C14" i="20"/>
  <c r="C16" i="20"/>
  <c r="C12" i="20"/>
  <c r="N6" i="20"/>
  <c r="AW91" i="46"/>
  <c r="N11" i="47" s="1"/>
  <c r="AW92" i="46"/>
  <c r="F89" i="46"/>
  <c r="AV45" i="46"/>
  <c r="AV59" i="46"/>
  <c r="V8" i="17" l="1"/>
  <c r="W7" i="17"/>
  <c r="D60" i="39"/>
  <c r="D61" i="39" s="1"/>
  <c r="J100" i="41"/>
  <c r="F104" i="44"/>
  <c r="AZ79" i="39"/>
  <c r="BD79" i="39"/>
  <c r="AS57" i="46"/>
  <c r="E57" i="46" s="1"/>
  <c r="E45" i="46"/>
  <c r="AV70" i="46"/>
  <c r="E59" i="46"/>
  <c r="J10" i="47"/>
  <c r="AS68" i="46"/>
  <c r="AS91" i="46"/>
  <c r="J11" i="47" s="1"/>
  <c r="E89" i="46"/>
  <c r="AX82" i="46"/>
  <c r="AW84" i="46"/>
  <c r="AW68" i="46"/>
  <c r="AW64" i="46"/>
  <c r="BD55" i="41"/>
  <c r="BD57" i="41"/>
  <c r="D67" i="45"/>
  <c r="BC84" i="39"/>
  <c r="BC82" i="39"/>
  <c r="M12" i="47"/>
  <c r="AY104" i="39"/>
  <c r="BC102" i="39"/>
  <c r="L64" i="43"/>
  <c r="M63" i="43"/>
  <c r="K20" i="39"/>
  <c r="K83" i="41"/>
  <c r="K44" i="41" s="1"/>
  <c r="L99" i="44"/>
  <c r="K42" i="44"/>
  <c r="K43" i="44"/>
  <c r="K96" i="41"/>
  <c r="K110" i="39" s="1"/>
  <c r="F106" i="44"/>
  <c r="AW83" i="39"/>
  <c r="H37" i="39"/>
  <c r="AX104" i="39"/>
  <c r="AX105" i="39" s="1"/>
  <c r="BB102" i="39"/>
  <c r="BB82" i="39"/>
  <c r="BB84" i="39"/>
  <c r="S23" i="17"/>
  <c r="AJ12" i="20"/>
  <c r="AJ14" i="20"/>
  <c r="AJ16" i="20"/>
  <c r="AA15" i="20"/>
  <c r="AA17" i="20"/>
  <c r="AA13" i="20"/>
  <c r="K5" i="47"/>
  <c r="AX61" i="43"/>
  <c r="AT61" i="43"/>
  <c r="E79" i="44"/>
  <c r="BA52" i="41"/>
  <c r="BA54" i="41"/>
  <c r="BA78" i="39"/>
  <c r="BA10" i="43"/>
  <c r="BA12" i="43" s="1"/>
  <c r="BA25" i="41"/>
  <c r="BA13" i="41"/>
  <c r="BA16" i="41"/>
  <c r="BA20" i="41"/>
  <c r="H53" i="39"/>
  <c r="H120" i="44"/>
  <c r="H81" i="44"/>
  <c r="D25" i="43"/>
  <c r="AR47" i="46"/>
  <c r="AS46" i="46" s="1"/>
  <c r="AS47" i="46" s="1"/>
  <c r="AT46" i="46" s="1"/>
  <c r="AT47" i="46" s="1"/>
  <c r="AU46" i="46" s="1"/>
  <c r="AU47" i="46" s="1"/>
  <c r="AV46" i="46" s="1"/>
  <c r="AV47" i="46" s="1"/>
  <c r="AW46" i="46" s="1"/>
  <c r="AW47" i="46" s="1"/>
  <c r="D59" i="46"/>
  <c r="D33" i="46"/>
  <c r="D45" i="46" s="1"/>
  <c r="D47" i="46" s="1"/>
  <c r="E46" i="46" s="1"/>
  <c r="E47" i="46" s="1"/>
  <c r="F46" i="46" s="1"/>
  <c r="H72" i="39"/>
  <c r="AY33" i="41"/>
  <c r="AY32" i="41"/>
  <c r="H22" i="17"/>
  <c r="H28" i="17" s="1"/>
  <c r="G37" i="17"/>
  <c r="G40" i="17" s="1"/>
  <c r="G38" i="17"/>
  <c r="AR70" i="46"/>
  <c r="I5" i="47"/>
  <c r="AR61" i="43"/>
  <c r="AW49" i="43"/>
  <c r="AW53" i="43" s="1"/>
  <c r="AW60" i="43" s="1"/>
  <c r="AW47" i="43"/>
  <c r="J30" i="20"/>
  <c r="AZ21" i="41"/>
  <c r="AZ31" i="41"/>
  <c r="AZ22" i="41"/>
  <c r="D89" i="46"/>
  <c r="AS92" i="46"/>
  <c r="AO91" i="46"/>
  <c r="AO68" i="46"/>
  <c r="AZ81" i="39"/>
  <c r="AZ101" i="39"/>
  <c r="L18" i="20"/>
  <c r="AL14" i="20"/>
  <c r="AL12" i="20"/>
  <c r="AL16" i="20"/>
  <c r="G67" i="39"/>
  <c r="AO57" i="46"/>
  <c r="D57" i="46" s="1"/>
  <c r="AO60" i="46"/>
  <c r="AO64" i="46"/>
  <c r="AZ55" i="41"/>
  <c r="AZ57" i="41"/>
  <c r="AZ56" i="41"/>
  <c r="AZ31" i="46"/>
  <c r="BA31" i="46" s="1"/>
  <c r="BA33" i="46" s="1"/>
  <c r="BA45" i="46" s="1"/>
  <c r="AY33" i="46"/>
  <c r="AY45" i="46" s="1"/>
  <c r="E43" i="39"/>
  <c r="E45" i="39"/>
  <c r="F47" i="39" s="1"/>
  <c r="F79" i="39"/>
  <c r="AV84" i="39"/>
  <c r="AV104" i="39"/>
  <c r="AW106" i="39" s="1"/>
  <c r="AX102" i="39"/>
  <c r="AY102" i="39"/>
  <c r="AU104" i="39"/>
  <c r="AY84" i="39"/>
  <c r="AY82" i="39"/>
  <c r="AV83" i="39"/>
  <c r="G111" i="39"/>
  <c r="AX83" i="39"/>
  <c r="AY83" i="39"/>
  <c r="F101" i="39"/>
  <c r="F102" i="39" s="1"/>
  <c r="AX82" i="39"/>
  <c r="K116" i="44"/>
  <c r="E91" i="46"/>
  <c r="G120" i="44"/>
  <c r="F13" i="43"/>
  <c r="AX84" i="39"/>
  <c r="G81" i="44"/>
  <c r="G79" i="44"/>
  <c r="AL123" i="44"/>
  <c r="D120" i="44"/>
  <c r="AU82" i="39"/>
  <c r="AQ83" i="39"/>
  <c r="AU84" i="39"/>
  <c r="G38" i="44"/>
  <c r="G113" i="44"/>
  <c r="AQ108" i="44"/>
  <c r="AR108" i="44"/>
  <c r="AU107" i="44"/>
  <c r="AU109" i="44"/>
  <c r="AQ104" i="39"/>
  <c r="AR106" i="39" s="1"/>
  <c r="AU102" i="39"/>
  <c r="F90" i="39"/>
  <c r="F92" i="39"/>
  <c r="AW105" i="39"/>
  <c r="AW107" i="39"/>
  <c r="F84" i="39"/>
  <c r="F82" i="39"/>
  <c r="K18" i="20"/>
  <c r="D83" i="46"/>
  <c r="E84" i="46"/>
  <c r="F30" i="44"/>
  <c r="F31" i="44"/>
  <c r="H30" i="18"/>
  <c r="G38" i="18"/>
  <c r="G37" i="18"/>
  <c r="G40" i="18" s="1"/>
  <c r="AW57" i="46"/>
  <c r="AW60" i="46"/>
  <c r="G63" i="45"/>
  <c r="AS106" i="39"/>
  <c r="G37" i="44"/>
  <c r="G111" i="44"/>
  <c r="M18" i="20"/>
  <c r="O6" i="20"/>
  <c r="E34" i="43"/>
  <c r="AS74" i="44"/>
  <c r="AR76" i="44"/>
  <c r="E60" i="46"/>
  <c r="E64" i="46"/>
  <c r="F92" i="46"/>
  <c r="L30" i="20"/>
  <c r="J57" i="43"/>
  <c r="K57" i="43" s="1"/>
  <c r="S23" i="18"/>
  <c r="N22" i="18"/>
  <c r="N28" i="18" s="1"/>
  <c r="K30" i="17"/>
  <c r="E14" i="43"/>
  <c r="E55" i="45"/>
  <c r="E24" i="43"/>
  <c r="E22" i="43"/>
  <c r="F45" i="46"/>
  <c r="F59" i="46"/>
  <c r="F60" i="46" s="1"/>
  <c r="G98" i="44"/>
  <c r="AV60" i="46"/>
  <c r="AV57" i="46"/>
  <c r="AV64" i="46"/>
  <c r="AY17" i="20"/>
  <c r="AY13" i="20"/>
  <c r="AY15" i="20"/>
  <c r="D37" i="43"/>
  <c r="D44" i="43"/>
  <c r="M16" i="20"/>
  <c r="M14" i="20"/>
  <c r="M12" i="20"/>
  <c r="AT106" i="39"/>
  <c r="AT105" i="39"/>
  <c r="AT107" i="39"/>
  <c r="G38" i="39"/>
  <c r="G40" i="39"/>
  <c r="F46" i="39"/>
  <c r="F60" i="39"/>
  <c r="P18" i="20"/>
  <c r="F109" i="44"/>
  <c r="F107" i="44"/>
  <c r="H5" i="47"/>
  <c r="AQ61" i="43"/>
  <c r="AU61" i="43"/>
  <c r="E60" i="43"/>
  <c r="E123" i="44"/>
  <c r="E124" i="44" s="1"/>
  <c r="AP124" i="44"/>
  <c r="F68" i="46" l="1"/>
  <c r="X7" i="17"/>
  <c r="W8" i="17"/>
  <c r="H38" i="39"/>
  <c r="I40" i="39"/>
  <c r="BD82" i="39"/>
  <c r="BD84" i="39"/>
  <c r="AZ104" i="39"/>
  <c r="AZ107" i="39" s="1"/>
  <c r="BD102" i="39"/>
  <c r="AW70" i="46"/>
  <c r="AX68" i="46"/>
  <c r="AX84" i="46"/>
  <c r="AY82" i="46"/>
  <c r="E68" i="46"/>
  <c r="BA56" i="41"/>
  <c r="BB56" i="41"/>
  <c r="BC105" i="39"/>
  <c r="BC107" i="39"/>
  <c r="K55" i="43"/>
  <c r="L57" i="43"/>
  <c r="K56" i="43"/>
  <c r="K40" i="46"/>
  <c r="M64" i="43"/>
  <c r="N63" i="43"/>
  <c r="H40" i="39"/>
  <c r="K23" i="39"/>
  <c r="L20" i="39"/>
  <c r="L83" i="41"/>
  <c r="L44" i="41" s="1"/>
  <c r="L42" i="44"/>
  <c r="M99" i="44"/>
  <c r="K44" i="44"/>
  <c r="L116" i="44"/>
  <c r="K112" i="39"/>
  <c r="K72" i="39" s="1"/>
  <c r="K45" i="41"/>
  <c r="K100" i="41"/>
  <c r="K73" i="39"/>
  <c r="L43" i="44"/>
  <c r="L96" i="41"/>
  <c r="AX107" i="39"/>
  <c r="AX106" i="39"/>
  <c r="AY106" i="39"/>
  <c r="BB105" i="39"/>
  <c r="BB107" i="39"/>
  <c r="AB15" i="20"/>
  <c r="AB13" i="20"/>
  <c r="AB17" i="20"/>
  <c r="AR30" i="20"/>
  <c r="D17" i="20"/>
  <c r="D15" i="20"/>
  <c r="D13" i="20"/>
  <c r="BA61" i="43"/>
  <c r="BA22" i="41"/>
  <c r="BA21" i="41"/>
  <c r="BA31" i="41"/>
  <c r="BA101" i="39"/>
  <c r="BA81" i="39"/>
  <c r="BB83" i="39" s="1"/>
  <c r="BA79" i="39"/>
  <c r="BA57" i="41"/>
  <c r="BA55" i="41"/>
  <c r="AZ82" i="39"/>
  <c r="F91" i="46"/>
  <c r="BF33" i="45"/>
  <c r="H40" i="41"/>
  <c r="H97" i="41"/>
  <c r="AZ84" i="39"/>
  <c r="AZ83" i="39"/>
  <c r="F104" i="39"/>
  <c r="AZ102" i="39"/>
  <c r="AZ33" i="46"/>
  <c r="AZ45" i="46" s="1"/>
  <c r="G31" i="46"/>
  <c r="F47" i="46"/>
  <c r="G46" i="46" s="1"/>
  <c r="H95" i="41"/>
  <c r="AS70" i="46"/>
  <c r="D68" i="46"/>
  <c r="E92" i="46"/>
  <c r="D91" i="46"/>
  <c r="J14" i="20"/>
  <c r="J12" i="20"/>
  <c r="J16" i="20"/>
  <c r="AW61" i="43"/>
  <c r="F60" i="43"/>
  <c r="I22" i="17"/>
  <c r="I28" i="17" s="1"/>
  <c r="H37" i="17"/>
  <c r="H38" i="17"/>
  <c r="D60" i="46"/>
  <c r="D64" i="46"/>
  <c r="AZ33" i="41"/>
  <c r="AZ32" i="41"/>
  <c r="AV107" i="39"/>
  <c r="AV105" i="39"/>
  <c r="E60" i="39"/>
  <c r="F62" i="39" s="1"/>
  <c r="E47" i="39"/>
  <c r="E46" i="39"/>
  <c r="AX46" i="46"/>
  <c r="AX47" i="46" s="1"/>
  <c r="AY46" i="46" s="1"/>
  <c r="F14" i="43"/>
  <c r="G113" i="39"/>
  <c r="AY107" i="39"/>
  <c r="AY105" i="39"/>
  <c r="AU106" i="39"/>
  <c r="AV106" i="39"/>
  <c r="J116" i="44"/>
  <c r="J112" i="39"/>
  <c r="J44" i="44"/>
  <c r="AG33" i="47"/>
  <c r="F22" i="43"/>
  <c r="F34" i="43"/>
  <c r="F55" i="45"/>
  <c r="F24" i="43"/>
  <c r="AL124" i="44"/>
  <c r="D123" i="44"/>
  <c r="D124" i="44" s="1"/>
  <c r="AQ106" i="39"/>
  <c r="AU107" i="39"/>
  <c r="AU105" i="39"/>
  <c r="F57" i="46"/>
  <c r="J12" i="39"/>
  <c r="J55" i="43"/>
  <c r="J40" i="46"/>
  <c r="J56" i="43"/>
  <c r="F61" i="39"/>
  <c r="J16" i="39"/>
  <c r="K16" i="39" s="1"/>
  <c r="X17" i="47"/>
  <c r="X16" i="47"/>
  <c r="G87" i="41"/>
  <c r="D49" i="43"/>
  <c r="D53" i="43" s="1"/>
  <c r="D47" i="43"/>
  <c r="G36" i="44"/>
  <c r="F105" i="39"/>
  <c r="F107" i="39"/>
  <c r="AZ17" i="20"/>
  <c r="AZ13" i="20"/>
  <c r="AZ15" i="20"/>
  <c r="G115" i="44"/>
  <c r="H35" i="18"/>
  <c r="H8" i="18"/>
  <c r="E61" i="43"/>
  <c r="F61" i="43"/>
  <c r="F70" i="46"/>
  <c r="G38" i="41"/>
  <c r="G82" i="41"/>
  <c r="E67" i="45"/>
  <c r="E26" i="43"/>
  <c r="E25" i="43"/>
  <c r="E36" i="43"/>
  <c r="K35" i="17"/>
  <c r="G8" i="17"/>
  <c r="K8" i="17"/>
  <c r="F64" i="46"/>
  <c r="J15" i="20"/>
  <c r="J17" i="20"/>
  <c r="J13" i="20"/>
  <c r="E74" i="44"/>
  <c r="E76" i="44" s="1"/>
  <c r="AS76" i="44"/>
  <c r="AT74" i="44"/>
  <c r="G69" i="45"/>
  <c r="G70" i="45" s="1"/>
  <c r="X8" i="17" l="1"/>
  <c r="Y7" i="17"/>
  <c r="Y8" i="17" s="1"/>
  <c r="BG33" i="45"/>
  <c r="BF63" i="45"/>
  <c r="BF69" i="45" s="1"/>
  <c r="BF40" i="43" s="1"/>
  <c r="I68" i="46"/>
  <c r="K114" i="39"/>
  <c r="AZ105" i="39"/>
  <c r="AZ106" i="39"/>
  <c r="BD105" i="39"/>
  <c r="BD107" i="39"/>
  <c r="AY68" i="46"/>
  <c r="AY84" i="46"/>
  <c r="AZ82" i="46"/>
  <c r="AX70" i="46"/>
  <c r="K43" i="46"/>
  <c r="K63" i="46"/>
  <c r="L55" i="43"/>
  <c r="M57" i="43"/>
  <c r="L56" i="43"/>
  <c r="L40" i="46"/>
  <c r="O63" i="43"/>
  <c r="N64" i="43"/>
  <c r="L23" i="39"/>
  <c r="M20" i="39"/>
  <c r="J15" i="39"/>
  <c r="K12" i="39"/>
  <c r="L16" i="39"/>
  <c r="K19" i="39"/>
  <c r="M83" i="41"/>
  <c r="M44" i="41" s="1"/>
  <c r="N99" i="44"/>
  <c r="M42" i="44"/>
  <c r="L44" i="44"/>
  <c r="M116" i="44"/>
  <c r="L112" i="39"/>
  <c r="L72" i="39" s="1"/>
  <c r="M96" i="41"/>
  <c r="M43" i="44"/>
  <c r="L45" i="41"/>
  <c r="L100" i="41"/>
  <c r="L110" i="39"/>
  <c r="BA83" i="39"/>
  <c r="BA84" i="39"/>
  <c r="BA82" i="39"/>
  <c r="BA32" i="41"/>
  <c r="BA33" i="41"/>
  <c r="I30" i="20"/>
  <c r="BA104" i="39"/>
  <c r="BB106" i="39" s="1"/>
  <c r="BA102" i="39"/>
  <c r="AC13" i="20"/>
  <c r="AC17" i="20"/>
  <c r="AC15" i="20"/>
  <c r="H33" i="45"/>
  <c r="J95" i="41"/>
  <c r="K95" i="41" s="1"/>
  <c r="H99" i="41"/>
  <c r="I90" i="41" s="1"/>
  <c r="G62" i="41"/>
  <c r="E70" i="46"/>
  <c r="K12" i="20"/>
  <c r="K14" i="20"/>
  <c r="K16" i="20"/>
  <c r="H39" i="41"/>
  <c r="H40" i="17"/>
  <c r="AG31" i="47"/>
  <c r="H111" i="44"/>
  <c r="J22" i="17"/>
  <c r="J28" i="17" s="1"/>
  <c r="I38" i="17"/>
  <c r="I37" i="17"/>
  <c r="E62" i="39"/>
  <c r="E61" i="39"/>
  <c r="AW8" i="45"/>
  <c r="AW64" i="45" s="1"/>
  <c r="AW65" i="45" s="1"/>
  <c r="AW67" i="45" s="1"/>
  <c r="AY47" i="46"/>
  <c r="AZ46" i="46" s="1"/>
  <c r="AX8" i="45"/>
  <c r="J72" i="39"/>
  <c r="J114" i="39"/>
  <c r="F36" i="43"/>
  <c r="F38" i="43" s="1"/>
  <c r="F25" i="43"/>
  <c r="F26" i="43"/>
  <c r="J78" i="44"/>
  <c r="K78" i="44" s="1"/>
  <c r="G65" i="41"/>
  <c r="G63" i="41"/>
  <c r="X29" i="47"/>
  <c r="X28" i="47"/>
  <c r="BA15" i="20"/>
  <c r="BA17" i="20"/>
  <c r="BA13" i="20"/>
  <c r="G40" i="43"/>
  <c r="O30" i="20"/>
  <c r="G88" i="41"/>
  <c r="G90" i="41"/>
  <c r="AU74" i="44"/>
  <c r="AT76" i="44"/>
  <c r="H38" i="18"/>
  <c r="I30" i="18"/>
  <c r="H37" i="18"/>
  <c r="X30" i="47"/>
  <c r="G10" i="41"/>
  <c r="L30" i="17"/>
  <c r="E37" i="43"/>
  <c r="E44" i="43"/>
  <c r="E38" i="43"/>
  <c r="J19" i="39"/>
  <c r="J25" i="39"/>
  <c r="N30" i="20"/>
  <c r="P30" i="20"/>
  <c r="J43" i="46"/>
  <c r="J63" i="46"/>
  <c r="BG63" i="45" l="1"/>
  <c r="BG69" i="45" s="1"/>
  <c r="BG40" i="43" s="1"/>
  <c r="BG53" i="46" s="1"/>
  <c r="BH33" i="45"/>
  <c r="H58" i="48"/>
  <c r="H109" i="39"/>
  <c r="BF109" i="39"/>
  <c r="J70" i="46"/>
  <c r="BI29" i="43"/>
  <c r="F64" i="45"/>
  <c r="F65" i="45" s="1"/>
  <c r="F67" i="45" s="1"/>
  <c r="AZ68" i="46"/>
  <c r="BA82" i="46"/>
  <c r="AZ84" i="46"/>
  <c r="AY70" i="46"/>
  <c r="H98" i="44"/>
  <c r="O64" i="43"/>
  <c r="P63" i="43"/>
  <c r="M56" i="43"/>
  <c r="M55" i="43"/>
  <c r="N57" i="43"/>
  <c r="M40" i="46"/>
  <c r="L43" i="46"/>
  <c r="L63" i="46"/>
  <c r="K25" i="39"/>
  <c r="K15" i="39"/>
  <c r="L12" i="39"/>
  <c r="M23" i="39"/>
  <c r="N20" i="39"/>
  <c r="M16" i="39"/>
  <c r="L19" i="39"/>
  <c r="K79" i="44"/>
  <c r="K120" i="44"/>
  <c r="L78" i="44"/>
  <c r="N83" i="41"/>
  <c r="N44" i="41" s="1"/>
  <c r="N42" i="44"/>
  <c r="O99" i="44"/>
  <c r="M112" i="39"/>
  <c r="M72" i="39" s="1"/>
  <c r="M44" i="44"/>
  <c r="L73" i="39"/>
  <c r="L114" i="39"/>
  <c r="M45" i="41"/>
  <c r="M100" i="41"/>
  <c r="M110" i="39"/>
  <c r="K39" i="41"/>
  <c r="L95" i="41"/>
  <c r="N96" i="41"/>
  <c r="N116" i="44"/>
  <c r="N43" i="44"/>
  <c r="BA105" i="39"/>
  <c r="BA107" i="39"/>
  <c r="BA106" i="39"/>
  <c r="AD13" i="20"/>
  <c r="AD17" i="20"/>
  <c r="AD15" i="20"/>
  <c r="H63" i="45"/>
  <c r="G53" i="46"/>
  <c r="H53" i="46"/>
  <c r="J97" i="41"/>
  <c r="J39" i="41"/>
  <c r="H113" i="44"/>
  <c r="I40" i="17"/>
  <c r="K22" i="17"/>
  <c r="K28" i="17" s="1"/>
  <c r="J37" i="17"/>
  <c r="J38" i="17"/>
  <c r="H87" i="41"/>
  <c r="I88" i="41" s="1"/>
  <c r="H68" i="39"/>
  <c r="AW12" i="45"/>
  <c r="AW24" i="45" s="1"/>
  <c r="AW51" i="45" s="1"/>
  <c r="F8" i="45"/>
  <c r="F12" i="45" s="1"/>
  <c r="F24" i="45" s="1"/>
  <c r="F51" i="45" s="1"/>
  <c r="AX64" i="45"/>
  <c r="AX65" i="45" s="1"/>
  <c r="AX67" i="45" s="1"/>
  <c r="AX12" i="45"/>
  <c r="AY8" i="45"/>
  <c r="AZ47" i="46"/>
  <c r="BA46" i="46" s="1"/>
  <c r="BA47" i="46" s="1"/>
  <c r="BB46" i="46" s="1"/>
  <c r="BB47" i="46" s="1"/>
  <c r="BC46" i="46" s="1"/>
  <c r="BC47" i="46" s="1"/>
  <c r="BD46" i="46" s="1"/>
  <c r="BD47" i="46" s="1"/>
  <c r="BE46" i="46" s="1"/>
  <c r="BE47" i="46" s="1"/>
  <c r="F37" i="43"/>
  <c r="F44" i="43"/>
  <c r="J79" i="44"/>
  <c r="J120" i="44"/>
  <c r="BB17" i="20"/>
  <c r="BB15" i="20"/>
  <c r="BB13" i="20"/>
  <c r="X31" i="47"/>
  <c r="H40" i="18"/>
  <c r="J31" i="39"/>
  <c r="J37" i="39"/>
  <c r="J40" i="39" s="1"/>
  <c r="J52" i="39"/>
  <c r="J55" i="39" s="1"/>
  <c r="E47" i="43"/>
  <c r="E49" i="43"/>
  <c r="E53" i="43" s="1"/>
  <c r="I35" i="18"/>
  <c r="I8" i="18"/>
  <c r="G89" i="39"/>
  <c r="AU76" i="44"/>
  <c r="AV74" i="44"/>
  <c r="L35" i="17"/>
  <c r="L8" i="17"/>
  <c r="H8" i="17"/>
  <c r="G93" i="41"/>
  <c r="G91" i="41"/>
  <c r="J111" i="44"/>
  <c r="K111" i="44" s="1"/>
  <c r="BI33" i="45" l="1"/>
  <c r="BH63" i="45"/>
  <c r="BH69" i="45" s="1"/>
  <c r="BF53" i="46"/>
  <c r="H60" i="48"/>
  <c r="I55" i="48"/>
  <c r="I56" i="48"/>
  <c r="H55" i="48"/>
  <c r="H56" i="48"/>
  <c r="BG109" i="39"/>
  <c r="BF68" i="39"/>
  <c r="BF111" i="39"/>
  <c r="J55" i="48"/>
  <c r="AZ70" i="46"/>
  <c r="BB82" i="46"/>
  <c r="BA84" i="46"/>
  <c r="BA68" i="46"/>
  <c r="G82" i="46"/>
  <c r="G84" i="46" s="1"/>
  <c r="M43" i="46"/>
  <c r="M63" i="46"/>
  <c r="P64" i="43"/>
  <c r="O57" i="43"/>
  <c r="N56" i="43"/>
  <c r="N55" i="43"/>
  <c r="N40" i="46"/>
  <c r="L15" i="39"/>
  <c r="M12" i="39"/>
  <c r="L25" i="39"/>
  <c r="M19" i="39"/>
  <c r="N16" i="39"/>
  <c r="O20" i="39"/>
  <c r="N23" i="39"/>
  <c r="K37" i="39"/>
  <c r="K40" i="39" s="1"/>
  <c r="K52" i="39"/>
  <c r="K55" i="39" s="1"/>
  <c r="K31" i="39"/>
  <c r="J40" i="41"/>
  <c r="K97" i="41"/>
  <c r="O83" i="41"/>
  <c r="O44" i="41" s="1"/>
  <c r="O42" i="44"/>
  <c r="P99" i="44"/>
  <c r="M78" i="44"/>
  <c r="L79" i="44"/>
  <c r="L120" i="44"/>
  <c r="N112" i="39"/>
  <c r="N72" i="39" s="1"/>
  <c r="O116" i="44"/>
  <c r="N44" i="44"/>
  <c r="M95" i="41"/>
  <c r="L39" i="41"/>
  <c r="K37" i="44"/>
  <c r="L111" i="44"/>
  <c r="N100" i="41"/>
  <c r="N45" i="41"/>
  <c r="O96" i="41"/>
  <c r="O110" i="39" s="1"/>
  <c r="O43" i="44"/>
  <c r="N110" i="39"/>
  <c r="M73" i="39"/>
  <c r="M114" i="39"/>
  <c r="AE15" i="20"/>
  <c r="AE17" i="20"/>
  <c r="AE13" i="20"/>
  <c r="J99" i="41"/>
  <c r="H69" i="45"/>
  <c r="H70" i="45" s="1"/>
  <c r="H88" i="41"/>
  <c r="H90" i="41"/>
  <c r="H67" i="39"/>
  <c r="H111" i="39"/>
  <c r="H38" i="41"/>
  <c r="H82" i="41"/>
  <c r="J113" i="44"/>
  <c r="J115" i="44" s="1"/>
  <c r="H115" i="44"/>
  <c r="H10" i="41"/>
  <c r="J40" i="17"/>
  <c r="L22" i="17"/>
  <c r="L28" i="17" s="1"/>
  <c r="M22" i="17" s="1"/>
  <c r="M28" i="17" s="1"/>
  <c r="N22" i="17" s="1"/>
  <c r="N28" i="17" s="1"/>
  <c r="K37" i="17"/>
  <c r="K38" i="17"/>
  <c r="AW58" i="45"/>
  <c r="AW59" i="45" s="1"/>
  <c r="F58" i="45"/>
  <c r="F59" i="45" s="1"/>
  <c r="AY64" i="45"/>
  <c r="AY65" i="45" s="1"/>
  <c r="AY67" i="45" s="1"/>
  <c r="AY12" i="45"/>
  <c r="AX24" i="45"/>
  <c r="AX51" i="45" s="1"/>
  <c r="AX58" i="45"/>
  <c r="F49" i="43"/>
  <c r="F53" i="43" s="1"/>
  <c r="F47" i="43"/>
  <c r="P14" i="20"/>
  <c r="P16" i="20"/>
  <c r="P12" i="20"/>
  <c r="I37" i="18"/>
  <c r="I38" i="18"/>
  <c r="J30" i="18"/>
  <c r="AV76" i="44"/>
  <c r="AW74" i="44"/>
  <c r="AX74" i="44" s="1"/>
  <c r="BC17" i="20"/>
  <c r="BC15" i="20"/>
  <c r="BC13" i="20"/>
  <c r="J37" i="44"/>
  <c r="M30" i="17"/>
  <c r="L38" i="17"/>
  <c r="L37" i="17"/>
  <c r="G92" i="39"/>
  <c r="G90" i="39"/>
  <c r="BG14" i="46" l="1"/>
  <c r="BH40" i="43"/>
  <c r="BI63" i="45"/>
  <c r="I33" i="45"/>
  <c r="J33" i="45" s="1"/>
  <c r="K55" i="48"/>
  <c r="I91" i="41"/>
  <c r="I93" i="41"/>
  <c r="BH109" i="39"/>
  <c r="BG68" i="39"/>
  <c r="BF67" i="39"/>
  <c r="BG111" i="39"/>
  <c r="BG113" i="39" s="1"/>
  <c r="BF113" i="39"/>
  <c r="BB84" i="46"/>
  <c r="BC82" i="46"/>
  <c r="BD82" i="46" s="1"/>
  <c r="BE82" i="46" s="1"/>
  <c r="BB68" i="46"/>
  <c r="BF70" i="46" s="1"/>
  <c r="BA70" i="46"/>
  <c r="G68" i="46"/>
  <c r="G70" i="46" s="1"/>
  <c r="J50" i="48"/>
  <c r="J58" i="48"/>
  <c r="J60" i="48" s="1"/>
  <c r="J98" i="44"/>
  <c r="L55" i="48"/>
  <c r="N63" i="46"/>
  <c r="N43" i="46"/>
  <c r="P57" i="43"/>
  <c r="O56" i="43"/>
  <c r="O55" i="43"/>
  <c r="O40" i="46"/>
  <c r="L52" i="39"/>
  <c r="L55" i="39" s="1"/>
  <c r="L37" i="39"/>
  <c r="L40" i="39" s="1"/>
  <c r="L31" i="39"/>
  <c r="P20" i="39"/>
  <c r="P23" i="39" s="1"/>
  <c r="O23" i="39"/>
  <c r="M15" i="39"/>
  <c r="M25" i="39"/>
  <c r="N12" i="39"/>
  <c r="N19" i="39"/>
  <c r="O16" i="39"/>
  <c r="L97" i="41"/>
  <c r="K40" i="41"/>
  <c r="K99" i="41"/>
  <c r="M120" i="44"/>
  <c r="M79" i="44"/>
  <c r="N78" i="44"/>
  <c r="P42" i="44"/>
  <c r="P83" i="41"/>
  <c r="P44" i="41" s="1"/>
  <c r="J38" i="44"/>
  <c r="K113" i="44"/>
  <c r="O112" i="39"/>
  <c r="O72" i="39" s="1"/>
  <c r="O44" i="44"/>
  <c r="O73" i="39"/>
  <c r="P96" i="41"/>
  <c r="P110" i="39" s="1"/>
  <c r="P116" i="44"/>
  <c r="P43" i="44"/>
  <c r="N73" i="39"/>
  <c r="N114" i="39"/>
  <c r="O45" i="41"/>
  <c r="O100" i="41"/>
  <c r="M111" i="44"/>
  <c r="L37" i="44"/>
  <c r="N95" i="41"/>
  <c r="M39" i="41"/>
  <c r="AX59" i="45"/>
  <c r="E13" i="20"/>
  <c r="E15" i="20"/>
  <c r="E17" i="20"/>
  <c r="AF15" i="20"/>
  <c r="AF17" i="20"/>
  <c r="AF13" i="20"/>
  <c r="H40" i="43"/>
  <c r="H91" i="41"/>
  <c r="H93" i="41"/>
  <c r="H113" i="39"/>
  <c r="H62" i="41"/>
  <c r="K40" i="17"/>
  <c r="AY74" i="44"/>
  <c r="AX76" i="44"/>
  <c r="AY58" i="45"/>
  <c r="AY59" i="45" s="1"/>
  <c r="AY24" i="45"/>
  <c r="AY51" i="45" s="1"/>
  <c r="M35" i="17"/>
  <c r="M8" i="17"/>
  <c r="I8" i="17"/>
  <c r="J90" i="41"/>
  <c r="K90" i="41" s="1"/>
  <c r="I40" i="18"/>
  <c r="L40" i="17"/>
  <c r="Q22" i="18"/>
  <c r="Q25" i="18"/>
  <c r="K17" i="20"/>
  <c r="K15" i="20"/>
  <c r="K13" i="20"/>
  <c r="AW76" i="44"/>
  <c r="F74" i="44"/>
  <c r="F76" i="44" s="1"/>
  <c r="J35" i="18"/>
  <c r="J8" i="18"/>
  <c r="BE84" i="46" l="1"/>
  <c r="BE68" i="46"/>
  <c r="BH14" i="46"/>
  <c r="I63" i="45"/>
  <c r="BI69" i="45"/>
  <c r="BH53" i="46"/>
  <c r="J63" i="45"/>
  <c r="K33" i="45"/>
  <c r="H46" i="48"/>
  <c r="M55" i="48"/>
  <c r="I65" i="41"/>
  <c r="I63" i="41"/>
  <c r="BH111" i="39"/>
  <c r="BG67" i="39"/>
  <c r="BH68" i="39"/>
  <c r="BI109" i="39"/>
  <c r="BH113" i="39"/>
  <c r="BB70" i="46"/>
  <c r="BC84" i="46"/>
  <c r="BC68" i="46"/>
  <c r="BG70" i="46" s="1"/>
  <c r="K58" i="48"/>
  <c r="K60" i="48" s="1"/>
  <c r="K50" i="48"/>
  <c r="K98" i="44"/>
  <c r="J36" i="44"/>
  <c r="J82" i="41"/>
  <c r="J38" i="41" s="1"/>
  <c r="P56" i="43"/>
  <c r="P55" i="43"/>
  <c r="P40" i="46"/>
  <c r="O43" i="46"/>
  <c r="O63" i="46"/>
  <c r="N15" i="39"/>
  <c r="O12" i="39"/>
  <c r="N25" i="39"/>
  <c r="M31" i="39"/>
  <c r="M52" i="39"/>
  <c r="M55" i="39" s="1"/>
  <c r="M37" i="39"/>
  <c r="M40" i="39" s="1"/>
  <c r="O19" i="39"/>
  <c r="P16" i="39"/>
  <c r="P19" i="39" s="1"/>
  <c r="L90" i="41"/>
  <c r="K91" i="41"/>
  <c r="L40" i="41"/>
  <c r="M97" i="41"/>
  <c r="L99" i="41"/>
  <c r="K87" i="41"/>
  <c r="K10" i="41" s="1"/>
  <c r="N120" i="44"/>
  <c r="O78" i="44"/>
  <c r="N79" i="44"/>
  <c r="O114" i="39"/>
  <c r="K38" i="44"/>
  <c r="L113" i="44"/>
  <c r="K115" i="44"/>
  <c r="P44" i="44"/>
  <c r="P112" i="39"/>
  <c r="P72" i="39" s="1"/>
  <c r="P73" i="39"/>
  <c r="M37" i="44"/>
  <c r="N111" i="44"/>
  <c r="P100" i="41"/>
  <c r="P45" i="41"/>
  <c r="O95" i="41"/>
  <c r="N39" i="41"/>
  <c r="AG13" i="20"/>
  <c r="AG15" i="20"/>
  <c r="AG17" i="20"/>
  <c r="H63" i="41"/>
  <c r="H65" i="41"/>
  <c r="AZ74" i="44"/>
  <c r="BA74" i="44" s="1"/>
  <c r="BA76" i="44" s="1"/>
  <c r="AY76" i="44"/>
  <c r="J91" i="41"/>
  <c r="J87" i="41"/>
  <c r="J38" i="18"/>
  <c r="K30" i="18"/>
  <c r="J37" i="18"/>
  <c r="M38" i="17"/>
  <c r="N30" i="17"/>
  <c r="M37" i="17"/>
  <c r="Q15" i="18"/>
  <c r="BE70" i="46" l="1"/>
  <c r="BI14" i="46"/>
  <c r="I14" i="46" s="1"/>
  <c r="L33" i="45"/>
  <c r="K63" i="45"/>
  <c r="BI40" i="43"/>
  <c r="I69" i="45"/>
  <c r="I70" i="45" s="1"/>
  <c r="J70" i="45" s="1"/>
  <c r="K70" i="45" s="1"/>
  <c r="L70" i="45" s="1"/>
  <c r="M70" i="45" s="1"/>
  <c r="N70" i="45" s="1"/>
  <c r="O70" i="45" s="1"/>
  <c r="P70" i="45" s="1"/>
  <c r="J65" i="41"/>
  <c r="K65" i="41" s="1"/>
  <c r="I109" i="39"/>
  <c r="J109" i="39" s="1"/>
  <c r="BI68" i="39"/>
  <c r="I68" i="39" s="1"/>
  <c r="H89" i="39"/>
  <c r="H92" i="39" s="1"/>
  <c r="BF91" i="39"/>
  <c r="BI92" i="39"/>
  <c r="BI90" i="39"/>
  <c r="BH67" i="39"/>
  <c r="BI111" i="39"/>
  <c r="BI113" i="39" s="1"/>
  <c r="BC70" i="46"/>
  <c r="L50" i="48"/>
  <c r="K88" i="41"/>
  <c r="K82" i="41"/>
  <c r="K38" i="41" s="1"/>
  <c r="K36" i="44"/>
  <c r="L98" i="44"/>
  <c r="N55" i="48"/>
  <c r="P114" i="39"/>
  <c r="P43" i="46"/>
  <c r="P63" i="46"/>
  <c r="N31" i="39"/>
  <c r="N37" i="39"/>
  <c r="N40" i="39" s="1"/>
  <c r="N52" i="39"/>
  <c r="N55" i="39" s="1"/>
  <c r="O15" i="39"/>
  <c r="P12" i="39"/>
  <c r="O25" i="39"/>
  <c r="L65" i="41"/>
  <c r="M65" i="41" s="1"/>
  <c r="N65" i="41" s="1"/>
  <c r="O65" i="41" s="1"/>
  <c r="P65" i="41" s="1"/>
  <c r="M40" i="41"/>
  <c r="N97" i="41"/>
  <c r="M99" i="41"/>
  <c r="L91" i="41"/>
  <c r="M90" i="41"/>
  <c r="L87" i="41"/>
  <c r="P78" i="44"/>
  <c r="O79" i="44"/>
  <c r="O120" i="44"/>
  <c r="M113" i="44"/>
  <c r="L38" i="44"/>
  <c r="L115" i="44"/>
  <c r="N37" i="44"/>
  <c r="O111" i="44"/>
  <c r="O39" i="41"/>
  <c r="P95" i="41"/>
  <c r="AH15" i="20"/>
  <c r="AH17" i="20"/>
  <c r="AH13" i="20"/>
  <c r="J46" i="48"/>
  <c r="AZ76" i="44"/>
  <c r="Q24" i="18"/>
  <c r="Q28" i="18" s="1"/>
  <c r="M40" i="17"/>
  <c r="J40" i="18"/>
  <c r="N35" i="17"/>
  <c r="N8" i="17"/>
  <c r="K8" i="18"/>
  <c r="K35" i="18"/>
  <c r="J10" i="41"/>
  <c r="J88" i="41"/>
  <c r="BI53" i="46" l="1"/>
  <c r="I40" i="43"/>
  <c r="K69" i="45"/>
  <c r="K40" i="43" s="1"/>
  <c r="K53" i="46" s="1"/>
  <c r="J69" i="45"/>
  <c r="J40" i="43" s="1"/>
  <c r="J53" i="46" s="1"/>
  <c r="M33" i="45"/>
  <c r="L63" i="45"/>
  <c r="L69" i="45" s="1"/>
  <c r="L40" i="43" s="1"/>
  <c r="L53" i="46" s="1"/>
  <c r="O55" i="48"/>
  <c r="J62" i="41"/>
  <c r="K62" i="41" s="1"/>
  <c r="L62" i="41" s="1"/>
  <c r="H90" i="39"/>
  <c r="I90" i="39"/>
  <c r="I92" i="39"/>
  <c r="BI67" i="39"/>
  <c r="I67" i="39" s="1"/>
  <c r="I111" i="39"/>
  <c r="J68" i="39"/>
  <c r="K109" i="39"/>
  <c r="L58" i="48"/>
  <c r="L60" i="48" s="1"/>
  <c r="M87" i="41"/>
  <c r="M10" i="41" s="1"/>
  <c r="M98" i="44"/>
  <c r="L36" i="44"/>
  <c r="L82" i="41"/>
  <c r="L38" i="41" s="1"/>
  <c r="O37" i="39"/>
  <c r="O40" i="39" s="1"/>
  <c r="O52" i="39"/>
  <c r="O55" i="39" s="1"/>
  <c r="O31" i="39"/>
  <c r="P15" i="39"/>
  <c r="P25" i="39"/>
  <c r="L10" i="41"/>
  <c r="L88" i="41"/>
  <c r="O97" i="41"/>
  <c r="N40" i="41"/>
  <c r="N99" i="41"/>
  <c r="N90" i="41"/>
  <c r="M91" i="41"/>
  <c r="P79" i="44"/>
  <c r="P120" i="44"/>
  <c r="M38" i="44"/>
  <c r="N113" i="44"/>
  <c r="M115" i="44"/>
  <c r="P39" i="41"/>
  <c r="O37" i="44"/>
  <c r="P111" i="44"/>
  <c r="K46" i="48"/>
  <c r="Q22" i="17"/>
  <c r="AI15" i="20"/>
  <c r="AI17" i="20"/>
  <c r="AI13" i="20"/>
  <c r="J89" i="39"/>
  <c r="G74" i="44"/>
  <c r="H74" i="44"/>
  <c r="K38" i="18"/>
  <c r="L30" i="18"/>
  <c r="K37" i="18"/>
  <c r="Q16" i="20"/>
  <c r="Q12" i="20"/>
  <c r="Q14" i="20"/>
  <c r="R25" i="18"/>
  <c r="R22" i="18"/>
  <c r="N38" i="17"/>
  <c r="N37" i="17"/>
  <c r="N33" i="45" l="1"/>
  <c r="M63" i="45"/>
  <c r="M69" i="45" s="1"/>
  <c r="M40" i="43" s="1"/>
  <c r="M53" i="46" s="1"/>
  <c r="J63" i="41"/>
  <c r="K63" i="41"/>
  <c r="K89" i="39"/>
  <c r="K92" i="39" s="1"/>
  <c r="I113" i="39"/>
  <c r="J111" i="39"/>
  <c r="K68" i="39"/>
  <c r="L109" i="39"/>
  <c r="M50" i="48"/>
  <c r="M88" i="41"/>
  <c r="N87" i="41"/>
  <c r="N88" i="41" s="1"/>
  <c r="N98" i="44"/>
  <c r="M36" i="44"/>
  <c r="M82" i="41"/>
  <c r="M38" i="41" s="1"/>
  <c r="P37" i="39"/>
  <c r="P40" i="39" s="1"/>
  <c r="P52" i="39"/>
  <c r="P55" i="39" s="1"/>
  <c r="P31" i="39"/>
  <c r="L63" i="41"/>
  <c r="M62" i="41"/>
  <c r="L89" i="39"/>
  <c r="O40" i="41"/>
  <c r="P97" i="41"/>
  <c r="O99" i="41"/>
  <c r="N91" i="41"/>
  <c r="O90" i="41"/>
  <c r="O113" i="44"/>
  <c r="N38" i="44"/>
  <c r="N115" i="44"/>
  <c r="P37" i="44"/>
  <c r="L46" i="48"/>
  <c r="Q25" i="17"/>
  <c r="F17" i="20"/>
  <c r="F15" i="20"/>
  <c r="F13" i="20"/>
  <c r="AJ13" i="20"/>
  <c r="AJ17" i="20"/>
  <c r="AJ15" i="20"/>
  <c r="J91" i="39"/>
  <c r="J90" i="39"/>
  <c r="J92" i="39"/>
  <c r="L17" i="20"/>
  <c r="L13" i="20"/>
  <c r="L15" i="20"/>
  <c r="L35" i="18"/>
  <c r="L8" i="18"/>
  <c r="Q15" i="17"/>
  <c r="R15" i="18"/>
  <c r="N40" i="17"/>
  <c r="K40" i="18"/>
  <c r="K90" i="39" l="1"/>
  <c r="K91" i="39"/>
  <c r="N63" i="45"/>
  <c r="N69" i="45" s="1"/>
  <c r="N40" i="43" s="1"/>
  <c r="N53" i="46" s="1"/>
  <c r="O33" i="45"/>
  <c r="L68" i="39"/>
  <c r="M109" i="39"/>
  <c r="K111" i="39"/>
  <c r="J67" i="39"/>
  <c r="J113" i="39"/>
  <c r="P55" i="48"/>
  <c r="M58" i="48"/>
  <c r="M60" i="48" s="1"/>
  <c r="N10" i="41"/>
  <c r="O98" i="44"/>
  <c r="N82" i="41"/>
  <c r="N38" i="41" s="1"/>
  <c r="N36" i="44"/>
  <c r="O91" i="41"/>
  <c r="P90" i="41"/>
  <c r="O87" i="41"/>
  <c r="L90" i="39"/>
  <c r="L91" i="39"/>
  <c r="L92" i="39"/>
  <c r="N62" i="41"/>
  <c r="M63" i="41"/>
  <c r="M89" i="39"/>
  <c r="P40" i="41"/>
  <c r="P99" i="41"/>
  <c r="O38" i="44"/>
  <c r="P113" i="44"/>
  <c r="O115" i="44"/>
  <c r="AK13" i="20"/>
  <c r="AK17" i="20"/>
  <c r="AK15" i="20"/>
  <c r="L38" i="18"/>
  <c r="M30" i="18"/>
  <c r="L37" i="18"/>
  <c r="R24" i="18"/>
  <c r="R28" i="18" s="1"/>
  <c r="Q24" i="17"/>
  <c r="Q28" i="17" s="1"/>
  <c r="P33" i="45" l="1"/>
  <c r="P63" i="45" s="1"/>
  <c r="P69" i="45" s="1"/>
  <c r="P40" i="43" s="1"/>
  <c r="P53" i="46" s="1"/>
  <c r="O63" i="45"/>
  <c r="O69" i="45" s="1"/>
  <c r="O40" i="43" s="1"/>
  <c r="O53" i="46" s="1"/>
  <c r="K67" i="39"/>
  <c r="L111" i="39"/>
  <c r="K113" i="39"/>
  <c r="N109" i="39"/>
  <c r="M68" i="39"/>
  <c r="M46" i="48"/>
  <c r="N58" i="48"/>
  <c r="N60" i="48" s="1"/>
  <c r="N50" i="48"/>
  <c r="O82" i="41"/>
  <c r="O38" i="41" s="1"/>
  <c r="P98" i="44"/>
  <c r="O36" i="44"/>
  <c r="N63" i="41"/>
  <c r="O62" i="41"/>
  <c r="N89" i="39"/>
  <c r="O10" i="41"/>
  <c r="O88" i="41"/>
  <c r="M90" i="39"/>
  <c r="M92" i="39"/>
  <c r="M91" i="39"/>
  <c r="P91" i="41"/>
  <c r="P87" i="41"/>
  <c r="P38" i="44"/>
  <c r="P115" i="44"/>
  <c r="AL17" i="20"/>
  <c r="AL15" i="20"/>
  <c r="AL13" i="20"/>
  <c r="L40" i="18"/>
  <c r="S25" i="18"/>
  <c r="S22" i="18"/>
  <c r="M8" i="18"/>
  <c r="M35" i="18"/>
  <c r="R25" i="17"/>
  <c r="R22" i="17"/>
  <c r="N68" i="39" l="1"/>
  <c r="O109" i="39"/>
  <c r="M111" i="39"/>
  <c r="L67" i="39"/>
  <c r="L113" i="39"/>
  <c r="N46" i="48"/>
  <c r="O50" i="48"/>
  <c r="O58" i="48"/>
  <c r="O60" i="48" s="1"/>
  <c r="P36" i="44"/>
  <c r="P82" i="41"/>
  <c r="P38" i="41" s="1"/>
  <c r="N92" i="39"/>
  <c r="N91" i="39"/>
  <c r="N90" i="39"/>
  <c r="P88" i="41"/>
  <c r="P10" i="41"/>
  <c r="O63" i="41"/>
  <c r="P62" i="41"/>
  <c r="O89" i="39"/>
  <c r="AM13" i="20"/>
  <c r="AM17" i="20"/>
  <c r="AM15" i="20"/>
  <c r="R15" i="17"/>
  <c r="Q30" i="17"/>
  <c r="N30" i="18"/>
  <c r="M38" i="18"/>
  <c r="M37" i="18"/>
  <c r="S15" i="18"/>
  <c r="M67" i="39" l="1"/>
  <c r="N111" i="39"/>
  <c r="M113" i="39"/>
  <c r="P109" i="39"/>
  <c r="O68" i="39"/>
  <c r="P58" i="48"/>
  <c r="P60" i="48" s="1"/>
  <c r="O46" i="48"/>
  <c r="P50" i="48"/>
  <c r="O91" i="39"/>
  <c r="O92" i="39"/>
  <c r="O90" i="39"/>
  <c r="P63" i="41"/>
  <c r="P89" i="39"/>
  <c r="G13" i="20"/>
  <c r="G17" i="20"/>
  <c r="G15" i="20"/>
  <c r="AN15" i="20"/>
  <c r="AN17" i="20"/>
  <c r="AN13" i="20"/>
  <c r="M40" i="18"/>
  <c r="S24" i="18"/>
  <c r="S28" i="18" s="1"/>
  <c r="N35" i="18"/>
  <c r="N8" i="18"/>
  <c r="Q16" i="17"/>
  <c r="Q31" i="17"/>
  <c r="Q35" i="17" s="1"/>
  <c r="Q17" i="17"/>
  <c r="M17" i="20"/>
  <c r="M15" i="20"/>
  <c r="M13" i="20"/>
  <c r="R24" i="17"/>
  <c r="R28" i="17" s="1"/>
  <c r="P68" i="39" l="1"/>
  <c r="N67" i="39"/>
  <c r="O111" i="39"/>
  <c r="N113" i="39"/>
  <c r="P46" i="48"/>
  <c r="P92" i="39"/>
  <c r="P91" i="39"/>
  <c r="P90" i="39"/>
  <c r="AO13" i="20"/>
  <c r="AO17" i="20"/>
  <c r="AO15" i="20"/>
  <c r="S25" i="17"/>
  <c r="S22" i="17"/>
  <c r="R30" i="17"/>
  <c r="Q38" i="17"/>
  <c r="Q37" i="17"/>
  <c r="Q55" i="17"/>
  <c r="Q19" i="17"/>
  <c r="Q18" i="17"/>
  <c r="Q54" i="17" s="1"/>
  <c r="N38" i="18"/>
  <c r="N37" i="18"/>
  <c r="P111" i="39" l="1"/>
  <c r="O67" i="39"/>
  <c r="O113" i="39"/>
  <c r="AP17" i="20"/>
  <c r="AP13" i="20"/>
  <c r="AP15" i="20"/>
  <c r="N40" i="18"/>
  <c r="Q40" i="17"/>
  <c r="Q49" i="17" s="1"/>
  <c r="Q50" i="17" s="1"/>
  <c r="Q53" i="17"/>
  <c r="R31" i="17"/>
  <c r="R35" i="17" s="1"/>
  <c r="R16" i="17"/>
  <c r="R17" i="17"/>
  <c r="S15" i="17"/>
  <c r="P67" i="39" l="1"/>
  <c r="P113" i="39"/>
  <c r="AQ13" i="20"/>
  <c r="AQ15" i="20"/>
  <c r="AQ17" i="20"/>
  <c r="Q56" i="17"/>
  <c r="Q57" i="17" s="1"/>
  <c r="R55" i="17"/>
  <c r="R18" i="17"/>
  <c r="R54" i="17" s="1"/>
  <c r="R19" i="17"/>
  <c r="S24" i="17"/>
  <c r="S28" i="17" s="1"/>
  <c r="S30" i="17"/>
  <c r="R38" i="17"/>
  <c r="R37" i="17"/>
  <c r="H13" i="20" l="1"/>
  <c r="H15" i="20"/>
  <c r="H17" i="20"/>
  <c r="R40" i="17"/>
  <c r="R49" i="17" s="1"/>
  <c r="R50" i="17" s="1"/>
  <c r="R53" i="17"/>
  <c r="R56" i="17" s="1"/>
  <c r="N15" i="20"/>
  <c r="N17" i="20"/>
  <c r="N13" i="20"/>
  <c r="S16" i="17"/>
  <c r="S31" i="17"/>
  <c r="S35" i="17" s="1"/>
  <c r="T30" i="17" s="1"/>
  <c r="S17" i="17"/>
  <c r="T16" i="17" l="1"/>
  <c r="T31" i="17"/>
  <c r="T35" i="17" s="1"/>
  <c r="T17" i="17"/>
  <c r="S38" i="17"/>
  <c r="S37" i="17"/>
  <c r="S55" i="17"/>
  <c r="S19" i="17"/>
  <c r="S18" i="17"/>
  <c r="S54" i="17" s="1"/>
  <c r="R57" i="17"/>
  <c r="U30" i="17" l="1"/>
  <c r="T37" i="17"/>
  <c r="T38" i="17"/>
  <c r="T55" i="17"/>
  <c r="T19" i="17"/>
  <c r="T18" i="17"/>
  <c r="T54" i="17" s="1"/>
  <c r="S40" i="17"/>
  <c r="S49" i="17" s="1"/>
  <c r="S50" i="17" s="1"/>
  <c r="S53" i="17"/>
  <c r="S56" i="17" s="1"/>
  <c r="G44" i="45"/>
  <c r="Q30" i="18"/>
  <c r="T53" i="17" l="1"/>
  <c r="T56" i="17" s="1"/>
  <c r="T40" i="17"/>
  <c r="T49" i="17" s="1"/>
  <c r="T50" i="17" s="1"/>
  <c r="U16" i="17"/>
  <c r="U17" i="17"/>
  <c r="U31" i="17"/>
  <c r="U35" i="17" s="1"/>
  <c r="Q16" i="18"/>
  <c r="Q17" i="18"/>
  <c r="S57" i="17"/>
  <c r="T57" i="17" l="1"/>
  <c r="V30" i="17"/>
  <c r="U38" i="17"/>
  <c r="U37" i="17"/>
  <c r="U19" i="17"/>
  <c r="U18" i="17"/>
  <c r="U54" i="17" s="1"/>
  <c r="U55" i="17"/>
  <c r="O15" i="20"/>
  <c r="O17" i="20"/>
  <c r="O13" i="20"/>
  <c r="Q31" i="18"/>
  <c r="Q35" i="18" s="1"/>
  <c r="Q18" i="18"/>
  <c r="Q54" i="18" s="1"/>
  <c r="Q19" i="18"/>
  <c r="V16" i="17" l="1"/>
  <c r="V35" i="17"/>
  <c r="V31" i="17"/>
  <c r="V17" i="17"/>
  <c r="U40" i="17"/>
  <c r="U49" i="17" s="1"/>
  <c r="U50" i="17" s="1"/>
  <c r="U53" i="17"/>
  <c r="U56" i="17" s="1"/>
  <c r="H44" i="45"/>
  <c r="R30" i="18"/>
  <c r="Q38" i="18"/>
  <c r="Q37" i="18"/>
  <c r="W30" i="17" l="1"/>
  <c r="V38" i="17"/>
  <c r="V37" i="17"/>
  <c r="U57" i="17"/>
  <c r="V55" i="17"/>
  <c r="V18" i="17"/>
  <c r="V54" i="17" s="1"/>
  <c r="V19" i="17"/>
  <c r="R16" i="18"/>
  <c r="R17" i="18"/>
  <c r="Q53" i="18"/>
  <c r="Q40" i="18"/>
  <c r="Q49" i="18" s="1"/>
  <c r="W16" i="17" l="1"/>
  <c r="W35" i="17"/>
  <c r="W17" i="17"/>
  <c r="W31" i="17"/>
  <c r="V40" i="17"/>
  <c r="V49" i="17" s="1"/>
  <c r="V50" i="17" s="1"/>
  <c r="V53" i="17"/>
  <c r="V56" i="17" s="1"/>
  <c r="Q56" i="18"/>
  <c r="R31" i="18"/>
  <c r="R35" i="18" s="1"/>
  <c r="R18" i="18"/>
  <c r="R54" i="18" s="1"/>
  <c r="R19" i="18"/>
  <c r="Q50" i="18"/>
  <c r="X30" i="17" l="1"/>
  <c r="W38" i="17"/>
  <c r="W37" i="17"/>
  <c r="V57" i="17"/>
  <c r="W55" i="17"/>
  <c r="W19" i="17"/>
  <c r="W18" i="17"/>
  <c r="W54" i="17" s="1"/>
  <c r="R55" i="18"/>
  <c r="P15" i="20"/>
  <c r="P13" i="20"/>
  <c r="P17" i="20"/>
  <c r="S30" i="18"/>
  <c r="R38" i="18"/>
  <c r="R37" i="18"/>
  <c r="G34" i="45"/>
  <c r="G14" i="46"/>
  <c r="G35" i="45"/>
  <c r="G22" i="46"/>
  <c r="Q57" i="18"/>
  <c r="X16" i="17" l="1"/>
  <c r="X31" i="17"/>
  <c r="X35" i="17" s="1"/>
  <c r="X17" i="17"/>
  <c r="W53" i="17"/>
  <c r="W56" i="17" s="1"/>
  <c r="W40" i="17"/>
  <c r="W49" i="17" s="1"/>
  <c r="W50" i="17" s="1"/>
  <c r="W57" i="17" s="1"/>
  <c r="R40" i="18"/>
  <c r="R49" i="18" s="1"/>
  <c r="R53" i="18"/>
  <c r="S16" i="18"/>
  <c r="S17" i="18"/>
  <c r="X55" i="17" l="1"/>
  <c r="X19" i="17"/>
  <c r="X18" i="17"/>
  <c r="X54" i="17" s="1"/>
  <c r="Y30" i="17"/>
  <c r="X38" i="17"/>
  <c r="X37" i="17"/>
  <c r="H34" i="45"/>
  <c r="H14" i="46"/>
  <c r="H35" i="45"/>
  <c r="H22" i="46"/>
  <c r="S31" i="18"/>
  <c r="S35" i="18" s="1"/>
  <c r="S18" i="18"/>
  <c r="S54" i="18" s="1"/>
  <c r="S19" i="18"/>
  <c r="R50" i="18"/>
  <c r="R56" i="18"/>
  <c r="Y16" i="17" l="1"/>
  <c r="Y31" i="17"/>
  <c r="Y35" i="17" s="1"/>
  <c r="Y17" i="17"/>
  <c r="X40" i="17"/>
  <c r="X49" i="17" s="1"/>
  <c r="X50" i="17" s="1"/>
  <c r="X53" i="17"/>
  <c r="X56" i="17" s="1"/>
  <c r="S55" i="18"/>
  <c r="S38" i="18"/>
  <c r="S37" i="18"/>
  <c r="R57" i="18"/>
  <c r="X57" i="17" l="1"/>
  <c r="Y38" i="17"/>
  <c r="Y37" i="17"/>
  <c r="Y55" i="17"/>
  <c r="Y18" i="17"/>
  <c r="Y54" i="17" s="1"/>
  <c r="Y19" i="17"/>
  <c r="Q13" i="20"/>
  <c r="Q15" i="20"/>
  <c r="Q17" i="20"/>
  <c r="J44" i="45"/>
  <c r="K44" i="45" s="1"/>
  <c r="L44" i="45" s="1"/>
  <c r="M44" i="45" s="1"/>
  <c r="N44" i="45" s="1"/>
  <c r="O44" i="45" s="1"/>
  <c r="P44" i="45" s="1"/>
  <c r="S53" i="18"/>
  <c r="S40" i="18"/>
  <c r="S49" i="18" l="1"/>
  <c r="T49" i="18"/>
  <c r="T50" i="18" s="1"/>
  <c r="T57" i="18" s="1"/>
  <c r="Y53" i="17"/>
  <c r="Y56" i="17" s="1"/>
  <c r="Y40" i="17"/>
  <c r="Y49" i="17" s="1"/>
  <c r="Y50" i="17" s="1"/>
  <c r="S50" i="18"/>
  <c r="S56" i="18"/>
  <c r="Y57" i="17" l="1"/>
  <c r="K35" i="45"/>
  <c r="S57" i="18"/>
  <c r="K14" i="46" l="1"/>
  <c r="L35" i="45"/>
  <c r="K22" i="46"/>
  <c r="M35" i="45" l="1"/>
  <c r="L22" i="46"/>
  <c r="L14" i="46"/>
  <c r="M14" i="46" l="1"/>
  <c r="N35" i="45"/>
  <c r="M22" i="46"/>
  <c r="O35" i="45" l="1"/>
  <c r="N22" i="46"/>
  <c r="N14" i="46"/>
  <c r="Q18" i="20"/>
  <c r="P14" i="46" l="1"/>
  <c r="O14" i="46"/>
  <c r="P35" i="45"/>
  <c r="P22" i="46" s="1"/>
  <c r="O22" i="46"/>
  <c r="AX90" i="44" l="1"/>
  <c r="AX91" i="44" s="1"/>
  <c r="AX10" i="43"/>
  <c r="AX103" i="44" l="1"/>
  <c r="AX104" i="44" s="1"/>
  <c r="AX93" i="44"/>
  <c r="AX96" i="44" l="1"/>
  <c r="AX106" i="44"/>
  <c r="AX109" i="44" s="1"/>
  <c r="AX95" i="44"/>
  <c r="AX94" i="44"/>
  <c r="AX107" i="44" l="1"/>
  <c r="AX108" i="44"/>
  <c r="AX8" i="43" l="1"/>
  <c r="G52" i="39" l="1"/>
  <c r="H55" i="39" s="1"/>
  <c r="G53" i="39" l="1"/>
  <c r="G55" i="39"/>
  <c r="H27" i="48" l="1"/>
  <c r="BI70" i="46" l="1"/>
  <c r="H29" i="43" l="1"/>
  <c r="J31" i="48"/>
  <c r="J40" i="48" s="1"/>
  <c r="J27" i="48" l="1"/>
  <c r="K31" i="48" s="1"/>
  <c r="K40" i="48" s="1"/>
  <c r="K27" i="48" l="1"/>
  <c r="L31" i="48" s="1"/>
  <c r="L40" i="48" s="1"/>
  <c r="L27" i="48" l="1"/>
  <c r="M31" i="48" s="1"/>
  <c r="M40" i="48" s="1"/>
  <c r="M27" i="48" l="1"/>
  <c r="N31" i="48" s="1"/>
  <c r="N40" i="48" s="1"/>
  <c r="AX12" i="43" l="1"/>
  <c r="N27" i="48" l="1"/>
  <c r="O31" i="48" s="1"/>
  <c r="O40" i="48" s="1"/>
  <c r="O27" i="48" l="1"/>
  <c r="P31" i="48" s="1"/>
  <c r="P40" i="48" s="1"/>
  <c r="P27" i="48" l="1"/>
  <c r="AY90" i="44" l="1"/>
  <c r="AY103" i="44" s="1"/>
  <c r="AY104" i="44" s="1"/>
  <c r="AY10" i="43"/>
  <c r="AY106" i="44" l="1"/>
  <c r="AY107" i="44" s="1"/>
  <c r="AY91" i="44"/>
  <c r="AY93" i="44"/>
  <c r="AY108" i="44" l="1"/>
  <c r="AY109" i="44"/>
  <c r="AY95" i="44"/>
  <c r="AY94" i="44"/>
  <c r="AY96" i="44"/>
  <c r="AY8" i="43" l="1"/>
  <c r="AY12" i="43" l="1"/>
  <c r="G12" i="43" l="1"/>
  <c r="G72" i="44"/>
  <c r="G71" i="44"/>
  <c r="G130" i="44"/>
  <c r="G70" i="44" l="1"/>
  <c r="J71" i="44" l="1"/>
  <c r="G121" i="44"/>
  <c r="G122" i="44" s="1"/>
  <c r="K71" i="44" l="1"/>
  <c r="L71" i="44" l="1"/>
  <c r="H130" i="44"/>
  <c r="H70" i="44"/>
  <c r="J70" i="44" s="1"/>
  <c r="K70" i="44" s="1"/>
  <c r="G123" i="44"/>
  <c r="L70" i="44" l="1"/>
  <c r="M71" i="44"/>
  <c r="G125" i="44"/>
  <c r="G124" i="44" s="1"/>
  <c r="M70" i="44" l="1"/>
  <c r="N71" i="44"/>
  <c r="G127" i="44"/>
  <c r="G126" i="44" s="1"/>
  <c r="G170" i="44"/>
  <c r="N70" i="44" l="1"/>
  <c r="O71" i="44"/>
  <c r="G135" i="44"/>
  <c r="G171" i="44"/>
  <c r="O70" i="44" l="1"/>
  <c r="P71" i="44"/>
  <c r="G137" i="44"/>
  <c r="G136" i="44" s="1"/>
  <c r="G155" i="44"/>
  <c r="P70" i="44" l="1"/>
  <c r="G144" i="44"/>
  <c r="G172" i="44"/>
  <c r="G139" i="44"/>
  <c r="G146" i="44"/>
  <c r="G157" i="44"/>
  <c r="G152" i="44"/>
  <c r="G148" i="44" l="1"/>
  <c r="G174" i="44"/>
  <c r="G175" i="44" s="1"/>
  <c r="G154" i="44"/>
  <c r="G159" i="44"/>
  <c r="G9" i="44" l="1"/>
  <c r="G11" i="41"/>
  <c r="G9" i="39" l="1"/>
  <c r="G29" i="39" s="1"/>
  <c r="AZ90" i="44"/>
  <c r="AZ91" i="44" s="1"/>
  <c r="AZ103" i="44" l="1"/>
  <c r="AZ104" i="44" s="1"/>
  <c r="AZ93" i="44"/>
  <c r="AZ94" i="44" l="1"/>
  <c r="AZ106" i="44"/>
  <c r="AZ107" i="44" s="1"/>
  <c r="AZ95" i="44"/>
  <c r="AZ96" i="44"/>
  <c r="AZ108" i="44" l="1"/>
  <c r="AZ109" i="44"/>
  <c r="AZ8" i="45" l="1"/>
  <c r="AZ64" i="45" l="1"/>
  <c r="AZ65" i="45" s="1"/>
  <c r="AZ67" i="45" s="1"/>
  <c r="AZ12" i="45"/>
  <c r="AZ58" i="45" l="1"/>
  <c r="AZ59" i="45" s="1"/>
  <c r="AZ24" i="45"/>
  <c r="AZ51" i="45" s="1"/>
  <c r="G8" i="44" l="1"/>
  <c r="G10" i="44" s="1"/>
  <c r="G13" i="44"/>
  <c r="G16" i="44" s="1"/>
  <c r="G22" i="44"/>
  <c r="G25" i="44" s="1"/>
  <c r="G35" i="44"/>
  <c r="G39" i="44" s="1"/>
  <c r="G41" i="44"/>
  <c r="G45" i="44" s="1"/>
  <c r="G47" i="44"/>
  <c r="G50" i="44" s="1"/>
  <c r="G52" i="44"/>
  <c r="G59" i="44"/>
  <c r="G60" i="44" s="1"/>
  <c r="G67" i="44"/>
  <c r="G68" i="44"/>
  <c r="G83" i="44"/>
  <c r="G177" i="44"/>
  <c r="G178" i="44" s="1"/>
  <c r="G72" i="46"/>
  <c r="G84" i="44" l="1"/>
  <c r="G86" i="44" s="1"/>
  <c r="G53" i="44"/>
  <c r="G55" i="44" s="1"/>
  <c r="G62" i="44"/>
  <c r="G48" i="44"/>
  <c r="G140" i="44"/>
  <c r="G141" i="44" s="1"/>
  <c r="G131" i="44"/>
  <c r="G76" i="44"/>
  <c r="G11" i="44"/>
  <c r="G18" i="44"/>
  <c r="G23" i="44"/>
  <c r="G14" i="44"/>
  <c r="G73" i="46"/>
  <c r="G74" i="46"/>
  <c r="G75" i="46"/>
  <c r="G63" i="44"/>
  <c r="G65" i="44"/>
  <c r="G89" i="46" l="1"/>
  <c r="G19" i="44"/>
  <c r="G20" i="44"/>
  <c r="G29" i="44"/>
  <c r="G27" i="46"/>
  <c r="G33" i="46" s="1"/>
  <c r="AF36" i="47" l="1"/>
  <c r="G92" i="46"/>
  <c r="G30" i="44"/>
  <c r="G31" i="44"/>
  <c r="G52" i="46"/>
  <c r="BA90" i="44" l="1"/>
  <c r="G90" i="44" s="1"/>
  <c r="G49" i="39"/>
  <c r="G94" i="39"/>
  <c r="G8" i="41"/>
  <c r="G12" i="41" s="1"/>
  <c r="G9" i="41"/>
  <c r="G15" i="41"/>
  <c r="G18" i="41" s="1"/>
  <c r="G24" i="41"/>
  <c r="G27" i="41" s="1"/>
  <c r="G37" i="41"/>
  <c r="G41" i="41" s="1"/>
  <c r="G43" i="41"/>
  <c r="G47" i="41" s="1"/>
  <c r="G51" i="41"/>
  <c r="G52" i="41"/>
  <c r="G59" i="41"/>
  <c r="G54" i="41" s="1"/>
  <c r="G57" i="41" s="1"/>
  <c r="G60" i="41"/>
  <c r="G67" i="41"/>
  <c r="G74" i="41"/>
  <c r="G77" i="41" s="1"/>
  <c r="G80" i="41" s="1"/>
  <c r="G75" i="41"/>
  <c r="G10" i="43"/>
  <c r="G18" i="43"/>
  <c r="G30" i="43"/>
  <c r="BA93" i="44" l="1"/>
  <c r="BA91" i="44"/>
  <c r="BA103" i="44"/>
  <c r="G103" i="44" s="1"/>
  <c r="G106" i="44" s="1"/>
  <c r="G78" i="41"/>
  <c r="G68" i="41"/>
  <c r="G70" i="41" s="1"/>
  <c r="G28" i="43"/>
  <c r="G33" i="43" s="1"/>
  <c r="G15" i="45"/>
  <c r="G55" i="41"/>
  <c r="G66" i="39"/>
  <c r="G69" i="39" s="1"/>
  <c r="G57" i="39"/>
  <c r="G13" i="41"/>
  <c r="G16" i="41"/>
  <c r="G20" i="41"/>
  <c r="G25" i="41"/>
  <c r="G8" i="39"/>
  <c r="G101" i="39"/>
  <c r="G86" i="39"/>
  <c r="G95" i="39" s="1"/>
  <c r="G97" i="39" s="1"/>
  <c r="G34" i="39"/>
  <c r="G93" i="44"/>
  <c r="G91" i="44"/>
  <c r="G78" i="39"/>
  <c r="BA94" i="44" l="1"/>
  <c r="BA95" i="44"/>
  <c r="BA96" i="44"/>
  <c r="BA104" i="44"/>
  <c r="G104" i="44"/>
  <c r="BA106" i="44"/>
  <c r="G94" i="44"/>
  <c r="G96" i="44"/>
  <c r="G104" i="39"/>
  <c r="G102" i="39"/>
  <c r="G87" i="39"/>
  <c r="G28" i="39"/>
  <c r="G10" i="39"/>
  <c r="G35" i="39" s="1"/>
  <c r="G21" i="41"/>
  <c r="G22" i="41"/>
  <c r="G31" i="41"/>
  <c r="G79" i="39"/>
  <c r="G81" i="39"/>
  <c r="G42" i="39"/>
  <c r="G16" i="43"/>
  <c r="G21" i="43" s="1"/>
  <c r="G107" i="44"/>
  <c r="G109" i="44"/>
  <c r="G11" i="46"/>
  <c r="BA108" i="44" l="1"/>
  <c r="BA109" i="44"/>
  <c r="BA107" i="44"/>
  <c r="G32" i="41"/>
  <c r="G33" i="41"/>
  <c r="G105" i="39"/>
  <c r="G107" i="39"/>
  <c r="G16" i="45"/>
  <c r="G84" i="39"/>
  <c r="G82" i="39"/>
  <c r="G71" i="39"/>
  <c r="G74" i="39" s="1"/>
  <c r="G27" i="39"/>
  <c r="G30" i="39"/>
  <c r="G50" i="39"/>
  <c r="G32" i="39" l="1"/>
  <c r="G45" i="39"/>
  <c r="G58" i="39"/>
  <c r="G43" i="39"/>
  <c r="G14" i="45"/>
  <c r="G27" i="45"/>
  <c r="G20" i="46"/>
  <c r="G8" i="43"/>
  <c r="G47" i="39" l="1"/>
  <c r="G60" i="39"/>
  <c r="G46" i="39"/>
  <c r="G31" i="45"/>
  <c r="G38" i="45" s="1"/>
  <c r="G56" i="45"/>
  <c r="G61" i="39" l="1"/>
  <c r="G62" i="39"/>
  <c r="G13" i="43" l="1"/>
  <c r="AF32" i="47" l="1"/>
  <c r="AF37" i="47" s="1"/>
  <c r="G91" i="46"/>
  <c r="G34" i="43"/>
  <c r="G14" i="43"/>
  <c r="G22" i="43"/>
  <c r="G24" i="43"/>
  <c r="AF33" i="47" l="1"/>
  <c r="G25" i="43"/>
  <c r="G26" i="43"/>
  <c r="G36" i="43"/>
  <c r="AF34" i="47"/>
  <c r="AF35" i="47" s="1"/>
  <c r="G51" i="46" l="1"/>
  <c r="G9" i="45"/>
  <c r="G55" i="45" s="1"/>
  <c r="G38" i="43"/>
  <c r="G44" i="43"/>
  <c r="G37" i="43"/>
  <c r="G18" i="46" l="1"/>
  <c r="G56" i="46"/>
  <c r="G54" i="46" l="1"/>
  <c r="G46" i="43"/>
  <c r="G49" i="43" l="1"/>
  <c r="G53" i="43" s="1"/>
  <c r="G47" i="43"/>
  <c r="G60" i="43"/>
  <c r="G8" i="46"/>
  <c r="G25" i="46" s="1"/>
  <c r="G42" i="45" l="1"/>
  <c r="G47" i="45" s="1"/>
  <c r="G49" i="45" s="1"/>
  <c r="G61" i="43"/>
  <c r="AF31" i="47" s="1"/>
  <c r="AF30" i="47"/>
  <c r="G59" i="46"/>
  <c r="G45" i="46"/>
  <c r="G47" i="46" s="1"/>
  <c r="H46" i="46" s="1"/>
  <c r="AF39" i="47" l="1"/>
  <c r="G60" i="46"/>
  <c r="G64" i="46"/>
  <c r="AF38" i="47"/>
  <c r="BA8" i="45"/>
  <c r="BA64" i="45" l="1"/>
  <c r="BA65" i="45" s="1"/>
  <c r="BA67" i="45" s="1"/>
  <c r="BA12" i="45"/>
  <c r="G57" i="46"/>
  <c r="G8" i="45"/>
  <c r="G12" i="45" s="1"/>
  <c r="BA58" i="45" l="1"/>
  <c r="BA59" i="45" s="1"/>
  <c r="BA24" i="45"/>
  <c r="BA51" i="45" s="1"/>
  <c r="G58" i="45"/>
  <c r="G59" i="45" s="1"/>
  <c r="G24" i="45"/>
  <c r="G51" i="45" s="1"/>
  <c r="G64" i="45"/>
  <c r="G65" i="45" s="1"/>
  <c r="G67" i="45" s="1"/>
  <c r="H52" i="46" l="1"/>
  <c r="BB90" i="44" l="1"/>
  <c r="BB103" i="44" s="1"/>
  <c r="BB104" i="44" s="1"/>
  <c r="BB10" i="43"/>
  <c r="BB106" i="44" l="1"/>
  <c r="BB91" i="44"/>
  <c r="BB93" i="44"/>
  <c r="BB96" i="44" l="1"/>
  <c r="BB94" i="44"/>
  <c r="BB95" i="44"/>
  <c r="H15" i="45"/>
  <c r="BB109" i="44"/>
  <c r="BB107" i="44"/>
  <c r="BB108" i="44"/>
  <c r="BB8" i="43" l="1"/>
  <c r="BB12" i="43" s="1"/>
  <c r="H12" i="43" s="1"/>
  <c r="H51" i="46" l="1"/>
  <c r="H56" i="46" l="1"/>
  <c r="H54" i="46" l="1"/>
  <c r="H57" i="46" l="1"/>
  <c r="BB8" i="45"/>
  <c r="BB64" i="45" l="1"/>
  <c r="BB65" i="45" s="1"/>
  <c r="BB67" i="45" s="1"/>
  <c r="BB12" i="45"/>
  <c r="BB24" i="45" l="1"/>
  <c r="BB51" i="45" s="1"/>
  <c r="BB58" i="45"/>
  <c r="BB59" i="45" s="1"/>
  <c r="X50" i="47" l="1"/>
  <c r="Z50" i="47"/>
  <c r="BC90" i="44" l="1"/>
  <c r="BC103" i="44" s="1"/>
  <c r="BC93" i="44" l="1"/>
  <c r="BC91" i="44"/>
  <c r="BC104" i="44"/>
  <c r="BC106" i="44"/>
  <c r="BC96" i="44" l="1"/>
  <c r="BC94" i="44"/>
  <c r="BC95" i="44"/>
  <c r="BC108" i="44"/>
  <c r="BC107" i="44"/>
  <c r="BC109" i="44"/>
  <c r="BC8" i="45" l="1"/>
  <c r="BC64" i="45" l="1"/>
  <c r="BC65" i="45" s="1"/>
  <c r="BC67" i="45" s="1"/>
  <c r="BC12" i="45"/>
  <c r="BC58" i="45" l="1"/>
  <c r="BC59" i="45" s="1"/>
  <c r="BC24" i="45"/>
  <c r="BC51" i="45" s="1"/>
  <c r="H121" i="44" l="1"/>
  <c r="H122" i="44" s="1"/>
  <c r="H123" i="44" l="1"/>
  <c r="H125" i="44" l="1"/>
  <c r="H124" i="44" s="1"/>
  <c r="H127" i="44" l="1"/>
  <c r="H126" i="44" s="1"/>
  <c r="H170" i="44" l="1"/>
  <c r="H171" i="44" s="1"/>
  <c r="H135" i="44"/>
  <c r="H137" i="44" l="1"/>
  <c r="H144" i="44"/>
  <c r="H155" i="44"/>
  <c r="H139" i="44" l="1"/>
  <c r="H157" i="44"/>
  <c r="H172" i="44"/>
  <c r="H152" i="44"/>
  <c r="H136" i="44"/>
  <c r="H159" i="44" l="1"/>
  <c r="H154" i="44"/>
  <c r="H174" i="44"/>
  <c r="H148" i="44"/>
  <c r="H146" i="44"/>
  <c r="H175" i="44" l="1"/>
  <c r="H9" i="44"/>
  <c r="H11" i="41"/>
  <c r="H9" i="39" l="1"/>
  <c r="H29" i="39" s="1"/>
  <c r="BD90" i="44"/>
  <c r="BD93" i="44" s="1"/>
  <c r="BD103" i="44" l="1"/>
  <c r="BD96" i="44"/>
  <c r="BD94" i="44"/>
  <c r="BD95" i="44"/>
  <c r="BD91" i="44"/>
  <c r="BD104" i="44" l="1"/>
  <c r="BD106" i="44"/>
  <c r="BD107" i="44" l="1"/>
  <c r="BD109" i="44"/>
  <c r="BD108" i="44"/>
  <c r="BD8" i="45" l="1"/>
  <c r="BD64" i="45" l="1"/>
  <c r="BD65" i="45" s="1"/>
  <c r="BD67" i="45" s="1"/>
  <c r="BD12" i="45"/>
  <c r="BD24" i="45" l="1"/>
  <c r="BD51" i="45" s="1"/>
  <c r="BD58" i="45"/>
  <c r="BD59" i="45" l="1"/>
  <c r="I29" i="43"/>
  <c r="H77" i="46"/>
  <c r="I77" i="46"/>
  <c r="BD68" i="46"/>
  <c r="BD70" i="46" s="1"/>
  <c r="BD84" i="46"/>
  <c r="BH70" i="46" l="1"/>
  <c r="H82" i="46"/>
  <c r="H84" i="46" s="1"/>
  <c r="BF82" i="46"/>
  <c r="H68" i="46"/>
  <c r="I70" i="46" l="1"/>
  <c r="H70" i="46"/>
  <c r="BG82" i="46"/>
  <c r="BF84" i="46"/>
  <c r="BH82" i="46" l="1"/>
  <c r="BG84" i="46"/>
  <c r="BH84" i="46" l="1"/>
  <c r="BI82" i="46"/>
  <c r="BI84" i="46" l="1"/>
  <c r="I82" i="46"/>
  <c r="I84" i="46" s="1"/>
  <c r="Q7" i="20" l="1"/>
  <c r="Q9" i="20"/>
  <c r="Q10" i="20"/>
  <c r="Q30" i="20"/>
  <c r="X5" i="47" l="1"/>
  <c r="Z5" i="47"/>
  <c r="X6" i="47"/>
  <c r="Z6" i="47"/>
  <c r="X7" i="47"/>
  <c r="Z7" i="47"/>
  <c r="X8" i="47"/>
  <c r="Z8" i="47"/>
  <c r="X9" i="47"/>
  <c r="Z9" i="47"/>
  <c r="X10" i="47"/>
  <c r="Z10" i="47"/>
  <c r="X11" i="47"/>
  <c r="Z11" i="47"/>
  <c r="X12" i="47"/>
  <c r="Z12" i="47"/>
  <c r="X14" i="47"/>
  <c r="X15" i="47"/>
  <c r="X18" i="47"/>
  <c r="X19" i="47"/>
  <c r="X20" i="47"/>
  <c r="Z20" i="47"/>
  <c r="X39" i="47"/>
  <c r="Z39" i="47"/>
  <c r="X40" i="47"/>
  <c r="Z40" i="47"/>
  <c r="X41" i="47"/>
  <c r="Z41" i="47"/>
  <c r="X42" i="47"/>
  <c r="Z42" i="47"/>
  <c r="X44" i="47"/>
  <c r="Z44" i="47"/>
  <c r="X45" i="47"/>
  <c r="Z45" i="47"/>
  <c r="X46" i="47"/>
  <c r="Z46" i="47"/>
  <c r="X47" i="47"/>
  <c r="Z47" i="47"/>
  <c r="X49" i="47"/>
  <c r="Z49" i="47"/>
  <c r="X51" i="47"/>
  <c r="Z51" i="47"/>
  <c r="X52" i="47"/>
  <c r="Z52" i="47"/>
  <c r="X54" i="47"/>
  <c r="Z54" i="47"/>
  <c r="X55" i="47"/>
  <c r="Z55" i="47"/>
  <c r="X56" i="47"/>
  <c r="Z56" i="47"/>
  <c r="X57" i="47"/>
  <c r="Z57" i="47"/>
  <c r="H8" i="44"/>
  <c r="H10" i="44" s="1"/>
  <c r="H13" i="44"/>
  <c r="H16" i="44"/>
  <c r="H22" i="44"/>
  <c r="H25" i="44" s="1"/>
  <c r="H35" i="44"/>
  <c r="H39" i="44"/>
  <c r="H41" i="44"/>
  <c r="H45" i="44" s="1"/>
  <c r="H47" i="44"/>
  <c r="H48" i="44" s="1"/>
  <c r="H52" i="44"/>
  <c r="H59" i="44"/>
  <c r="H60" i="44"/>
  <c r="H67" i="44"/>
  <c r="H68" i="44"/>
  <c r="H83" i="44"/>
  <c r="H84" i="44" s="1"/>
  <c r="BF121" i="44"/>
  <c r="BF123" i="44"/>
  <c r="BF125" i="44" s="1"/>
  <c r="BF127" i="44" s="1"/>
  <c r="H131" i="44"/>
  <c r="H140" i="44"/>
  <c r="H141" i="44"/>
  <c r="H177" i="44"/>
  <c r="H178" i="44" s="1"/>
  <c r="H72" i="46"/>
  <c r="H75" i="46" s="1"/>
  <c r="H62" i="44" l="1"/>
  <c r="H53" i="44"/>
  <c r="H55" i="44" s="1"/>
  <c r="H50" i="44"/>
  <c r="H86" i="44"/>
  <c r="BF170" i="44"/>
  <c r="BF135" i="44"/>
  <c r="BF137" i="44" s="1"/>
  <c r="H76" i="44"/>
  <c r="H11" i="44"/>
  <c r="H18" i="44"/>
  <c r="H23" i="44"/>
  <c r="H14" i="44"/>
  <c r="H89" i="46"/>
  <c r="H74" i="46"/>
  <c r="H73" i="46"/>
  <c r="H65" i="44" l="1"/>
  <c r="H63" i="44"/>
  <c r="BF144" i="44"/>
  <c r="BF139" i="44"/>
  <c r="BF155" i="44"/>
  <c r="I155" i="44" s="1"/>
  <c r="BF172" i="44"/>
  <c r="BF174" i="44" s="1"/>
  <c r="BF152" i="44"/>
  <c r="H19" i="44"/>
  <c r="H20" i="44"/>
  <c r="H29" i="44"/>
  <c r="H92" i="46"/>
  <c r="AH23" i="47"/>
  <c r="BF154" i="44" l="1"/>
  <c r="I152" i="44"/>
  <c r="I144" i="44"/>
  <c r="BF175" i="44"/>
  <c r="BF146" i="44"/>
  <c r="BF157" i="44"/>
  <c r="I157" i="44" s="1"/>
  <c r="H31" i="44"/>
  <c r="H30" i="44"/>
  <c r="H27" i="46"/>
  <c r="H33" i="46" s="1"/>
  <c r="I146" i="44" l="1"/>
  <c r="BF148" i="44"/>
  <c r="I148" i="44" s="1"/>
  <c r="I154" i="44"/>
  <c r="BF159" i="44"/>
  <c r="I159" i="44" s="1"/>
  <c r="BE90" i="44" l="1"/>
  <c r="BE91" i="44" s="1"/>
  <c r="BE93" i="44"/>
  <c r="BF93" i="44" s="1"/>
  <c r="H34" i="39"/>
  <c r="H16" i="43"/>
  <c r="H78" i="39"/>
  <c r="H94" i="39"/>
  <c r="H101" i="39"/>
  <c r="H102" i="39" s="1"/>
  <c r="H8" i="41"/>
  <c r="H9" i="41"/>
  <c r="H15" i="41"/>
  <c r="H18" i="41" s="1"/>
  <c r="H24" i="41"/>
  <c r="H27" i="41" s="1"/>
  <c r="H37" i="41"/>
  <c r="H41" i="41" s="1"/>
  <c r="H43" i="41"/>
  <c r="H47" i="41"/>
  <c r="H51" i="41"/>
  <c r="H52" i="41"/>
  <c r="H59" i="41"/>
  <c r="H60" i="41"/>
  <c r="H67" i="41"/>
  <c r="H68" i="41" s="1"/>
  <c r="H70" i="41" s="1"/>
  <c r="H74" i="41"/>
  <c r="H75" i="41" s="1"/>
  <c r="BF77" i="41"/>
  <c r="BF78" i="41" s="1"/>
  <c r="H10" i="43"/>
  <c r="H18" i="43"/>
  <c r="H30" i="43"/>
  <c r="H28" i="43" l="1"/>
  <c r="H33" i="43" s="1"/>
  <c r="BE95" i="44"/>
  <c r="H77" i="41"/>
  <c r="BF80" i="41"/>
  <c r="BF79" i="41"/>
  <c r="H12" i="41"/>
  <c r="H20" i="41" s="1"/>
  <c r="BE103" i="44"/>
  <c r="H13" i="41"/>
  <c r="H16" i="41"/>
  <c r="H104" i="39"/>
  <c r="H54" i="41"/>
  <c r="H55" i="41" s="1"/>
  <c r="H79" i="39"/>
  <c r="H42" i="39"/>
  <c r="H71" i="39"/>
  <c r="H74" i="39" s="1"/>
  <c r="H66" i="39"/>
  <c r="H69" i="39" s="1"/>
  <c r="H86" i="39"/>
  <c r="H95" i="39" s="1"/>
  <c r="H97" i="39" s="1"/>
  <c r="H49" i="39"/>
  <c r="H87" i="39"/>
  <c r="BF90" i="44"/>
  <c r="BG93" i="44"/>
  <c r="BF96" i="44"/>
  <c r="BF94" i="44"/>
  <c r="H103" i="44"/>
  <c r="BE94" i="44"/>
  <c r="H90" i="44"/>
  <c r="BE96" i="44"/>
  <c r="H81" i="39" l="1"/>
  <c r="H84" i="39" s="1"/>
  <c r="H57" i="41"/>
  <c r="H25" i="41"/>
  <c r="BE104" i="44"/>
  <c r="BE106" i="44"/>
  <c r="H78" i="41"/>
  <c r="H80" i="41"/>
  <c r="H105" i="39"/>
  <c r="H107" i="39"/>
  <c r="H31" i="41"/>
  <c r="H21" i="41"/>
  <c r="H22" i="41"/>
  <c r="H104" i="44"/>
  <c r="H106" i="44"/>
  <c r="BG94" i="44"/>
  <c r="BG90" i="44"/>
  <c r="BH93" i="44"/>
  <c r="BG96" i="44"/>
  <c r="BG77" i="41"/>
  <c r="H57" i="39"/>
  <c r="H11" i="46"/>
  <c r="H91" i="44"/>
  <c r="H93" i="44"/>
  <c r="BF91" i="44"/>
  <c r="BF74" i="41"/>
  <c r="H8" i="39"/>
  <c r="H82" i="39" l="1"/>
  <c r="BE108" i="44"/>
  <c r="BF108" i="44" s="1"/>
  <c r="BE109" i="44"/>
  <c r="BE107" i="44"/>
  <c r="H32" i="41"/>
  <c r="H33" i="41"/>
  <c r="H107" i="44"/>
  <c r="H109" i="44"/>
  <c r="H10" i="39"/>
  <c r="H28" i="39"/>
  <c r="BH96" i="44"/>
  <c r="BH94" i="44"/>
  <c r="BH90" i="44"/>
  <c r="BI93" i="44"/>
  <c r="BH77" i="41"/>
  <c r="H16" i="45"/>
  <c r="BG91" i="44"/>
  <c r="BG74" i="41"/>
  <c r="BF9" i="41"/>
  <c r="I74" i="41"/>
  <c r="BF75" i="41"/>
  <c r="H94" i="44"/>
  <c r="H96" i="44"/>
  <c r="BG78" i="41"/>
  <c r="BG79" i="41"/>
  <c r="BG80" i="41"/>
  <c r="BF106" i="44" l="1"/>
  <c r="BG75" i="41"/>
  <c r="BG9" i="41"/>
  <c r="BI96" i="44"/>
  <c r="BI94" i="44"/>
  <c r="BI90" i="44"/>
  <c r="BI77" i="41"/>
  <c r="I77" i="41"/>
  <c r="I75" i="41"/>
  <c r="H14" i="45"/>
  <c r="BH91" i="44"/>
  <c r="BH74" i="41"/>
  <c r="I90" i="44"/>
  <c r="H30" i="39"/>
  <c r="H27" i="39"/>
  <c r="H35" i="39"/>
  <c r="H50" i="39"/>
  <c r="BH80" i="41"/>
  <c r="BH78" i="41"/>
  <c r="BH79" i="41"/>
  <c r="BG106" i="44" l="1"/>
  <c r="BF107" i="44"/>
  <c r="BF103" i="44"/>
  <c r="BF104" i="44" s="1"/>
  <c r="BF109" i="44"/>
  <c r="I78" i="41"/>
  <c r="I80" i="41"/>
  <c r="I91" i="44"/>
  <c r="I93" i="44"/>
  <c r="BH75" i="41"/>
  <c r="BH9" i="41"/>
  <c r="BI78" i="41"/>
  <c r="BI79" i="41"/>
  <c r="BI80" i="41"/>
  <c r="H45" i="39"/>
  <c r="H32" i="39"/>
  <c r="H43" i="39"/>
  <c r="H58" i="39"/>
  <c r="H8" i="43"/>
  <c r="BI91" i="44"/>
  <c r="BI74" i="41"/>
  <c r="BG103" i="44" l="1"/>
  <c r="BG104" i="44" s="1"/>
  <c r="BH106" i="44"/>
  <c r="BG107" i="44"/>
  <c r="BG109" i="44"/>
  <c r="J93" i="44"/>
  <c r="I94" i="44"/>
  <c r="I96" i="44"/>
  <c r="H47" i="39"/>
  <c r="H46" i="39"/>
  <c r="H60" i="39"/>
  <c r="BI75" i="41"/>
  <c r="BI9" i="41"/>
  <c r="I9" i="41" s="1"/>
  <c r="BH107" i="44" l="1"/>
  <c r="BH109" i="44"/>
  <c r="BH103" i="44"/>
  <c r="BH104" i="44" s="1"/>
  <c r="BI106" i="44"/>
  <c r="H61" i="39"/>
  <c r="H62" i="39"/>
  <c r="J90" i="44"/>
  <c r="K93" i="44"/>
  <c r="J96" i="44"/>
  <c r="J77" i="41"/>
  <c r="BI107" i="44" l="1"/>
  <c r="BI109" i="44"/>
  <c r="BI103" i="44"/>
  <c r="BI104" i="44" s="1"/>
  <c r="J91" i="44"/>
  <c r="J74" i="41"/>
  <c r="J78" i="41"/>
  <c r="J80" i="41"/>
  <c r="K90" i="44"/>
  <c r="L93" i="44"/>
  <c r="K96" i="44"/>
  <c r="K77" i="41"/>
  <c r="I103" i="44" l="1"/>
  <c r="K91" i="44"/>
  <c r="K74" i="41"/>
  <c r="K80" i="41"/>
  <c r="K78" i="41"/>
  <c r="J75" i="41"/>
  <c r="J9" i="41"/>
  <c r="L96" i="44"/>
  <c r="L90" i="44"/>
  <c r="M93" i="44"/>
  <c r="L77" i="41"/>
  <c r="I106" i="44" l="1"/>
  <c r="I104" i="44"/>
  <c r="L91" i="44"/>
  <c r="L74" i="41"/>
  <c r="L78" i="41"/>
  <c r="L80" i="41"/>
  <c r="K75" i="41"/>
  <c r="K9" i="41"/>
  <c r="N93" i="44"/>
  <c r="M96" i="44"/>
  <c r="M90" i="44"/>
  <c r="M77" i="41"/>
  <c r="I109" i="44" l="1"/>
  <c r="J106" i="44"/>
  <c r="I107" i="44"/>
  <c r="M91" i="44"/>
  <c r="M74" i="41"/>
  <c r="N90" i="44"/>
  <c r="O93" i="44"/>
  <c r="N96" i="44"/>
  <c r="N77" i="41"/>
  <c r="L75" i="41"/>
  <c r="L9" i="41"/>
  <c r="M78" i="41"/>
  <c r="M80" i="41"/>
  <c r="K106" i="44" l="1"/>
  <c r="J107" i="44"/>
  <c r="J103" i="44"/>
  <c r="J104" i="44" s="1"/>
  <c r="O90" i="44"/>
  <c r="P93" i="44"/>
  <c r="O96" i="44"/>
  <c r="O77" i="41"/>
  <c r="N91" i="44"/>
  <c r="N74" i="41"/>
  <c r="N78" i="41"/>
  <c r="N80" i="41"/>
  <c r="M9" i="41"/>
  <c r="M75" i="41"/>
  <c r="L106" i="44" l="1"/>
  <c r="K107" i="44"/>
  <c r="K103" i="44"/>
  <c r="K104" i="44" s="1"/>
  <c r="N75" i="41"/>
  <c r="N9" i="41"/>
  <c r="P96" i="44"/>
  <c r="P90" i="44"/>
  <c r="P77" i="41"/>
  <c r="O80" i="41"/>
  <c r="O78" i="41"/>
  <c r="O91" i="44"/>
  <c r="O74" i="41"/>
  <c r="L107" i="44" l="1"/>
  <c r="L103" i="44"/>
  <c r="L104" i="44" s="1"/>
  <c r="M106" i="44"/>
  <c r="P91" i="44"/>
  <c r="P74" i="41"/>
  <c r="P78" i="41"/>
  <c r="P80" i="41"/>
  <c r="O75" i="41"/>
  <c r="O9" i="41"/>
  <c r="N106" i="44" l="1"/>
  <c r="M107" i="44"/>
  <c r="M103" i="44"/>
  <c r="M104" i="44" s="1"/>
  <c r="P75" i="41"/>
  <c r="P9" i="41"/>
  <c r="N107" i="44" l="1"/>
  <c r="N103" i="44"/>
  <c r="N104" i="44" s="1"/>
  <c r="O106" i="44"/>
  <c r="O107" i="44" l="1"/>
  <c r="P106" i="44"/>
  <c r="O103" i="44"/>
  <c r="O104" i="44" s="1"/>
  <c r="P103" i="44" l="1"/>
  <c r="P104" i="44" s="1"/>
  <c r="P107" i="44"/>
  <c r="BE9" i="48"/>
  <c r="BE15" i="48"/>
  <c r="BE21" i="48"/>
  <c r="H17" i="43"/>
  <c r="H21" i="43" s="1"/>
  <c r="BE20" i="48" l="1"/>
  <c r="BE14" i="48"/>
  <c r="H27" i="45"/>
  <c r="H20" i="46"/>
  <c r="H9" i="45" l="1"/>
  <c r="H31" i="45"/>
  <c r="H38" i="45" s="1"/>
  <c r="H56" i="45"/>
  <c r="H18" i="46" l="1"/>
  <c r="H9" i="48"/>
  <c r="H9" i="43"/>
  <c r="H13" i="43" s="1"/>
  <c r="H34" i="43" l="1"/>
  <c r="H91" i="46"/>
  <c r="H14" i="43"/>
  <c r="AH17" i="47"/>
  <c r="H24" i="43"/>
  <c r="H22" i="43"/>
  <c r="H14" i="48"/>
  <c r="H15" i="48"/>
  <c r="H55" i="45"/>
  <c r="H46" i="43" l="1"/>
  <c r="H21" i="48"/>
  <c r="H20" i="48"/>
  <c r="AH18" i="47"/>
  <c r="AH24" i="47"/>
  <c r="H25" i="43"/>
  <c r="H36" i="43"/>
  <c r="H26" i="43"/>
  <c r="AH19" i="47"/>
  <c r="AH20" i="47" s="1"/>
  <c r="H37" i="43" l="1"/>
  <c r="H44" i="43"/>
  <c r="H38" i="43"/>
  <c r="AH21" i="47"/>
  <c r="AH22" i="47" s="1"/>
  <c r="H8" i="46" l="1"/>
  <c r="H25" i="46" s="1"/>
  <c r="H60" i="43"/>
  <c r="H49" i="43"/>
  <c r="H53" i="43" s="1"/>
  <c r="H47" i="43"/>
  <c r="H61" i="43" l="1"/>
  <c r="AH15" i="47"/>
  <c r="AH16" i="47" s="1"/>
  <c r="H42" i="45"/>
  <c r="H47" i="45" s="1"/>
  <c r="H49" i="45" s="1"/>
  <c r="H59" i="46"/>
  <c r="H45" i="46"/>
  <c r="H47" i="46" s="1"/>
  <c r="I46" i="46" s="1"/>
  <c r="H64" i="46" l="1"/>
  <c r="AH25" i="47"/>
  <c r="AH26" i="47" s="1"/>
  <c r="H60" i="46"/>
  <c r="BF46" i="46"/>
  <c r="BE8" i="45" s="1"/>
  <c r="BE64" i="45" l="1"/>
  <c r="BE65" i="45" s="1"/>
  <c r="BE67" i="45" s="1"/>
  <c r="BE12" i="45"/>
  <c r="H8" i="45"/>
  <c r="H12" i="45" s="1"/>
  <c r="BE58" i="45" l="1"/>
  <c r="BE59" i="45" s="1"/>
  <c r="BE24" i="45"/>
  <c r="BE51" i="45" s="1"/>
  <c r="H64" i="45"/>
  <c r="H65" i="45" s="1"/>
  <c r="H67" i="45" s="1"/>
  <c r="H58" i="45"/>
  <c r="H59" i="45" s="1"/>
  <c r="H24" i="45"/>
  <c r="H51" i="45" s="1"/>
  <c r="BF74" i="44"/>
  <c r="BG74" i="44" s="1"/>
  <c r="BG75" i="44"/>
  <c r="I75" i="44" l="1"/>
  <c r="J75" i="44" s="1"/>
  <c r="K75" i="44" s="1"/>
  <c r="L75" i="44" s="1"/>
  <c r="M75" i="44" s="1"/>
  <c r="N75" i="44" s="1"/>
  <c r="O75" i="44" s="1"/>
  <c r="P75" i="44" s="1"/>
  <c r="BH75" i="44"/>
  <c r="BH74" i="44" s="1"/>
  <c r="BI74" i="44" l="1"/>
  <c r="I74" i="44" l="1"/>
  <c r="J74" i="44" l="1"/>
  <c r="K74" i="44" l="1"/>
  <c r="L74" i="44" l="1"/>
  <c r="M74" i="44" l="1"/>
  <c r="N74" i="44" l="1"/>
  <c r="O74" i="44" l="1"/>
  <c r="P74" i="44" l="1"/>
  <c r="K90" i="46"/>
  <c r="L90" i="46" l="1"/>
  <c r="M90" i="46" l="1"/>
  <c r="N90" i="46" l="1"/>
  <c r="O90" i="46" l="1"/>
  <c r="P90" i="46" l="1"/>
  <c r="J27" i="46" l="1"/>
  <c r="K27" i="46"/>
  <c r="L27" i="46"/>
  <c r="M27" i="46"/>
  <c r="N27" i="46"/>
  <c r="O27" i="46"/>
  <c r="P27" i="46"/>
  <c r="J33" i="46"/>
  <c r="K33" i="46"/>
  <c r="L33" i="46"/>
  <c r="M33" i="46"/>
  <c r="N33" i="46"/>
  <c r="O33" i="46"/>
  <c r="P33" i="46"/>
  <c r="J52" i="46"/>
  <c r="K52" i="46"/>
  <c r="L52" i="46"/>
  <c r="M52" i="46"/>
  <c r="N52" i="46"/>
  <c r="O52" i="46"/>
  <c r="P52" i="46"/>
  <c r="K92" i="46"/>
  <c r="L92" i="46"/>
  <c r="M92" i="46"/>
  <c r="N92" i="46"/>
  <c r="O92" i="46"/>
  <c r="P92" i="46"/>
  <c r="I9" i="48"/>
  <c r="J9" i="48"/>
  <c r="K9" i="48"/>
  <c r="L9" i="48"/>
  <c r="M9" i="48"/>
  <c r="N9" i="48"/>
  <c r="O9" i="48"/>
  <c r="P9" i="48"/>
  <c r="BF9" i="48"/>
  <c r="BG9" i="48"/>
  <c r="BH9" i="48"/>
  <c r="BI9" i="48"/>
  <c r="I14" i="48"/>
  <c r="J14" i="48"/>
  <c r="K14" i="48"/>
  <c r="L14" i="48"/>
  <c r="M14" i="48"/>
  <c r="N14" i="48"/>
  <c r="O14" i="48"/>
  <c r="P14" i="48"/>
  <c r="BF14" i="48"/>
  <c r="BG14" i="48"/>
  <c r="BH14" i="48"/>
  <c r="BI14" i="48"/>
  <c r="I15" i="48"/>
  <c r="J15" i="48"/>
  <c r="K15" i="48"/>
  <c r="L15" i="48"/>
  <c r="M15" i="48"/>
  <c r="N15" i="48"/>
  <c r="O15" i="48"/>
  <c r="P15" i="48"/>
  <c r="BF15" i="48"/>
  <c r="BG15" i="48"/>
  <c r="BH15" i="48"/>
  <c r="BI15" i="48"/>
  <c r="I20" i="48"/>
  <c r="J20" i="48"/>
  <c r="K20" i="48"/>
  <c r="L20" i="48"/>
  <c r="M20" i="48"/>
  <c r="N20" i="48"/>
  <c r="O20" i="48"/>
  <c r="P20" i="48"/>
  <c r="BF20" i="48"/>
  <c r="BG20" i="48"/>
  <c r="BH20" i="48"/>
  <c r="BI20" i="48"/>
  <c r="I21" i="48"/>
  <c r="J21" i="48"/>
  <c r="K21" i="48"/>
  <c r="L21" i="48"/>
  <c r="M21" i="48"/>
  <c r="N21" i="48"/>
  <c r="O21" i="48"/>
  <c r="P21" i="48"/>
  <c r="BF21" i="48"/>
  <c r="BG21" i="48"/>
  <c r="BH21" i="48"/>
  <c r="BI21" i="48"/>
  <c r="I9" i="43"/>
  <c r="J9" i="43"/>
  <c r="K9" i="43"/>
  <c r="L9" i="43"/>
  <c r="M9" i="43"/>
  <c r="N9" i="43"/>
  <c r="O9" i="43"/>
  <c r="P9" i="43"/>
  <c r="BF9" i="43"/>
  <c r="BG9" i="43"/>
  <c r="BH9" i="43"/>
  <c r="BI9" i="43"/>
  <c r="I17" i="43"/>
  <c r="J17" i="43"/>
  <c r="K17" i="43"/>
  <c r="L17" i="43"/>
  <c r="M17" i="43"/>
  <c r="N17" i="43"/>
  <c r="O17" i="43"/>
  <c r="P17" i="43"/>
  <c r="BF17" i="43"/>
  <c r="BG17" i="43"/>
  <c r="BH17" i="43"/>
  <c r="BI17" i="43"/>
  <c r="J29" i="43"/>
  <c r="K29" i="43"/>
  <c r="L29" i="43"/>
  <c r="M29" i="43"/>
  <c r="N29" i="43"/>
  <c r="O29" i="43"/>
  <c r="P29" i="43"/>
  <c r="I8" i="44" l="1"/>
  <c r="J8" i="44"/>
  <c r="K8" i="44"/>
  <c r="L8" i="44"/>
  <c r="M8" i="44"/>
  <c r="N8" i="44"/>
  <c r="O8" i="44"/>
  <c r="P8" i="44"/>
  <c r="BF8" i="44"/>
  <c r="BG8" i="44"/>
  <c r="BH8" i="44"/>
  <c r="BI8" i="44"/>
  <c r="I9" i="44"/>
  <c r="J9" i="44"/>
  <c r="K9" i="44"/>
  <c r="L9" i="44"/>
  <c r="M9" i="44"/>
  <c r="N9" i="44"/>
  <c r="O9" i="44"/>
  <c r="P9" i="44"/>
  <c r="BF9" i="44"/>
  <c r="BG9" i="44"/>
  <c r="BH9" i="44"/>
  <c r="BI9" i="44"/>
  <c r="I10" i="44"/>
  <c r="J10" i="44"/>
  <c r="K10" i="44"/>
  <c r="L10" i="44"/>
  <c r="M10" i="44"/>
  <c r="N10" i="44"/>
  <c r="O10" i="44"/>
  <c r="P10" i="44"/>
  <c r="BF10" i="44"/>
  <c r="BG10" i="44"/>
  <c r="BH10" i="44"/>
  <c r="BI10" i="44"/>
  <c r="I11" i="44"/>
  <c r="J11" i="44"/>
  <c r="K11" i="44"/>
  <c r="L11" i="44"/>
  <c r="M11" i="44"/>
  <c r="N11" i="44"/>
  <c r="O11" i="44"/>
  <c r="P11" i="44"/>
  <c r="BF11" i="44"/>
  <c r="BG11" i="44"/>
  <c r="BH11" i="44"/>
  <c r="BI11" i="44"/>
  <c r="I13" i="44"/>
  <c r="J13" i="44"/>
  <c r="K13" i="44"/>
  <c r="L13" i="44"/>
  <c r="M13" i="44"/>
  <c r="N13" i="44"/>
  <c r="O13" i="44"/>
  <c r="P13" i="44"/>
  <c r="BF13" i="44"/>
  <c r="BG13" i="44"/>
  <c r="BH13" i="44"/>
  <c r="BI13" i="44"/>
  <c r="I14" i="44"/>
  <c r="J14" i="44"/>
  <c r="K14" i="44"/>
  <c r="L14" i="44"/>
  <c r="M14" i="44"/>
  <c r="N14" i="44"/>
  <c r="O14" i="44"/>
  <c r="P14" i="44"/>
  <c r="BF15" i="44"/>
  <c r="BG15" i="44"/>
  <c r="BH15" i="44"/>
  <c r="BI15" i="44"/>
  <c r="I16" i="44"/>
  <c r="J16" i="44"/>
  <c r="K16" i="44"/>
  <c r="L16" i="44"/>
  <c r="M16" i="44"/>
  <c r="N16" i="44"/>
  <c r="O16" i="44"/>
  <c r="P16" i="44"/>
  <c r="BF16" i="44"/>
  <c r="BG16" i="44"/>
  <c r="BH16" i="44"/>
  <c r="BI16" i="44"/>
  <c r="I18" i="44"/>
  <c r="J18" i="44"/>
  <c r="K18" i="44"/>
  <c r="L18" i="44"/>
  <c r="M18" i="44"/>
  <c r="N18" i="44"/>
  <c r="O18" i="44"/>
  <c r="P18" i="44"/>
  <c r="BF18" i="44"/>
  <c r="BG18" i="44"/>
  <c r="BH18" i="44"/>
  <c r="BI18" i="44"/>
  <c r="I19" i="44"/>
  <c r="J19" i="44"/>
  <c r="K19" i="44"/>
  <c r="L19" i="44"/>
  <c r="M19" i="44"/>
  <c r="N19" i="44"/>
  <c r="O19" i="44"/>
  <c r="P19" i="44"/>
  <c r="BF19" i="44"/>
  <c r="BG19" i="44"/>
  <c r="BH19" i="44"/>
  <c r="BI19" i="44"/>
  <c r="I20" i="44"/>
  <c r="J20" i="44"/>
  <c r="K20" i="44"/>
  <c r="L20" i="44"/>
  <c r="M20" i="44"/>
  <c r="N20" i="44"/>
  <c r="O20" i="44"/>
  <c r="P20" i="44"/>
  <c r="BF20" i="44"/>
  <c r="BG20" i="44"/>
  <c r="BH20" i="44"/>
  <c r="BI20" i="44"/>
  <c r="I22" i="44"/>
  <c r="J22" i="44"/>
  <c r="K22" i="44"/>
  <c r="L22" i="44"/>
  <c r="M22" i="44"/>
  <c r="N22" i="44"/>
  <c r="O22" i="44"/>
  <c r="P22" i="44"/>
  <c r="BF22" i="44"/>
  <c r="BG22" i="44"/>
  <c r="BH22" i="44"/>
  <c r="BI22" i="44"/>
  <c r="I23" i="44"/>
  <c r="J23" i="44"/>
  <c r="K23" i="44"/>
  <c r="L23" i="44"/>
  <c r="M23" i="44"/>
  <c r="N23" i="44"/>
  <c r="O23" i="44"/>
  <c r="P23" i="44"/>
  <c r="BF24" i="44"/>
  <c r="BG24" i="44"/>
  <c r="BH24" i="44"/>
  <c r="BI24" i="44"/>
  <c r="I25" i="44"/>
  <c r="J25" i="44"/>
  <c r="K25" i="44"/>
  <c r="L25" i="44"/>
  <c r="M25" i="44"/>
  <c r="N25" i="44"/>
  <c r="O25" i="44"/>
  <c r="P25" i="44"/>
  <c r="BF25" i="44"/>
  <c r="BG25" i="44"/>
  <c r="BH25" i="44"/>
  <c r="BI25" i="44"/>
  <c r="I29" i="44"/>
  <c r="J29" i="44"/>
  <c r="K29" i="44"/>
  <c r="L29" i="44"/>
  <c r="M29" i="44"/>
  <c r="N29" i="44"/>
  <c r="O29" i="44"/>
  <c r="P29" i="44"/>
  <c r="BF29" i="44"/>
  <c r="BG29" i="44"/>
  <c r="BH29" i="44"/>
  <c r="BI29" i="44"/>
  <c r="I30" i="44"/>
  <c r="J30" i="44"/>
  <c r="K30" i="44"/>
  <c r="L30" i="44"/>
  <c r="M30" i="44"/>
  <c r="N30" i="44"/>
  <c r="O30" i="44"/>
  <c r="P30" i="44"/>
  <c r="BF30" i="44"/>
  <c r="BG30" i="44"/>
  <c r="BH30" i="44"/>
  <c r="BI30" i="44"/>
  <c r="I31" i="44"/>
  <c r="J31" i="44"/>
  <c r="K31" i="44"/>
  <c r="L31" i="44"/>
  <c r="M31" i="44"/>
  <c r="N31" i="44"/>
  <c r="O31" i="44"/>
  <c r="P31" i="44"/>
  <c r="BF31" i="44"/>
  <c r="BG31" i="44"/>
  <c r="BH31" i="44"/>
  <c r="BI31" i="44"/>
  <c r="I35" i="44"/>
  <c r="J35" i="44"/>
  <c r="K35" i="44"/>
  <c r="L35" i="44"/>
  <c r="M35" i="44"/>
  <c r="N35" i="44"/>
  <c r="O35" i="44"/>
  <c r="P35" i="44"/>
  <c r="BF35" i="44"/>
  <c r="BG35" i="44"/>
  <c r="BH35" i="44"/>
  <c r="BI35" i="44"/>
  <c r="I39" i="44"/>
  <c r="J39" i="44"/>
  <c r="K39" i="44"/>
  <c r="L39" i="44"/>
  <c r="M39" i="44"/>
  <c r="N39" i="44"/>
  <c r="O39" i="44"/>
  <c r="P39" i="44"/>
  <c r="BF39" i="44"/>
  <c r="BG39" i="44"/>
  <c r="BH39" i="44"/>
  <c r="BI39" i="44"/>
  <c r="I41" i="44"/>
  <c r="J41" i="44"/>
  <c r="K41" i="44"/>
  <c r="L41" i="44"/>
  <c r="M41" i="44"/>
  <c r="N41" i="44"/>
  <c r="O41" i="44"/>
  <c r="P41" i="44"/>
  <c r="BF41" i="44"/>
  <c r="BG41" i="44"/>
  <c r="BH41" i="44"/>
  <c r="BI41" i="44"/>
  <c r="I45" i="44"/>
  <c r="J45" i="44"/>
  <c r="K45" i="44"/>
  <c r="L45" i="44"/>
  <c r="M45" i="44"/>
  <c r="N45" i="44"/>
  <c r="O45" i="44"/>
  <c r="P45" i="44"/>
  <c r="BF45" i="44"/>
  <c r="BG45" i="44"/>
  <c r="BH45" i="44"/>
  <c r="BI45" i="44"/>
  <c r="I47" i="44"/>
  <c r="J47" i="44"/>
  <c r="K47" i="44"/>
  <c r="L47" i="44"/>
  <c r="M47" i="44"/>
  <c r="N47" i="44"/>
  <c r="O47" i="44"/>
  <c r="P47" i="44"/>
  <c r="BF47" i="44"/>
  <c r="BG47" i="44"/>
  <c r="BH47" i="44"/>
  <c r="BI47" i="44"/>
  <c r="I48" i="44"/>
  <c r="J48" i="44"/>
  <c r="K48" i="44"/>
  <c r="L48" i="44"/>
  <c r="M48" i="44"/>
  <c r="N48" i="44"/>
  <c r="O48" i="44"/>
  <c r="P48" i="44"/>
  <c r="BF48" i="44"/>
  <c r="BG48" i="44"/>
  <c r="BH48" i="44"/>
  <c r="BI48" i="44"/>
  <c r="BF49" i="44"/>
  <c r="BG49" i="44"/>
  <c r="BH49" i="44"/>
  <c r="BI49" i="44"/>
  <c r="I50" i="44"/>
  <c r="J50" i="44"/>
  <c r="K50" i="44"/>
  <c r="L50" i="44"/>
  <c r="M50" i="44"/>
  <c r="N50" i="44"/>
  <c r="O50" i="44"/>
  <c r="P50" i="44"/>
  <c r="BF50" i="44"/>
  <c r="BG50" i="44"/>
  <c r="BH50" i="44"/>
  <c r="BI50" i="44"/>
  <c r="I52" i="44"/>
  <c r="J52" i="44"/>
  <c r="K52" i="44"/>
  <c r="L52" i="44"/>
  <c r="M52" i="44"/>
  <c r="N52" i="44"/>
  <c r="O52" i="44"/>
  <c r="P52" i="44"/>
  <c r="BF52" i="44"/>
  <c r="BG52" i="44"/>
  <c r="BH52" i="44"/>
  <c r="BI52" i="44"/>
  <c r="I53" i="44"/>
  <c r="J53" i="44"/>
  <c r="K53" i="44"/>
  <c r="L53" i="44"/>
  <c r="M53" i="44"/>
  <c r="N53" i="44"/>
  <c r="O53" i="44"/>
  <c r="P53" i="44"/>
  <c r="I55" i="44"/>
  <c r="I59" i="44"/>
  <c r="J59" i="44"/>
  <c r="K59" i="44"/>
  <c r="L59" i="44"/>
  <c r="M59" i="44"/>
  <c r="N59" i="44"/>
  <c r="O59" i="44"/>
  <c r="P59" i="44"/>
  <c r="BF59" i="44"/>
  <c r="BG59" i="44"/>
  <c r="BH59" i="44"/>
  <c r="BI59" i="44"/>
  <c r="I60" i="44"/>
  <c r="J60" i="44"/>
  <c r="K60" i="44"/>
  <c r="L60" i="44"/>
  <c r="M60" i="44"/>
  <c r="N60" i="44"/>
  <c r="O60" i="44"/>
  <c r="P60" i="44"/>
  <c r="BF60" i="44"/>
  <c r="BG60" i="44"/>
  <c r="BH60" i="44"/>
  <c r="BI60" i="44"/>
  <c r="I62" i="44"/>
  <c r="J62" i="44"/>
  <c r="K62" i="44"/>
  <c r="L62" i="44"/>
  <c r="M62" i="44"/>
  <c r="N62" i="44"/>
  <c r="O62" i="44"/>
  <c r="P62" i="44"/>
  <c r="I63" i="44"/>
  <c r="J63" i="44"/>
  <c r="K63" i="44"/>
  <c r="L63" i="44"/>
  <c r="M63" i="44"/>
  <c r="N63" i="44"/>
  <c r="O63" i="44"/>
  <c r="P63" i="44"/>
  <c r="I65" i="44"/>
  <c r="J65" i="44"/>
  <c r="K65" i="44"/>
  <c r="L65" i="44"/>
  <c r="M65" i="44"/>
  <c r="N65" i="44"/>
  <c r="O65" i="44"/>
  <c r="P65" i="44"/>
  <c r="I67" i="44"/>
  <c r="J67" i="44"/>
  <c r="K67" i="44"/>
  <c r="L67" i="44"/>
  <c r="M67" i="44"/>
  <c r="N67" i="44"/>
  <c r="O67" i="44"/>
  <c r="P67" i="44"/>
  <c r="BF67" i="44"/>
  <c r="BG67" i="44"/>
  <c r="BH67" i="44"/>
  <c r="BI67" i="44"/>
  <c r="I68" i="44"/>
  <c r="J68" i="44"/>
  <c r="K68" i="44"/>
  <c r="L68" i="44"/>
  <c r="M68" i="44"/>
  <c r="N68" i="44"/>
  <c r="O68" i="44"/>
  <c r="P68" i="44"/>
  <c r="BF68" i="44"/>
  <c r="BG68" i="44"/>
  <c r="BH68" i="44"/>
  <c r="BI68" i="44"/>
  <c r="I76" i="44"/>
  <c r="J76" i="44"/>
  <c r="K76" i="44"/>
  <c r="L76" i="44"/>
  <c r="M76" i="44"/>
  <c r="N76" i="44"/>
  <c r="O76" i="44"/>
  <c r="P76" i="44"/>
  <c r="BF76" i="44"/>
  <c r="BG76" i="44"/>
  <c r="BH76" i="44"/>
  <c r="BI76" i="44"/>
  <c r="I83" i="44"/>
  <c r="J83" i="44"/>
  <c r="K83" i="44"/>
  <c r="L83" i="44"/>
  <c r="M83" i="44"/>
  <c r="N83" i="44"/>
  <c r="O83" i="44"/>
  <c r="P83" i="44"/>
  <c r="BF83" i="44"/>
  <c r="BG83" i="44"/>
  <c r="BH83" i="44"/>
  <c r="BI83" i="44"/>
  <c r="I84" i="44"/>
  <c r="J84" i="44"/>
  <c r="K84" i="44"/>
  <c r="L84" i="44"/>
  <c r="M84" i="44"/>
  <c r="N84" i="44"/>
  <c r="O84" i="44"/>
  <c r="P84" i="44"/>
  <c r="I86" i="44"/>
  <c r="I121" i="44"/>
  <c r="J121" i="44"/>
  <c r="K121" i="44"/>
  <c r="L121" i="44"/>
  <c r="M121" i="44"/>
  <c r="N121" i="44"/>
  <c r="O121" i="44"/>
  <c r="P121" i="44"/>
  <c r="BG121" i="44"/>
  <c r="BH121" i="44"/>
  <c r="BI121" i="44"/>
  <c r="I122" i="44"/>
  <c r="J122" i="44"/>
  <c r="K122" i="44"/>
  <c r="L122" i="44"/>
  <c r="M122" i="44"/>
  <c r="N122" i="44"/>
  <c r="O122" i="44"/>
  <c r="P122" i="44"/>
  <c r="I123" i="44"/>
  <c r="J123" i="44"/>
  <c r="K123" i="44"/>
  <c r="L123" i="44"/>
  <c r="M123" i="44"/>
  <c r="N123" i="44"/>
  <c r="O123" i="44"/>
  <c r="P123" i="44"/>
  <c r="BG123" i="44"/>
  <c r="BH123" i="44"/>
  <c r="BI123" i="44"/>
  <c r="I124" i="44"/>
  <c r="J124" i="44"/>
  <c r="K124" i="44"/>
  <c r="L124" i="44"/>
  <c r="M124" i="44"/>
  <c r="N124" i="44"/>
  <c r="O124" i="44"/>
  <c r="P124" i="44"/>
  <c r="I125" i="44"/>
  <c r="J125" i="44"/>
  <c r="K125" i="44"/>
  <c r="L125" i="44"/>
  <c r="M125" i="44"/>
  <c r="N125" i="44"/>
  <c r="O125" i="44"/>
  <c r="P125" i="44"/>
  <c r="BG125" i="44"/>
  <c r="BH125" i="44"/>
  <c r="BI125" i="44"/>
  <c r="I126" i="44"/>
  <c r="J126" i="44"/>
  <c r="K126" i="44"/>
  <c r="L126" i="44"/>
  <c r="M126" i="44"/>
  <c r="N126" i="44"/>
  <c r="O126" i="44"/>
  <c r="P126" i="44"/>
  <c r="I127" i="44"/>
  <c r="J127" i="44"/>
  <c r="K127" i="44"/>
  <c r="L127" i="44"/>
  <c r="M127" i="44"/>
  <c r="N127" i="44"/>
  <c r="O127" i="44"/>
  <c r="P127" i="44"/>
  <c r="BG127" i="44"/>
  <c r="BH127" i="44"/>
  <c r="BI127" i="44"/>
  <c r="J130" i="44"/>
  <c r="K130" i="44"/>
  <c r="L130" i="44"/>
  <c r="M130" i="44"/>
  <c r="N130" i="44"/>
  <c r="O130" i="44"/>
  <c r="P130" i="44"/>
  <c r="I131" i="44"/>
  <c r="J131" i="44"/>
  <c r="K131" i="44"/>
  <c r="L131" i="44"/>
  <c r="M131" i="44"/>
  <c r="N131" i="44"/>
  <c r="O131" i="44"/>
  <c r="P131" i="44"/>
  <c r="I135" i="44"/>
  <c r="J135" i="44"/>
  <c r="K135" i="44"/>
  <c r="L135" i="44"/>
  <c r="M135" i="44"/>
  <c r="N135" i="44"/>
  <c r="O135" i="44"/>
  <c r="P135" i="44"/>
  <c r="BG135" i="44"/>
  <c r="BH135" i="44"/>
  <c r="BI135" i="44"/>
  <c r="I136" i="44"/>
  <c r="J136" i="44"/>
  <c r="K136" i="44"/>
  <c r="L136" i="44"/>
  <c r="M136" i="44"/>
  <c r="N136" i="44"/>
  <c r="O136" i="44"/>
  <c r="P136" i="44"/>
  <c r="I137" i="44"/>
  <c r="J137" i="44"/>
  <c r="K137" i="44"/>
  <c r="L137" i="44"/>
  <c r="M137" i="44"/>
  <c r="N137" i="44"/>
  <c r="O137" i="44"/>
  <c r="P137" i="44"/>
  <c r="BG137" i="44"/>
  <c r="BH137" i="44"/>
  <c r="BI137" i="44"/>
  <c r="I139" i="44"/>
  <c r="J139" i="44"/>
  <c r="K139" i="44"/>
  <c r="L139" i="44"/>
  <c r="M139" i="44"/>
  <c r="N139" i="44"/>
  <c r="O139" i="44"/>
  <c r="P139" i="44"/>
  <c r="BG139" i="44"/>
  <c r="BH139" i="44"/>
  <c r="BI139" i="44"/>
  <c r="I140" i="44"/>
  <c r="J140" i="44"/>
  <c r="K140" i="44"/>
  <c r="L140" i="44"/>
  <c r="M140" i="44"/>
  <c r="N140" i="44"/>
  <c r="O140" i="44"/>
  <c r="P140" i="44"/>
  <c r="BF140" i="44"/>
  <c r="BG140" i="44"/>
  <c r="BH140" i="44"/>
  <c r="BI140" i="44"/>
  <c r="I141" i="44"/>
  <c r="J141" i="44"/>
  <c r="K141" i="44"/>
  <c r="L141" i="44"/>
  <c r="M141" i="44"/>
  <c r="N141" i="44"/>
  <c r="O141" i="44"/>
  <c r="P141" i="44"/>
  <c r="BF141" i="44"/>
  <c r="BG141" i="44"/>
  <c r="BH141" i="44"/>
  <c r="BI141" i="44"/>
  <c r="J144" i="44"/>
  <c r="K144" i="44"/>
  <c r="L144" i="44"/>
  <c r="M144" i="44"/>
  <c r="N144" i="44"/>
  <c r="O144" i="44"/>
  <c r="P144" i="44"/>
  <c r="BG144" i="44"/>
  <c r="BH144" i="44"/>
  <c r="BI144" i="44"/>
  <c r="J146" i="44"/>
  <c r="K146" i="44"/>
  <c r="L146" i="44"/>
  <c r="M146" i="44"/>
  <c r="N146" i="44"/>
  <c r="O146" i="44"/>
  <c r="P146" i="44"/>
  <c r="BG146" i="44"/>
  <c r="BH146" i="44"/>
  <c r="BI146" i="44"/>
  <c r="J148" i="44"/>
  <c r="K148" i="44"/>
  <c r="L148" i="44"/>
  <c r="M148" i="44"/>
  <c r="N148" i="44"/>
  <c r="O148" i="44"/>
  <c r="P148" i="44"/>
  <c r="BG148" i="44"/>
  <c r="BH148" i="44"/>
  <c r="BI148" i="44"/>
  <c r="J152" i="44"/>
  <c r="K152" i="44"/>
  <c r="L152" i="44"/>
  <c r="M152" i="44"/>
  <c r="N152" i="44"/>
  <c r="O152" i="44"/>
  <c r="P152" i="44"/>
  <c r="BG152" i="44"/>
  <c r="BH152" i="44"/>
  <c r="BI152" i="44"/>
  <c r="J154" i="44"/>
  <c r="K154" i="44"/>
  <c r="L154" i="44"/>
  <c r="M154" i="44"/>
  <c r="N154" i="44"/>
  <c r="O154" i="44"/>
  <c r="P154" i="44"/>
  <c r="BG154" i="44"/>
  <c r="BH154" i="44"/>
  <c r="BI154" i="44"/>
  <c r="J155" i="44"/>
  <c r="K155" i="44"/>
  <c r="L155" i="44"/>
  <c r="M155" i="44"/>
  <c r="N155" i="44"/>
  <c r="O155" i="44"/>
  <c r="P155" i="44"/>
  <c r="BG155" i="44"/>
  <c r="BH155" i="44"/>
  <c r="BI155" i="44"/>
  <c r="J157" i="44"/>
  <c r="K157" i="44"/>
  <c r="L157" i="44"/>
  <c r="M157" i="44"/>
  <c r="N157" i="44"/>
  <c r="O157" i="44"/>
  <c r="P157" i="44"/>
  <c r="BG157" i="44"/>
  <c r="BH157" i="44"/>
  <c r="BI157" i="44"/>
  <c r="J159" i="44"/>
  <c r="K159" i="44"/>
  <c r="L159" i="44"/>
  <c r="M159" i="44"/>
  <c r="N159" i="44"/>
  <c r="O159" i="44"/>
  <c r="P159" i="44"/>
  <c r="BG159" i="44"/>
  <c r="BH159" i="44"/>
  <c r="BI159" i="44"/>
  <c r="I170" i="44"/>
  <c r="J170" i="44"/>
  <c r="K170" i="44"/>
  <c r="L170" i="44"/>
  <c r="M170" i="44"/>
  <c r="N170" i="44"/>
  <c r="O170" i="44"/>
  <c r="P170" i="44"/>
  <c r="BG170" i="44"/>
  <c r="BH170" i="44"/>
  <c r="BI170" i="44"/>
  <c r="I171" i="44"/>
  <c r="J171" i="44"/>
  <c r="K171" i="44"/>
  <c r="L171" i="44"/>
  <c r="M171" i="44"/>
  <c r="N171" i="44"/>
  <c r="O171" i="44"/>
  <c r="P171" i="44"/>
  <c r="I172" i="44"/>
  <c r="J172" i="44"/>
  <c r="K172" i="44"/>
  <c r="L172" i="44"/>
  <c r="M172" i="44"/>
  <c r="N172" i="44"/>
  <c r="O172" i="44"/>
  <c r="P172" i="44"/>
  <c r="BG172" i="44"/>
  <c r="BH172" i="44"/>
  <c r="BI172" i="44"/>
  <c r="I174" i="44"/>
  <c r="J174" i="44"/>
  <c r="K174" i="44"/>
  <c r="L174" i="44"/>
  <c r="M174" i="44"/>
  <c r="N174" i="44"/>
  <c r="O174" i="44"/>
  <c r="P174" i="44"/>
  <c r="BG174" i="44"/>
  <c r="BH174" i="44"/>
  <c r="BI174" i="44"/>
  <c r="I175" i="44"/>
  <c r="J175" i="44"/>
  <c r="K175" i="44"/>
  <c r="L175" i="44"/>
  <c r="M175" i="44"/>
  <c r="N175" i="44"/>
  <c r="O175" i="44"/>
  <c r="P175" i="44"/>
  <c r="BG175" i="44"/>
  <c r="BH175" i="44"/>
  <c r="BI175" i="44"/>
  <c r="I177" i="44"/>
  <c r="J177" i="44"/>
  <c r="K177" i="44"/>
  <c r="L177" i="44"/>
  <c r="M177" i="44"/>
  <c r="N177" i="44"/>
  <c r="O177" i="44"/>
  <c r="P177" i="44"/>
  <c r="BF177" i="44"/>
  <c r="BG177" i="44"/>
  <c r="BH177" i="44"/>
  <c r="BI177" i="44"/>
  <c r="I178" i="44"/>
  <c r="J178" i="44"/>
  <c r="K178" i="44"/>
  <c r="L178" i="44"/>
  <c r="M178" i="44"/>
  <c r="N178" i="44"/>
  <c r="O178" i="44"/>
  <c r="P178" i="44"/>
  <c r="BF178" i="44"/>
  <c r="BG178" i="44"/>
  <c r="BH178" i="44"/>
  <c r="BI178" i="44"/>
  <c r="I183" i="44"/>
  <c r="J183" i="44"/>
  <c r="K183" i="44"/>
  <c r="L183" i="44"/>
  <c r="M183" i="44"/>
  <c r="N183" i="44"/>
  <c r="O183" i="44"/>
  <c r="P183" i="44"/>
  <c r="BF183" i="44"/>
  <c r="BG183" i="44"/>
  <c r="BH183" i="44"/>
  <c r="BI183" i="44"/>
  <c r="J184" i="44"/>
  <c r="K184" i="44"/>
  <c r="L184" i="44"/>
  <c r="M184" i="44"/>
  <c r="N184" i="44"/>
  <c r="O184" i="44"/>
  <c r="P184" i="44"/>
  <c r="BF184" i="44"/>
  <c r="BG184" i="44"/>
  <c r="BH184" i="44"/>
  <c r="BI184" i="44"/>
  <c r="I185" i="44"/>
  <c r="J185" i="44"/>
  <c r="K185" i="44"/>
  <c r="L185" i="44"/>
  <c r="M185" i="44"/>
  <c r="N185" i="44"/>
  <c r="O185" i="44"/>
  <c r="P185" i="44"/>
  <c r="BG185" i="44"/>
  <c r="BH185" i="44"/>
  <c r="BI185" i="44"/>
  <c r="J186" i="44"/>
  <c r="K186" i="44"/>
  <c r="L186" i="44"/>
  <c r="M186" i="44"/>
  <c r="N186" i="44"/>
  <c r="O186" i="44"/>
  <c r="P186" i="44"/>
  <c r="BG186" i="44"/>
  <c r="BH186" i="44"/>
  <c r="BI186" i="44"/>
  <c r="J190" i="44"/>
  <c r="K190" i="44"/>
  <c r="L190" i="44"/>
  <c r="M190" i="44"/>
  <c r="N190" i="44"/>
  <c r="O190" i="44"/>
  <c r="P190" i="44"/>
  <c r="BF190" i="44"/>
  <c r="BG190" i="44"/>
  <c r="BH190" i="44"/>
  <c r="BI190" i="44"/>
  <c r="J191" i="44"/>
  <c r="K191" i="44"/>
  <c r="L191" i="44"/>
  <c r="M191" i="44"/>
  <c r="N191" i="44"/>
  <c r="O191" i="44"/>
  <c r="P191" i="44"/>
  <c r="BF191" i="44"/>
  <c r="BG191" i="44"/>
  <c r="BH191" i="44"/>
  <c r="BI191" i="44"/>
  <c r="J192" i="44"/>
  <c r="K192" i="44"/>
  <c r="L192" i="44"/>
  <c r="M192" i="44"/>
  <c r="N192" i="44"/>
  <c r="O192" i="44"/>
  <c r="P192" i="44"/>
  <c r="BF192" i="44"/>
  <c r="BG192" i="44"/>
  <c r="BH192" i="44"/>
  <c r="BI192" i="44"/>
  <c r="J193" i="44"/>
  <c r="K193" i="44"/>
  <c r="L193" i="44"/>
  <c r="M193" i="44"/>
  <c r="N193" i="44"/>
  <c r="O193" i="44"/>
  <c r="P193" i="44"/>
  <c r="BF193" i="44"/>
  <c r="BG193" i="44"/>
  <c r="BH193" i="44"/>
  <c r="BI193" i="44"/>
  <c r="I8" i="45"/>
  <c r="J8" i="45"/>
  <c r="K8" i="45"/>
  <c r="L8" i="45"/>
  <c r="M8" i="45"/>
  <c r="N8" i="45"/>
  <c r="O8" i="45"/>
  <c r="P8" i="45"/>
  <c r="BF8" i="45"/>
  <c r="BG8" i="45"/>
  <c r="BH8" i="45"/>
  <c r="BI8" i="45"/>
  <c r="I9" i="45"/>
  <c r="J9" i="45"/>
  <c r="K9" i="45"/>
  <c r="L9" i="45"/>
  <c r="M9" i="45"/>
  <c r="N9" i="45"/>
  <c r="O9" i="45"/>
  <c r="P9" i="45"/>
  <c r="BF9" i="45"/>
  <c r="BG9" i="45"/>
  <c r="BH9" i="45"/>
  <c r="BI9" i="45"/>
  <c r="I12" i="45"/>
  <c r="J12" i="45"/>
  <c r="K12" i="45"/>
  <c r="L12" i="45"/>
  <c r="M12" i="45"/>
  <c r="N12" i="45"/>
  <c r="O12" i="45"/>
  <c r="P12" i="45"/>
  <c r="BF12" i="45"/>
  <c r="BG12" i="45"/>
  <c r="BH12" i="45"/>
  <c r="BI12" i="45"/>
  <c r="I14" i="45"/>
  <c r="J14" i="45"/>
  <c r="K14" i="45"/>
  <c r="L14" i="45"/>
  <c r="M14" i="45"/>
  <c r="N14" i="45"/>
  <c r="O14" i="45"/>
  <c r="P14" i="45"/>
  <c r="BF14" i="45"/>
  <c r="BG14" i="45"/>
  <c r="BH14" i="45"/>
  <c r="BI14" i="45"/>
  <c r="J15" i="45"/>
  <c r="K15" i="45"/>
  <c r="L15" i="45"/>
  <c r="M15" i="45"/>
  <c r="N15" i="45"/>
  <c r="O15" i="45"/>
  <c r="P15" i="45"/>
  <c r="BF15" i="45"/>
  <c r="BG15" i="45"/>
  <c r="BH15" i="45"/>
  <c r="BI15" i="45"/>
  <c r="I16" i="45"/>
  <c r="J16" i="45"/>
  <c r="K16" i="45"/>
  <c r="L16" i="45"/>
  <c r="M16" i="45"/>
  <c r="N16" i="45"/>
  <c r="O16" i="45"/>
  <c r="P16" i="45"/>
  <c r="BF16" i="45"/>
  <c r="BG16" i="45"/>
  <c r="BH16" i="45"/>
  <c r="BI16" i="45"/>
  <c r="I24" i="45"/>
  <c r="J24" i="45"/>
  <c r="K24" i="45"/>
  <c r="L24" i="45"/>
  <c r="M24" i="45"/>
  <c r="N24" i="45"/>
  <c r="O24" i="45"/>
  <c r="P24" i="45"/>
  <c r="BF24" i="45"/>
  <c r="BG24" i="45"/>
  <c r="BH24" i="45"/>
  <c r="BI24" i="45"/>
  <c r="I27" i="45"/>
  <c r="J27" i="45"/>
  <c r="K27" i="45"/>
  <c r="L27" i="45"/>
  <c r="M27" i="45"/>
  <c r="N27" i="45"/>
  <c r="O27" i="45"/>
  <c r="P27" i="45"/>
  <c r="BF27" i="45"/>
  <c r="BG27" i="45"/>
  <c r="BH27" i="45"/>
  <c r="BI27" i="45"/>
  <c r="I31" i="45"/>
  <c r="J31" i="45"/>
  <c r="K31" i="45"/>
  <c r="L31" i="45"/>
  <c r="M31" i="45"/>
  <c r="N31" i="45"/>
  <c r="O31" i="45"/>
  <c r="P31" i="45"/>
  <c r="BF31" i="45"/>
  <c r="BG31" i="45"/>
  <c r="BH31" i="45"/>
  <c r="BI31" i="45"/>
  <c r="I38" i="45"/>
  <c r="J38" i="45"/>
  <c r="K38" i="45"/>
  <c r="L38" i="45"/>
  <c r="M38" i="45"/>
  <c r="N38" i="45"/>
  <c r="O38" i="45"/>
  <c r="P38" i="45"/>
  <c r="BF38" i="45"/>
  <c r="BG38" i="45"/>
  <c r="BH38" i="45"/>
  <c r="BI38" i="45"/>
  <c r="I42" i="45"/>
  <c r="J42" i="45"/>
  <c r="K42" i="45"/>
  <c r="L42" i="45"/>
  <c r="M42" i="45"/>
  <c r="N42" i="45"/>
  <c r="O42" i="45"/>
  <c r="P42" i="45"/>
  <c r="BF42" i="45"/>
  <c r="BG42" i="45"/>
  <c r="BH42" i="45"/>
  <c r="BI42" i="45"/>
  <c r="I47" i="45"/>
  <c r="J47" i="45"/>
  <c r="K47" i="45"/>
  <c r="L47" i="45"/>
  <c r="M47" i="45"/>
  <c r="N47" i="45"/>
  <c r="O47" i="45"/>
  <c r="P47" i="45"/>
  <c r="BF47" i="45"/>
  <c r="BG47" i="45"/>
  <c r="BH47" i="45"/>
  <c r="BI47" i="45"/>
  <c r="I49" i="45"/>
  <c r="J49" i="45"/>
  <c r="K49" i="45"/>
  <c r="L49" i="45"/>
  <c r="M49" i="45"/>
  <c r="N49" i="45"/>
  <c r="O49" i="45"/>
  <c r="P49" i="45"/>
  <c r="BF49" i="45"/>
  <c r="BG49" i="45"/>
  <c r="BH49" i="45"/>
  <c r="BI49" i="45"/>
  <c r="I51" i="45"/>
  <c r="J51" i="45"/>
  <c r="K51" i="45"/>
  <c r="L51" i="45"/>
  <c r="M51" i="45"/>
  <c r="N51" i="45"/>
  <c r="O51" i="45"/>
  <c r="P51" i="45"/>
  <c r="BF51" i="45"/>
  <c r="BG51" i="45"/>
  <c r="BH51" i="45"/>
  <c r="BI51" i="45"/>
  <c r="I55" i="45"/>
  <c r="J55" i="45"/>
  <c r="K55" i="45"/>
  <c r="L55" i="45"/>
  <c r="M55" i="45"/>
  <c r="N55" i="45"/>
  <c r="O55" i="45"/>
  <c r="P55" i="45"/>
  <c r="I56" i="45"/>
  <c r="J56" i="45"/>
  <c r="K56" i="45"/>
  <c r="L56" i="45"/>
  <c r="M56" i="45"/>
  <c r="N56" i="45"/>
  <c r="O56" i="45"/>
  <c r="P56" i="45"/>
  <c r="I58" i="45"/>
  <c r="J58" i="45"/>
  <c r="K58" i="45"/>
  <c r="L58" i="45"/>
  <c r="M58" i="45"/>
  <c r="N58" i="45"/>
  <c r="O58" i="45"/>
  <c r="P58" i="45"/>
  <c r="BF58" i="45"/>
  <c r="BG58" i="45"/>
  <c r="BH58" i="45"/>
  <c r="BI58" i="45"/>
  <c r="I59" i="45"/>
  <c r="J59" i="45"/>
  <c r="K59" i="45"/>
  <c r="L59" i="45"/>
  <c r="M59" i="45"/>
  <c r="N59" i="45"/>
  <c r="O59" i="45"/>
  <c r="P59" i="45"/>
  <c r="BF59" i="45"/>
  <c r="BG59" i="45"/>
  <c r="BH59" i="45"/>
  <c r="BI59" i="45"/>
  <c r="I64" i="45"/>
  <c r="J64" i="45"/>
  <c r="K64" i="45"/>
  <c r="L64" i="45"/>
  <c r="M64" i="45"/>
  <c r="N64" i="45"/>
  <c r="O64" i="45"/>
  <c r="P64" i="45"/>
  <c r="BF64" i="45"/>
  <c r="BG64" i="45"/>
  <c r="BH64" i="45"/>
  <c r="BI64" i="45"/>
  <c r="I65" i="45"/>
  <c r="J65" i="45"/>
  <c r="K65" i="45"/>
  <c r="L65" i="45"/>
  <c r="M65" i="45"/>
  <c r="N65" i="45"/>
  <c r="O65" i="45"/>
  <c r="P65" i="45"/>
  <c r="BF65" i="45"/>
  <c r="BG65" i="45"/>
  <c r="BH65" i="45"/>
  <c r="BI65" i="45"/>
  <c r="I67" i="45"/>
  <c r="J67" i="45"/>
  <c r="K67" i="45"/>
  <c r="L67" i="45"/>
  <c r="M67" i="45"/>
  <c r="N67" i="45"/>
  <c r="O67" i="45"/>
  <c r="P67" i="45"/>
  <c r="BF67" i="45"/>
  <c r="BG67" i="45"/>
  <c r="BH67" i="45"/>
  <c r="BI67" i="45"/>
  <c r="I8" i="39"/>
  <c r="J8" i="39"/>
  <c r="K8" i="39"/>
  <c r="L8" i="39"/>
  <c r="M8" i="39"/>
  <c r="N8" i="39"/>
  <c r="O8" i="39"/>
  <c r="P8" i="39"/>
  <c r="BF8" i="39"/>
  <c r="BG8" i="39"/>
  <c r="BH8" i="39"/>
  <c r="BI8" i="39"/>
  <c r="I9" i="39"/>
  <c r="J9" i="39"/>
  <c r="K9" i="39"/>
  <c r="L9" i="39"/>
  <c r="M9" i="39"/>
  <c r="N9" i="39"/>
  <c r="O9" i="39"/>
  <c r="P9" i="39"/>
  <c r="BF9" i="39"/>
  <c r="BG9" i="39"/>
  <c r="BH9" i="39"/>
  <c r="BI9" i="39"/>
  <c r="I10" i="39"/>
  <c r="J10" i="39"/>
  <c r="K10" i="39"/>
  <c r="L10" i="39"/>
  <c r="M10" i="39"/>
  <c r="N10" i="39"/>
  <c r="O10" i="39"/>
  <c r="P10" i="39"/>
  <c r="BF10" i="39"/>
  <c r="BG10" i="39"/>
  <c r="BH10" i="39"/>
  <c r="BI10" i="39"/>
  <c r="I27" i="39"/>
  <c r="J27" i="39"/>
  <c r="K27" i="39"/>
  <c r="L27" i="39"/>
  <c r="M27" i="39"/>
  <c r="N27" i="39"/>
  <c r="O27" i="39"/>
  <c r="P27" i="39"/>
  <c r="BF27" i="39"/>
  <c r="BG27" i="39"/>
  <c r="BH27" i="39"/>
  <c r="BI27" i="39"/>
  <c r="I28" i="39"/>
  <c r="J28" i="39"/>
  <c r="K28" i="39"/>
  <c r="L28" i="39"/>
  <c r="M28" i="39"/>
  <c r="N28" i="39"/>
  <c r="O28" i="39"/>
  <c r="P28" i="39"/>
  <c r="BF28" i="39"/>
  <c r="BG28" i="39"/>
  <c r="BH28" i="39"/>
  <c r="BI28" i="39"/>
  <c r="I29" i="39"/>
  <c r="J29" i="39"/>
  <c r="K29" i="39"/>
  <c r="L29" i="39"/>
  <c r="M29" i="39"/>
  <c r="N29" i="39"/>
  <c r="O29" i="39"/>
  <c r="P29" i="39"/>
  <c r="BF29" i="39"/>
  <c r="BG29" i="39"/>
  <c r="BH29" i="39"/>
  <c r="BI29" i="39"/>
  <c r="I30" i="39"/>
  <c r="J30" i="39"/>
  <c r="K30" i="39"/>
  <c r="L30" i="39"/>
  <c r="M30" i="39"/>
  <c r="N30" i="39"/>
  <c r="O30" i="39"/>
  <c r="P30" i="39"/>
  <c r="BF30" i="39"/>
  <c r="BG30" i="39"/>
  <c r="BH30" i="39"/>
  <c r="BI30" i="39"/>
  <c r="I32" i="39"/>
  <c r="J32" i="39"/>
  <c r="K32" i="39"/>
  <c r="L32" i="39"/>
  <c r="M32" i="39"/>
  <c r="N32" i="39"/>
  <c r="O32" i="39"/>
  <c r="P32" i="39"/>
  <c r="BF32" i="39"/>
  <c r="BG32" i="39"/>
  <c r="BH32" i="39"/>
  <c r="BI32" i="39"/>
  <c r="I34" i="39"/>
  <c r="J34" i="39"/>
  <c r="K34" i="39"/>
  <c r="L34" i="39"/>
  <c r="M34" i="39"/>
  <c r="N34" i="39"/>
  <c r="O34" i="39"/>
  <c r="P34" i="39"/>
  <c r="BF34" i="39"/>
  <c r="BG34" i="39"/>
  <c r="BH34" i="39"/>
  <c r="BI34" i="39"/>
  <c r="I35" i="39"/>
  <c r="J35" i="39"/>
  <c r="K35" i="39"/>
  <c r="L35" i="39"/>
  <c r="M35" i="39"/>
  <c r="N35" i="39"/>
  <c r="O35" i="39"/>
  <c r="P35" i="39"/>
  <c r="BF35" i="39"/>
  <c r="BG35" i="39"/>
  <c r="BH35" i="39"/>
  <c r="BI35" i="39"/>
  <c r="I42" i="39"/>
  <c r="J42" i="39"/>
  <c r="K42" i="39"/>
  <c r="L42" i="39"/>
  <c r="M42" i="39"/>
  <c r="N42" i="39"/>
  <c r="O42" i="39"/>
  <c r="P42" i="39"/>
  <c r="BF42" i="39"/>
  <c r="BG42" i="39"/>
  <c r="BH42" i="39"/>
  <c r="BI42" i="39"/>
  <c r="I43" i="39"/>
  <c r="J43" i="39"/>
  <c r="K43" i="39"/>
  <c r="L43" i="39"/>
  <c r="M43" i="39"/>
  <c r="N43" i="39"/>
  <c r="O43" i="39"/>
  <c r="P43" i="39"/>
  <c r="BF43" i="39"/>
  <c r="BG43" i="39"/>
  <c r="BH43" i="39"/>
  <c r="BI43" i="39"/>
  <c r="I45" i="39"/>
  <c r="J45" i="39"/>
  <c r="K45" i="39"/>
  <c r="L45" i="39"/>
  <c r="M45" i="39"/>
  <c r="N45" i="39"/>
  <c r="O45" i="39"/>
  <c r="P45" i="39"/>
  <c r="BF45" i="39"/>
  <c r="BG45" i="39"/>
  <c r="BH45" i="39"/>
  <c r="BI45" i="39"/>
  <c r="I46" i="39"/>
  <c r="J46" i="39"/>
  <c r="K46" i="39"/>
  <c r="L46" i="39"/>
  <c r="M46" i="39"/>
  <c r="N46" i="39"/>
  <c r="O46" i="39"/>
  <c r="P46" i="39"/>
  <c r="BF46" i="39"/>
  <c r="BG46" i="39"/>
  <c r="BH46" i="39"/>
  <c r="BI46" i="39"/>
  <c r="I47" i="39"/>
  <c r="J47" i="39"/>
  <c r="K47" i="39"/>
  <c r="L47" i="39"/>
  <c r="M47" i="39"/>
  <c r="N47" i="39"/>
  <c r="O47" i="39"/>
  <c r="P47" i="39"/>
  <c r="BF47" i="39"/>
  <c r="BG47" i="39"/>
  <c r="BH47" i="39"/>
  <c r="BI47" i="39"/>
  <c r="I49" i="39"/>
  <c r="J49" i="39"/>
  <c r="K49" i="39"/>
  <c r="L49" i="39"/>
  <c r="M49" i="39"/>
  <c r="N49" i="39"/>
  <c r="O49" i="39"/>
  <c r="P49" i="39"/>
  <c r="BF49" i="39"/>
  <c r="BG49" i="39"/>
  <c r="BH49" i="39"/>
  <c r="BI49" i="39"/>
  <c r="I50" i="39"/>
  <c r="J50" i="39"/>
  <c r="K50" i="39"/>
  <c r="L50" i="39"/>
  <c r="M50" i="39"/>
  <c r="N50" i="39"/>
  <c r="O50" i="39"/>
  <c r="P50" i="39"/>
  <c r="BF50" i="39"/>
  <c r="BG50" i="39"/>
  <c r="BH50" i="39"/>
  <c r="BI50" i="39"/>
  <c r="I57" i="39"/>
  <c r="J57" i="39"/>
  <c r="K57" i="39"/>
  <c r="L57" i="39"/>
  <c r="M57" i="39"/>
  <c r="N57" i="39"/>
  <c r="O57" i="39"/>
  <c r="P57" i="39"/>
  <c r="BF57" i="39"/>
  <c r="BG57" i="39"/>
  <c r="BH57" i="39"/>
  <c r="BI57" i="39"/>
  <c r="I58" i="39"/>
  <c r="J58" i="39"/>
  <c r="K58" i="39"/>
  <c r="L58" i="39"/>
  <c r="M58" i="39"/>
  <c r="N58" i="39"/>
  <c r="O58" i="39"/>
  <c r="P58" i="39"/>
  <c r="BF58" i="39"/>
  <c r="BG58" i="39"/>
  <c r="BH58" i="39"/>
  <c r="BI58" i="39"/>
  <c r="I60" i="39"/>
  <c r="J60" i="39"/>
  <c r="K60" i="39"/>
  <c r="L60" i="39"/>
  <c r="M60" i="39"/>
  <c r="N60" i="39"/>
  <c r="O60" i="39"/>
  <c r="P60" i="39"/>
  <c r="BF60" i="39"/>
  <c r="BG60" i="39"/>
  <c r="BH60" i="39"/>
  <c r="BI60" i="39"/>
  <c r="I61" i="39"/>
  <c r="J61" i="39"/>
  <c r="K61" i="39"/>
  <c r="L61" i="39"/>
  <c r="M61" i="39"/>
  <c r="N61" i="39"/>
  <c r="O61" i="39"/>
  <c r="P61" i="39"/>
  <c r="BF61" i="39"/>
  <c r="BG61" i="39"/>
  <c r="BH61" i="39"/>
  <c r="BI61" i="39"/>
  <c r="I62" i="39"/>
  <c r="J62" i="39"/>
  <c r="K62" i="39"/>
  <c r="L62" i="39"/>
  <c r="M62" i="39"/>
  <c r="N62" i="39"/>
  <c r="O62" i="39"/>
  <c r="P62" i="39"/>
  <c r="BF62" i="39"/>
  <c r="BG62" i="39"/>
  <c r="BH62" i="39"/>
  <c r="BI62" i="39"/>
  <c r="I66" i="39"/>
  <c r="J66" i="39"/>
  <c r="K66" i="39"/>
  <c r="L66" i="39"/>
  <c r="M66" i="39"/>
  <c r="N66" i="39"/>
  <c r="O66" i="39"/>
  <c r="P66" i="39"/>
  <c r="BF66" i="39"/>
  <c r="BG66" i="39"/>
  <c r="BH66" i="39"/>
  <c r="BI66" i="39"/>
  <c r="I69" i="39"/>
  <c r="J69" i="39"/>
  <c r="K69" i="39"/>
  <c r="L69" i="39"/>
  <c r="M69" i="39"/>
  <c r="N69" i="39"/>
  <c r="O69" i="39"/>
  <c r="P69" i="39"/>
  <c r="BF69" i="39"/>
  <c r="BG69" i="39"/>
  <c r="BH69" i="39"/>
  <c r="BI69" i="39"/>
  <c r="I71" i="39"/>
  <c r="J71" i="39"/>
  <c r="K71" i="39"/>
  <c r="L71" i="39"/>
  <c r="M71" i="39"/>
  <c r="N71" i="39"/>
  <c r="O71" i="39"/>
  <c r="P71" i="39"/>
  <c r="BF71" i="39"/>
  <c r="BG71" i="39"/>
  <c r="BH71" i="39"/>
  <c r="BI71" i="39"/>
  <c r="I74" i="39"/>
  <c r="J74" i="39"/>
  <c r="K74" i="39"/>
  <c r="L74" i="39"/>
  <c r="M74" i="39"/>
  <c r="N74" i="39"/>
  <c r="O74" i="39"/>
  <c r="P74" i="39"/>
  <c r="BF74" i="39"/>
  <c r="BG74" i="39"/>
  <c r="BH74" i="39"/>
  <c r="BI74" i="39"/>
  <c r="I78" i="39"/>
  <c r="J78" i="39"/>
  <c r="K78" i="39"/>
  <c r="L78" i="39"/>
  <c r="M78" i="39"/>
  <c r="N78" i="39"/>
  <c r="O78" i="39"/>
  <c r="P78" i="39"/>
  <c r="BF78" i="39"/>
  <c r="BG78" i="39"/>
  <c r="BH78" i="39"/>
  <c r="BI78" i="39"/>
  <c r="I79" i="39"/>
  <c r="J79" i="39"/>
  <c r="K79" i="39"/>
  <c r="L79" i="39"/>
  <c r="M79" i="39"/>
  <c r="N79" i="39"/>
  <c r="O79" i="39"/>
  <c r="P79" i="39"/>
  <c r="BF79" i="39"/>
  <c r="BG79" i="39"/>
  <c r="BH79" i="39"/>
  <c r="BI79" i="39"/>
  <c r="I81" i="39"/>
  <c r="J81" i="39"/>
  <c r="K81" i="39"/>
  <c r="L81" i="39"/>
  <c r="M81" i="39"/>
  <c r="N81" i="39"/>
  <c r="O81" i="39"/>
  <c r="P81" i="39"/>
  <c r="BF81" i="39"/>
  <c r="BG81" i="39"/>
  <c r="BH81" i="39"/>
  <c r="BI81" i="39"/>
  <c r="I82" i="39"/>
  <c r="J82" i="39"/>
  <c r="K82" i="39"/>
  <c r="L82" i="39"/>
  <c r="M82" i="39"/>
  <c r="N82" i="39"/>
  <c r="O82" i="39"/>
  <c r="P82" i="39"/>
  <c r="BF82" i="39"/>
  <c r="BG82" i="39"/>
  <c r="BH82" i="39"/>
  <c r="BI82" i="39"/>
  <c r="BF83" i="39"/>
  <c r="BG83" i="39"/>
  <c r="BH83" i="39"/>
  <c r="BI83" i="39"/>
  <c r="I84" i="39"/>
  <c r="J84" i="39"/>
  <c r="K84" i="39"/>
  <c r="L84" i="39"/>
  <c r="M84" i="39"/>
  <c r="N84" i="39"/>
  <c r="O84" i="39"/>
  <c r="P84" i="39"/>
  <c r="BF84" i="39"/>
  <c r="BG84" i="39"/>
  <c r="BH84" i="39"/>
  <c r="BI84" i="39"/>
  <c r="I86" i="39"/>
  <c r="J86" i="39"/>
  <c r="K86" i="39"/>
  <c r="L86" i="39"/>
  <c r="M86" i="39"/>
  <c r="N86" i="39"/>
  <c r="O86" i="39"/>
  <c r="P86" i="39"/>
  <c r="BF86" i="39"/>
  <c r="BG86" i="39"/>
  <c r="BH86" i="39"/>
  <c r="BI86" i="39"/>
  <c r="I87" i="39"/>
  <c r="J87" i="39"/>
  <c r="K87" i="39"/>
  <c r="L87" i="39"/>
  <c r="M87" i="39"/>
  <c r="N87" i="39"/>
  <c r="O87" i="39"/>
  <c r="P87" i="39"/>
  <c r="BF87" i="39"/>
  <c r="BG87" i="39"/>
  <c r="BH87" i="39"/>
  <c r="BI87" i="39"/>
  <c r="I94" i="39"/>
  <c r="J94" i="39"/>
  <c r="K94" i="39"/>
  <c r="L94" i="39"/>
  <c r="M94" i="39"/>
  <c r="N94" i="39"/>
  <c r="O94" i="39"/>
  <c r="P94" i="39"/>
  <c r="BF94" i="39"/>
  <c r="BG94" i="39"/>
  <c r="BH94" i="39"/>
  <c r="BI94" i="39"/>
  <c r="I95" i="39"/>
  <c r="J95" i="39"/>
  <c r="K95" i="39"/>
  <c r="L95" i="39"/>
  <c r="M95" i="39"/>
  <c r="N95" i="39"/>
  <c r="O95" i="39"/>
  <c r="P95" i="39"/>
  <c r="BF95" i="39"/>
  <c r="BG95" i="39"/>
  <c r="BH95" i="39"/>
  <c r="BI95" i="39"/>
  <c r="J96" i="39"/>
  <c r="K96" i="39"/>
  <c r="L96" i="39"/>
  <c r="M96" i="39"/>
  <c r="N96" i="39"/>
  <c r="O96" i="39"/>
  <c r="P96" i="39"/>
  <c r="BF96" i="39"/>
  <c r="BG96" i="39"/>
  <c r="BH96" i="39"/>
  <c r="BI96" i="39"/>
  <c r="I97" i="39"/>
  <c r="J97" i="39"/>
  <c r="K97" i="39"/>
  <c r="L97" i="39"/>
  <c r="M97" i="39"/>
  <c r="N97" i="39"/>
  <c r="O97" i="39"/>
  <c r="P97" i="39"/>
  <c r="BF97" i="39"/>
  <c r="BG97" i="39"/>
  <c r="BH97" i="39"/>
  <c r="BI97" i="39"/>
  <c r="I101" i="39"/>
  <c r="J101" i="39"/>
  <c r="K101" i="39"/>
  <c r="L101" i="39"/>
  <c r="M101" i="39"/>
  <c r="N101" i="39"/>
  <c r="O101" i="39"/>
  <c r="P101" i="39"/>
  <c r="BF101" i="39"/>
  <c r="BG101" i="39"/>
  <c r="BH101" i="39"/>
  <c r="BI101" i="39"/>
  <c r="I102" i="39"/>
  <c r="J102" i="39"/>
  <c r="K102" i="39"/>
  <c r="L102" i="39"/>
  <c r="M102" i="39"/>
  <c r="N102" i="39"/>
  <c r="O102" i="39"/>
  <c r="P102" i="39"/>
  <c r="BF102" i="39"/>
  <c r="BG102" i="39"/>
  <c r="BH102" i="39"/>
  <c r="BI102" i="39"/>
  <c r="I104" i="39"/>
  <c r="J104" i="39"/>
  <c r="K104" i="39"/>
  <c r="L104" i="39"/>
  <c r="M104" i="39"/>
  <c r="N104" i="39"/>
  <c r="O104" i="39"/>
  <c r="P104" i="39"/>
  <c r="BF104" i="39"/>
  <c r="BG104" i="39"/>
  <c r="BH104" i="39"/>
  <c r="BI104" i="39"/>
  <c r="I105" i="39"/>
  <c r="J105" i="39"/>
  <c r="K105" i="39"/>
  <c r="L105" i="39"/>
  <c r="M105" i="39"/>
  <c r="N105" i="39"/>
  <c r="O105" i="39"/>
  <c r="P105" i="39"/>
  <c r="BF105" i="39"/>
  <c r="BG105" i="39"/>
  <c r="BH105" i="39"/>
  <c r="BI105" i="39"/>
  <c r="BF106" i="39"/>
  <c r="BG106" i="39"/>
  <c r="BH106" i="39"/>
  <c r="BI106" i="39"/>
  <c r="I107" i="39"/>
  <c r="J107" i="39"/>
  <c r="K107" i="39"/>
  <c r="L107" i="39"/>
  <c r="M107" i="39"/>
  <c r="N107" i="39"/>
  <c r="O107" i="39"/>
  <c r="P107" i="39"/>
  <c r="BF107" i="39"/>
  <c r="BG107" i="39"/>
  <c r="BH107" i="39"/>
  <c r="BI107" i="39"/>
  <c r="I8" i="46"/>
  <c r="J8" i="46"/>
  <c r="K8" i="46"/>
  <c r="L8" i="46"/>
  <c r="M8" i="46"/>
  <c r="N8" i="46"/>
  <c r="O8" i="46"/>
  <c r="P8" i="46"/>
  <c r="BF8" i="46"/>
  <c r="BG8" i="46"/>
  <c r="BH8" i="46"/>
  <c r="BI8" i="46"/>
  <c r="I11" i="46"/>
  <c r="J11" i="46"/>
  <c r="K11" i="46"/>
  <c r="L11" i="46"/>
  <c r="M11" i="46"/>
  <c r="N11" i="46"/>
  <c r="O11" i="46"/>
  <c r="P11" i="46"/>
  <c r="BF11" i="46"/>
  <c r="BG11" i="46"/>
  <c r="BH11" i="46"/>
  <c r="BI11" i="46"/>
  <c r="I18" i="46"/>
  <c r="J18" i="46"/>
  <c r="K18" i="46"/>
  <c r="L18" i="46"/>
  <c r="M18" i="46"/>
  <c r="N18" i="46"/>
  <c r="O18" i="46"/>
  <c r="P18" i="46"/>
  <c r="BF18" i="46"/>
  <c r="BG18" i="46"/>
  <c r="BH18" i="46"/>
  <c r="BI18" i="46"/>
  <c r="I20" i="46"/>
  <c r="J20" i="46"/>
  <c r="K20" i="46"/>
  <c r="L20" i="46"/>
  <c r="M20" i="46"/>
  <c r="N20" i="46"/>
  <c r="O20" i="46"/>
  <c r="P20" i="46"/>
  <c r="BF20" i="46"/>
  <c r="BG20" i="46"/>
  <c r="BH20" i="46"/>
  <c r="BI20" i="46"/>
  <c r="I25" i="46"/>
  <c r="J25" i="46"/>
  <c r="K25" i="46"/>
  <c r="L25" i="46"/>
  <c r="M25" i="46"/>
  <c r="N25" i="46"/>
  <c r="O25" i="46"/>
  <c r="P25" i="46"/>
  <c r="BF25" i="46"/>
  <c r="BG25" i="46"/>
  <c r="BH25" i="46"/>
  <c r="BI25" i="46"/>
  <c r="I27" i="46"/>
  <c r="BF27" i="46"/>
  <c r="BG27" i="46"/>
  <c r="BH27" i="46"/>
  <c r="BI27" i="46"/>
  <c r="I33" i="46"/>
  <c r="BF33" i="46"/>
  <c r="BG33" i="46"/>
  <c r="BH33" i="46"/>
  <c r="BI33" i="46"/>
  <c r="I45" i="46"/>
  <c r="J45" i="46"/>
  <c r="K45" i="46"/>
  <c r="L45" i="46"/>
  <c r="M45" i="46"/>
  <c r="N45" i="46"/>
  <c r="O45" i="46"/>
  <c r="P45" i="46"/>
  <c r="BF45" i="46"/>
  <c r="BG45" i="46"/>
  <c r="BH45" i="46"/>
  <c r="BI45" i="46"/>
  <c r="J46" i="46"/>
  <c r="K46" i="46"/>
  <c r="L46" i="46"/>
  <c r="M46" i="46"/>
  <c r="N46" i="46"/>
  <c r="O46" i="46"/>
  <c r="P46" i="46"/>
  <c r="BG46" i="46"/>
  <c r="BH46" i="46"/>
  <c r="BI46" i="46"/>
  <c r="I47" i="46"/>
  <c r="J47" i="46"/>
  <c r="K47" i="46"/>
  <c r="L47" i="46"/>
  <c r="M47" i="46"/>
  <c r="N47" i="46"/>
  <c r="O47" i="46"/>
  <c r="P47" i="46"/>
  <c r="BF47" i="46"/>
  <c r="BG47" i="46"/>
  <c r="BH47" i="46"/>
  <c r="BI47" i="46"/>
  <c r="J51" i="46"/>
  <c r="K51" i="46"/>
  <c r="L51" i="46"/>
  <c r="M51" i="46"/>
  <c r="N51" i="46"/>
  <c r="O51" i="46"/>
  <c r="P51" i="46"/>
  <c r="BF51" i="46"/>
  <c r="BG51" i="46"/>
  <c r="BH51" i="46"/>
  <c r="BI51" i="46"/>
  <c r="BF52" i="46"/>
  <c r="BG52" i="46"/>
  <c r="BH52" i="46"/>
  <c r="BI52" i="46"/>
  <c r="J54" i="46"/>
  <c r="K54" i="46"/>
  <c r="L54" i="46"/>
  <c r="M54" i="46"/>
  <c r="N54" i="46"/>
  <c r="O54" i="46"/>
  <c r="P54" i="46"/>
  <c r="BF54" i="46"/>
  <c r="BG54" i="46"/>
  <c r="BH54" i="46"/>
  <c r="BI54" i="46"/>
  <c r="J56" i="46"/>
  <c r="K56" i="46"/>
  <c r="L56" i="46"/>
  <c r="M56" i="46"/>
  <c r="N56" i="46"/>
  <c r="O56" i="46"/>
  <c r="P56" i="46"/>
  <c r="BF56" i="46"/>
  <c r="BG56" i="46"/>
  <c r="BH56" i="46"/>
  <c r="BI56" i="46"/>
  <c r="J57" i="46"/>
  <c r="K57" i="46"/>
  <c r="L57" i="46"/>
  <c r="M57" i="46"/>
  <c r="N57" i="46"/>
  <c r="O57" i="46"/>
  <c r="P57" i="46"/>
  <c r="BF57" i="46"/>
  <c r="BG57" i="46"/>
  <c r="BH57" i="46"/>
  <c r="BI57" i="46"/>
  <c r="I59" i="46"/>
  <c r="J59" i="46"/>
  <c r="K59" i="46"/>
  <c r="L59" i="46"/>
  <c r="M59" i="46"/>
  <c r="N59" i="46"/>
  <c r="O59" i="46"/>
  <c r="P59" i="46"/>
  <c r="BF59" i="46"/>
  <c r="BG59" i="46"/>
  <c r="BH59" i="46"/>
  <c r="BI59" i="46"/>
  <c r="I60" i="46"/>
  <c r="J60" i="46"/>
  <c r="K60" i="46"/>
  <c r="L60" i="46"/>
  <c r="M60" i="46"/>
  <c r="N60" i="46"/>
  <c r="O60" i="46"/>
  <c r="P60" i="46"/>
  <c r="BF60" i="46"/>
  <c r="BG60" i="46"/>
  <c r="BH60" i="46"/>
  <c r="BI60" i="46"/>
  <c r="I64" i="46"/>
  <c r="J64" i="46"/>
  <c r="K64" i="46"/>
  <c r="L64" i="46"/>
  <c r="M64" i="46"/>
  <c r="N64" i="46"/>
  <c r="O64" i="46"/>
  <c r="P64" i="46"/>
  <c r="BF64" i="46"/>
  <c r="BG64" i="46"/>
  <c r="BH64" i="46"/>
  <c r="BI64" i="46"/>
  <c r="I72" i="46"/>
  <c r="J72" i="46"/>
  <c r="K72" i="46"/>
  <c r="L72" i="46"/>
  <c r="M72" i="46"/>
  <c r="N72" i="46"/>
  <c r="O72" i="46"/>
  <c r="P72" i="46"/>
  <c r="BF72" i="46"/>
  <c r="BG72" i="46"/>
  <c r="BH72" i="46"/>
  <c r="BI72" i="46"/>
  <c r="I73" i="46"/>
  <c r="I74" i="46"/>
  <c r="J74" i="46"/>
  <c r="K74" i="46"/>
  <c r="L74" i="46"/>
  <c r="M74" i="46"/>
  <c r="N74" i="46"/>
  <c r="O74" i="46"/>
  <c r="P74" i="46"/>
  <c r="BF74" i="46"/>
  <c r="BG74" i="46"/>
  <c r="BH74" i="46"/>
  <c r="BI74" i="46"/>
  <c r="I75" i="46"/>
  <c r="J75" i="46"/>
  <c r="K75" i="46"/>
  <c r="L75" i="46"/>
  <c r="M75" i="46"/>
  <c r="N75" i="46"/>
  <c r="O75" i="46"/>
  <c r="P75" i="46"/>
  <c r="BF75" i="46"/>
  <c r="BG75" i="46"/>
  <c r="BH75" i="46"/>
  <c r="BI75" i="46"/>
  <c r="J82" i="46"/>
  <c r="K82" i="46"/>
  <c r="L82" i="46"/>
  <c r="M82" i="46"/>
  <c r="N82" i="46"/>
  <c r="O82" i="46"/>
  <c r="P82" i="46"/>
  <c r="J84" i="46"/>
  <c r="K84" i="46"/>
  <c r="L84" i="46"/>
  <c r="M84" i="46"/>
  <c r="N84" i="46"/>
  <c r="O84" i="46"/>
  <c r="P84" i="46"/>
  <c r="I89" i="46"/>
  <c r="BF89" i="46"/>
  <c r="BG89" i="46"/>
  <c r="BH89" i="46"/>
  <c r="BI89" i="46"/>
  <c r="I91" i="46"/>
  <c r="J91" i="46"/>
  <c r="K91" i="46"/>
  <c r="L91" i="46"/>
  <c r="M91" i="46"/>
  <c r="N91" i="46"/>
  <c r="O91" i="46"/>
  <c r="P91" i="46"/>
  <c r="BF91" i="46"/>
  <c r="BG91" i="46"/>
  <c r="BH91" i="46"/>
  <c r="BI91" i="46"/>
  <c r="I92" i="46"/>
  <c r="J92" i="46"/>
  <c r="BF92" i="46"/>
  <c r="BG92" i="46"/>
  <c r="BH92" i="46"/>
  <c r="BI92" i="46"/>
  <c r="I8" i="41"/>
  <c r="J8" i="41"/>
  <c r="K8" i="41"/>
  <c r="L8" i="41"/>
  <c r="M8" i="41"/>
  <c r="N8" i="41"/>
  <c r="O8" i="41"/>
  <c r="P8" i="41"/>
  <c r="BF8" i="41"/>
  <c r="BG8" i="41"/>
  <c r="BH8" i="41"/>
  <c r="BI8" i="41"/>
  <c r="I11" i="41"/>
  <c r="J11" i="41"/>
  <c r="K11" i="41"/>
  <c r="L11" i="41"/>
  <c r="M11" i="41"/>
  <c r="N11" i="41"/>
  <c r="O11" i="41"/>
  <c r="P11" i="41"/>
  <c r="BF11" i="41"/>
  <c r="BG11" i="41"/>
  <c r="BH11" i="41"/>
  <c r="BI11" i="41"/>
  <c r="I12" i="41"/>
  <c r="J12" i="41"/>
  <c r="K12" i="41"/>
  <c r="L12" i="41"/>
  <c r="M12" i="41"/>
  <c r="N12" i="41"/>
  <c r="O12" i="41"/>
  <c r="P12" i="41"/>
  <c r="BF12" i="41"/>
  <c r="BG12" i="41"/>
  <c r="BH12" i="41"/>
  <c r="BI12" i="41"/>
  <c r="I13" i="41"/>
  <c r="J13" i="41"/>
  <c r="K13" i="41"/>
  <c r="L13" i="41"/>
  <c r="M13" i="41"/>
  <c r="N13" i="41"/>
  <c r="O13" i="41"/>
  <c r="P13" i="41"/>
  <c r="BF13" i="41"/>
  <c r="BG13" i="41"/>
  <c r="BH13" i="41"/>
  <c r="BI13" i="41"/>
  <c r="I15" i="41"/>
  <c r="J15" i="41"/>
  <c r="K15" i="41"/>
  <c r="L15" i="41"/>
  <c r="M15" i="41"/>
  <c r="N15" i="41"/>
  <c r="O15" i="41"/>
  <c r="P15" i="41"/>
  <c r="BF15" i="41"/>
  <c r="BG15" i="41"/>
  <c r="BH15" i="41"/>
  <c r="BI15" i="41"/>
  <c r="I16" i="41"/>
  <c r="J16" i="41"/>
  <c r="K16" i="41"/>
  <c r="L16" i="41"/>
  <c r="M16" i="41"/>
  <c r="N16" i="41"/>
  <c r="O16" i="41"/>
  <c r="P16" i="41"/>
  <c r="BF17" i="41"/>
  <c r="BG17" i="41"/>
  <c r="BH17" i="41"/>
  <c r="BI17" i="41"/>
  <c r="I18" i="41"/>
  <c r="J18" i="41"/>
  <c r="K18" i="41"/>
  <c r="L18" i="41"/>
  <c r="M18" i="41"/>
  <c r="N18" i="41"/>
  <c r="O18" i="41"/>
  <c r="P18" i="41"/>
  <c r="BF18" i="41"/>
  <c r="BG18" i="41"/>
  <c r="BH18" i="41"/>
  <c r="BI18" i="41"/>
  <c r="I20" i="41"/>
  <c r="J20" i="41"/>
  <c r="K20" i="41"/>
  <c r="L20" i="41"/>
  <c r="M20" i="41"/>
  <c r="N20" i="41"/>
  <c r="O20" i="41"/>
  <c r="P20" i="41"/>
  <c r="BF20" i="41"/>
  <c r="BG20" i="41"/>
  <c r="BH20" i="41"/>
  <c r="BI20" i="41"/>
  <c r="I21" i="41"/>
  <c r="J21" i="41"/>
  <c r="K21" i="41"/>
  <c r="L21" i="41"/>
  <c r="M21" i="41"/>
  <c r="N21" i="41"/>
  <c r="O21" i="41"/>
  <c r="P21" i="41"/>
  <c r="BF21" i="41"/>
  <c r="BG21" i="41"/>
  <c r="BH21" i="41"/>
  <c r="BI21" i="41"/>
  <c r="I22" i="41"/>
  <c r="J22" i="41"/>
  <c r="K22" i="41"/>
  <c r="L22" i="41"/>
  <c r="M22" i="41"/>
  <c r="N22" i="41"/>
  <c r="O22" i="41"/>
  <c r="P22" i="41"/>
  <c r="BF22" i="41"/>
  <c r="BG22" i="41"/>
  <c r="BH22" i="41"/>
  <c r="BI22" i="41"/>
  <c r="I24" i="41"/>
  <c r="J24" i="41"/>
  <c r="K24" i="41"/>
  <c r="L24" i="41"/>
  <c r="M24" i="41"/>
  <c r="N24" i="41"/>
  <c r="O24" i="41"/>
  <c r="P24" i="41"/>
  <c r="BF24" i="41"/>
  <c r="BG24" i="41"/>
  <c r="BH24" i="41"/>
  <c r="BI24" i="41"/>
  <c r="I25" i="41"/>
  <c r="J25" i="41"/>
  <c r="K25" i="41"/>
  <c r="L25" i="41"/>
  <c r="M25" i="41"/>
  <c r="N25" i="41"/>
  <c r="O25" i="41"/>
  <c r="P25" i="41"/>
  <c r="BF26" i="41"/>
  <c r="BG26" i="41"/>
  <c r="BH26" i="41"/>
  <c r="BI26" i="41"/>
  <c r="I27" i="41"/>
  <c r="J27" i="41"/>
  <c r="K27" i="41"/>
  <c r="L27" i="41"/>
  <c r="M27" i="41"/>
  <c r="N27" i="41"/>
  <c r="O27" i="41"/>
  <c r="P27" i="41"/>
  <c r="BF27" i="41"/>
  <c r="BG27" i="41"/>
  <c r="BH27" i="41"/>
  <c r="BI27" i="41"/>
  <c r="I31" i="41"/>
  <c r="J31" i="41"/>
  <c r="K31" i="41"/>
  <c r="L31" i="41"/>
  <c r="M31" i="41"/>
  <c r="N31" i="41"/>
  <c r="O31" i="41"/>
  <c r="P31" i="41"/>
  <c r="BF31" i="41"/>
  <c r="BG31" i="41"/>
  <c r="BH31" i="41"/>
  <c r="BI31" i="41"/>
  <c r="I32" i="41"/>
  <c r="J32" i="41"/>
  <c r="K32" i="41"/>
  <c r="L32" i="41"/>
  <c r="M32" i="41"/>
  <c r="N32" i="41"/>
  <c r="O32" i="41"/>
  <c r="P32" i="41"/>
  <c r="BF32" i="41"/>
  <c r="BG32" i="41"/>
  <c r="BH32" i="41"/>
  <c r="BI32" i="41"/>
  <c r="I33" i="41"/>
  <c r="J33" i="41"/>
  <c r="K33" i="41"/>
  <c r="L33" i="41"/>
  <c r="M33" i="41"/>
  <c r="N33" i="41"/>
  <c r="O33" i="41"/>
  <c r="P33" i="41"/>
  <c r="BF33" i="41"/>
  <c r="BG33" i="41"/>
  <c r="BH33" i="41"/>
  <c r="BI33" i="41"/>
  <c r="I37" i="41"/>
  <c r="J37" i="41"/>
  <c r="K37" i="41"/>
  <c r="L37" i="41"/>
  <c r="M37" i="41"/>
  <c r="N37" i="41"/>
  <c r="O37" i="41"/>
  <c r="P37" i="41"/>
  <c r="BF37" i="41"/>
  <c r="BG37" i="41"/>
  <c r="BH37" i="41"/>
  <c r="BI37" i="41"/>
  <c r="I41" i="41"/>
  <c r="J41" i="41"/>
  <c r="K41" i="41"/>
  <c r="L41" i="41"/>
  <c r="M41" i="41"/>
  <c r="N41" i="41"/>
  <c r="O41" i="41"/>
  <c r="P41" i="41"/>
  <c r="BF41" i="41"/>
  <c r="BG41" i="41"/>
  <c r="BH41" i="41"/>
  <c r="BI41" i="41"/>
  <c r="I43" i="41"/>
  <c r="J43" i="41"/>
  <c r="K43" i="41"/>
  <c r="L43" i="41"/>
  <c r="M43" i="41"/>
  <c r="N43" i="41"/>
  <c r="O43" i="41"/>
  <c r="P43" i="41"/>
  <c r="BF43" i="41"/>
  <c r="BG43" i="41"/>
  <c r="BH43" i="41"/>
  <c r="BI43" i="41"/>
  <c r="I47" i="41"/>
  <c r="J47" i="41"/>
  <c r="K47" i="41"/>
  <c r="L47" i="41"/>
  <c r="M47" i="41"/>
  <c r="N47" i="41"/>
  <c r="O47" i="41"/>
  <c r="P47" i="41"/>
  <c r="BF47" i="41"/>
  <c r="BG47" i="41"/>
  <c r="BH47" i="41"/>
  <c r="BI47" i="41"/>
  <c r="I51" i="41"/>
  <c r="J51" i="41"/>
  <c r="K51" i="41"/>
  <c r="L51" i="41"/>
  <c r="M51" i="41"/>
  <c r="N51" i="41"/>
  <c r="O51" i="41"/>
  <c r="P51" i="41"/>
  <c r="BF51" i="41"/>
  <c r="BG51" i="41"/>
  <c r="BH51" i="41"/>
  <c r="BI51" i="41"/>
  <c r="I52" i="41"/>
  <c r="J52" i="41"/>
  <c r="K52" i="41"/>
  <c r="L52" i="41"/>
  <c r="M52" i="41"/>
  <c r="N52" i="41"/>
  <c r="O52" i="41"/>
  <c r="P52" i="41"/>
  <c r="BF52" i="41"/>
  <c r="BG52" i="41"/>
  <c r="BH52" i="41"/>
  <c r="BI52" i="41"/>
  <c r="I54" i="41"/>
  <c r="J54" i="41"/>
  <c r="K54" i="41"/>
  <c r="L54" i="41"/>
  <c r="M54" i="41"/>
  <c r="N54" i="41"/>
  <c r="O54" i="41"/>
  <c r="P54" i="41"/>
  <c r="I55" i="41"/>
  <c r="I57" i="41"/>
  <c r="J57" i="41"/>
  <c r="K57" i="41"/>
  <c r="L57" i="41"/>
  <c r="M57" i="41"/>
  <c r="N57" i="41"/>
  <c r="O57" i="41"/>
  <c r="P57" i="41"/>
  <c r="I59" i="41"/>
  <c r="J59" i="41"/>
  <c r="K59" i="41"/>
  <c r="L59" i="41"/>
  <c r="M59" i="41"/>
  <c r="N59" i="41"/>
  <c r="O59" i="41"/>
  <c r="P59" i="41"/>
  <c r="BF59" i="41"/>
  <c r="BG59" i="41"/>
  <c r="BH59" i="41"/>
  <c r="BI59" i="41"/>
  <c r="I60" i="41"/>
  <c r="J60" i="41"/>
  <c r="K60" i="41"/>
  <c r="L60" i="41"/>
  <c r="M60" i="41"/>
  <c r="N60" i="41"/>
  <c r="O60" i="41"/>
  <c r="P60" i="41"/>
  <c r="BF60" i="41"/>
  <c r="BG60" i="41"/>
  <c r="BH60" i="41"/>
  <c r="BI60" i="41"/>
  <c r="I67" i="41"/>
  <c r="J67" i="41"/>
  <c r="K67" i="41"/>
  <c r="L67" i="41"/>
  <c r="M67" i="41"/>
  <c r="N67" i="41"/>
  <c r="O67" i="41"/>
  <c r="P67" i="41"/>
  <c r="BF67" i="41"/>
  <c r="BG67" i="41"/>
  <c r="BH67" i="41"/>
  <c r="BI67" i="41"/>
  <c r="I68" i="41"/>
  <c r="J68" i="41"/>
  <c r="K68" i="41"/>
  <c r="L68" i="41"/>
  <c r="M68" i="41"/>
  <c r="N68" i="41"/>
  <c r="O68" i="41"/>
  <c r="P68" i="41"/>
  <c r="I70" i="41"/>
  <c r="I8" i="43"/>
  <c r="J8" i="43"/>
  <c r="K8" i="43"/>
  <c r="L8" i="43"/>
  <c r="M8" i="43"/>
  <c r="N8" i="43"/>
  <c r="O8" i="43"/>
  <c r="P8" i="43"/>
  <c r="BF8" i="43"/>
  <c r="BG8" i="43"/>
  <c r="BH8" i="43"/>
  <c r="BI8" i="43"/>
  <c r="I10" i="43"/>
  <c r="J10" i="43"/>
  <c r="K10" i="43"/>
  <c r="L10" i="43"/>
  <c r="M10" i="43"/>
  <c r="N10" i="43"/>
  <c r="O10" i="43"/>
  <c r="P10" i="43"/>
  <c r="BF10" i="43"/>
  <c r="BG10" i="43"/>
  <c r="BH10" i="43"/>
  <c r="BI10" i="43"/>
  <c r="I13" i="43"/>
  <c r="J13" i="43"/>
  <c r="K13" i="43"/>
  <c r="L13" i="43"/>
  <c r="M13" i="43"/>
  <c r="N13" i="43"/>
  <c r="O13" i="43"/>
  <c r="P13" i="43"/>
  <c r="BF13" i="43"/>
  <c r="BG13" i="43"/>
  <c r="BH13" i="43"/>
  <c r="BI13" i="43"/>
  <c r="I14" i="43"/>
  <c r="J14" i="43"/>
  <c r="K14" i="43"/>
  <c r="L14" i="43"/>
  <c r="M14" i="43"/>
  <c r="N14" i="43"/>
  <c r="O14" i="43"/>
  <c r="P14" i="43"/>
  <c r="BF14" i="43"/>
  <c r="BG14" i="43"/>
  <c r="BH14" i="43"/>
  <c r="BI14" i="43"/>
  <c r="I16" i="43"/>
  <c r="J16" i="43"/>
  <c r="K16" i="43"/>
  <c r="L16" i="43"/>
  <c r="M16" i="43"/>
  <c r="N16" i="43"/>
  <c r="O16" i="43"/>
  <c r="P16" i="43"/>
  <c r="BF16" i="43"/>
  <c r="BG16" i="43"/>
  <c r="BH16" i="43"/>
  <c r="BI16" i="43"/>
  <c r="I18" i="43"/>
  <c r="J18" i="43"/>
  <c r="K18" i="43"/>
  <c r="L18" i="43"/>
  <c r="M18" i="43"/>
  <c r="N18" i="43"/>
  <c r="O18" i="43"/>
  <c r="P18" i="43"/>
  <c r="BF18" i="43"/>
  <c r="BG18" i="43"/>
  <c r="BH18" i="43"/>
  <c r="BI18" i="43"/>
  <c r="I21" i="43"/>
  <c r="J21" i="43"/>
  <c r="K21" i="43"/>
  <c r="L21" i="43"/>
  <c r="M21" i="43"/>
  <c r="N21" i="43"/>
  <c r="O21" i="43"/>
  <c r="P21" i="43"/>
  <c r="BF21" i="43"/>
  <c r="BG21" i="43"/>
  <c r="BH21" i="43"/>
  <c r="BI21" i="43"/>
  <c r="I22" i="43"/>
  <c r="J22" i="43"/>
  <c r="K22" i="43"/>
  <c r="L22" i="43"/>
  <c r="M22" i="43"/>
  <c r="N22" i="43"/>
  <c r="O22" i="43"/>
  <c r="P22" i="43"/>
  <c r="BF22" i="43"/>
  <c r="BG22" i="43"/>
  <c r="BH22" i="43"/>
  <c r="BI22" i="43"/>
  <c r="I24" i="43"/>
  <c r="J24" i="43"/>
  <c r="K24" i="43"/>
  <c r="L24" i="43"/>
  <c r="M24" i="43"/>
  <c r="N24" i="43"/>
  <c r="O24" i="43"/>
  <c r="P24" i="43"/>
  <c r="BF24" i="43"/>
  <c r="BG24" i="43"/>
  <c r="BH24" i="43"/>
  <c r="BI24" i="43"/>
  <c r="I25" i="43"/>
  <c r="J25" i="43"/>
  <c r="K25" i="43"/>
  <c r="L25" i="43"/>
  <c r="M25" i="43"/>
  <c r="N25" i="43"/>
  <c r="O25" i="43"/>
  <c r="P25" i="43"/>
  <c r="BF25" i="43"/>
  <c r="BG25" i="43"/>
  <c r="BH25" i="43"/>
  <c r="BI25" i="43"/>
  <c r="I26" i="43"/>
  <c r="J26" i="43"/>
  <c r="K26" i="43"/>
  <c r="L26" i="43"/>
  <c r="M26" i="43"/>
  <c r="N26" i="43"/>
  <c r="O26" i="43"/>
  <c r="P26" i="43"/>
  <c r="BF26" i="43"/>
  <c r="BG26" i="43"/>
  <c r="BH26" i="43"/>
  <c r="BI26" i="43"/>
  <c r="I28" i="43"/>
  <c r="J28" i="43"/>
  <c r="K28" i="43"/>
  <c r="L28" i="43"/>
  <c r="M28" i="43"/>
  <c r="N28" i="43"/>
  <c r="O28" i="43"/>
  <c r="P28" i="43"/>
  <c r="BF28" i="43"/>
  <c r="BG28" i="43"/>
  <c r="BH28" i="43"/>
  <c r="BI28" i="43"/>
  <c r="I30" i="43"/>
  <c r="J30" i="43"/>
  <c r="K30" i="43"/>
  <c r="L30" i="43"/>
  <c r="M30" i="43"/>
  <c r="N30" i="43"/>
  <c r="O30" i="43"/>
  <c r="P30" i="43"/>
  <c r="BF30" i="43"/>
  <c r="BG30" i="43"/>
  <c r="BH30" i="43"/>
  <c r="BI30" i="43"/>
  <c r="I33" i="43"/>
  <c r="J33" i="43"/>
  <c r="K33" i="43"/>
  <c r="L33" i="43"/>
  <c r="M33" i="43"/>
  <c r="N33" i="43"/>
  <c r="O33" i="43"/>
  <c r="P33" i="43"/>
  <c r="BF33" i="43"/>
  <c r="BG33" i="43"/>
  <c r="BH33" i="43"/>
  <c r="BI33" i="43"/>
  <c r="I34" i="43"/>
  <c r="J34" i="43"/>
  <c r="K34" i="43"/>
  <c r="L34" i="43"/>
  <c r="M34" i="43"/>
  <c r="N34" i="43"/>
  <c r="O34" i="43"/>
  <c r="P34" i="43"/>
  <c r="BF34" i="43"/>
  <c r="BG34" i="43"/>
  <c r="BH34" i="43"/>
  <c r="BI34" i="43"/>
  <c r="I36" i="43"/>
  <c r="J36" i="43"/>
  <c r="K36" i="43"/>
  <c r="L36" i="43"/>
  <c r="M36" i="43"/>
  <c r="N36" i="43"/>
  <c r="O36" i="43"/>
  <c r="P36" i="43"/>
  <c r="BF36" i="43"/>
  <c r="BG36" i="43"/>
  <c r="BH36" i="43"/>
  <c r="BI36" i="43"/>
  <c r="I37" i="43"/>
  <c r="J37" i="43"/>
  <c r="K37" i="43"/>
  <c r="L37" i="43"/>
  <c r="M37" i="43"/>
  <c r="N37" i="43"/>
  <c r="O37" i="43"/>
  <c r="P37" i="43"/>
  <c r="BF37" i="43"/>
  <c r="BG37" i="43"/>
  <c r="BH37" i="43"/>
  <c r="BI37" i="43"/>
  <c r="I38" i="43"/>
  <c r="J38" i="43"/>
  <c r="K38" i="43"/>
  <c r="L38" i="43"/>
  <c r="M38" i="43"/>
  <c r="N38" i="43"/>
  <c r="O38" i="43"/>
  <c r="P38" i="43"/>
  <c r="BF38" i="43"/>
  <c r="BG38" i="43"/>
  <c r="BH38" i="43"/>
  <c r="BI38" i="43"/>
  <c r="I44" i="43"/>
  <c r="J44" i="43"/>
  <c r="K44" i="43"/>
  <c r="L44" i="43"/>
  <c r="M44" i="43"/>
  <c r="N44" i="43"/>
  <c r="O44" i="43"/>
  <c r="P44" i="43"/>
  <c r="BF44" i="43"/>
  <c r="BG44" i="43"/>
  <c r="BH44" i="43"/>
  <c r="BI44" i="43"/>
  <c r="I46" i="43"/>
  <c r="J46" i="43"/>
  <c r="K46" i="43"/>
  <c r="L46" i="43"/>
  <c r="M46" i="43"/>
  <c r="N46" i="43"/>
  <c r="O46" i="43"/>
  <c r="P46" i="43"/>
  <c r="BF46" i="43"/>
  <c r="BG46" i="43"/>
  <c r="BH46" i="43"/>
  <c r="BI46" i="43"/>
  <c r="I47" i="43"/>
  <c r="I49" i="43"/>
  <c r="J49" i="43"/>
  <c r="K49" i="43"/>
  <c r="L49" i="43"/>
  <c r="M49" i="43"/>
  <c r="N49" i="43"/>
  <c r="O49" i="43"/>
  <c r="P49" i="43"/>
  <c r="BF49" i="43"/>
  <c r="BG49" i="43"/>
  <c r="BH49" i="43"/>
  <c r="BI49" i="43"/>
  <c r="I53" i="43"/>
  <c r="J53" i="43"/>
  <c r="K53" i="43"/>
  <c r="L53" i="43"/>
  <c r="M53" i="43"/>
  <c r="N53" i="43"/>
  <c r="O53" i="43"/>
  <c r="P53" i="43"/>
  <c r="BF53" i="43"/>
  <c r="BG53" i="43"/>
  <c r="BH53" i="43"/>
  <c r="BI53" i="43"/>
  <c r="I60" i="43"/>
  <c r="J60" i="43"/>
  <c r="K60" i="43"/>
  <c r="L60" i="43"/>
  <c r="M60" i="43"/>
  <c r="N60" i="43"/>
  <c r="O60" i="43"/>
  <c r="P60" i="43"/>
  <c r="BF60" i="43"/>
  <c r="BG60" i="43"/>
  <c r="BH60" i="43"/>
  <c r="BI60" i="43"/>
  <c r="I61" i="43"/>
  <c r="J61" i="43"/>
  <c r="K61" i="43"/>
  <c r="L61" i="43"/>
  <c r="M61" i="43"/>
  <c r="N61" i="43"/>
  <c r="O61" i="43"/>
  <c r="P61" i="43"/>
  <c r="BF61" i="43"/>
  <c r="BG61" i="43"/>
  <c r="BH61" i="43"/>
  <c r="BI61" i="43"/>
  <c r="AF5" i="47"/>
  <c r="AF6" i="47"/>
  <c r="AF7" i="47"/>
  <c r="AF8" i="47"/>
  <c r="AF9" i="47"/>
  <c r="AF10" i="47"/>
</calcChain>
</file>

<file path=xl/comments1.xml><?xml version="1.0" encoding="utf-8"?>
<comments xmlns="http://schemas.openxmlformats.org/spreadsheetml/2006/main">
  <authors>
    <author>Lam, Lisa (Research)</author>
  </authors>
  <commentList>
    <comment ref="W8" authorId="0">
      <text>
        <r>
          <rPr>
            <sz val="10"/>
            <color indexed="81"/>
            <rFont val="Tahoma"/>
            <family val="2"/>
          </rPr>
          <t>adjusted consolidated EBITDA</t>
        </r>
      </text>
    </comment>
    <comment ref="W10" authorId="0">
      <text>
        <r>
          <rPr>
            <sz val="10"/>
            <color indexed="81"/>
            <rFont val="Tahoma"/>
            <family val="2"/>
          </rPr>
          <t>capex + interest during construction</t>
        </r>
      </text>
    </comment>
  </commentList>
</comments>
</file>

<file path=xl/comments2.xml><?xml version="1.0" encoding="utf-8"?>
<comments xmlns="http://schemas.openxmlformats.org/spreadsheetml/2006/main">
  <authors>
    <author>Lam, Lisa (Research)</author>
    <author>Sinkevicius, Armintas (Research)</author>
  </authors>
  <commentList>
    <comment ref="BD12" authorId="0">
      <text>
        <r>
          <rPr>
            <sz val="10"/>
            <color indexed="81"/>
            <rFont val="Tahoma"/>
            <family val="2"/>
          </rPr>
          <t>moving to holding company structure
corporate ppl moved to units and units bearing costs</t>
        </r>
      </text>
    </comment>
    <comment ref="BE12" authorId="0">
      <text>
        <r>
          <rPr>
            <sz val="10"/>
            <color indexed="81"/>
            <rFont val="Tahoma"/>
            <family val="2"/>
          </rPr>
          <t>moving to holding company structure
corporate ppl moved to units and units bearing costs</t>
        </r>
      </text>
    </comment>
    <comment ref="BD20" authorId="0">
      <text>
        <r>
          <rPr>
            <sz val="10"/>
            <color indexed="81"/>
            <rFont val="Tahoma"/>
            <family val="2"/>
          </rPr>
          <t>moving to holding company structure
corporate ppl moved to units and units bearing costs</t>
        </r>
      </text>
    </comment>
    <comment ref="BE20" authorId="0">
      <text>
        <r>
          <rPr>
            <sz val="10"/>
            <color indexed="81"/>
            <rFont val="Tahoma"/>
            <family val="2"/>
          </rPr>
          <t>moving to holding company structure
corporate ppl moved to units and units bearing costs</t>
        </r>
      </text>
    </comment>
    <comment ref="AN21" authorId="1">
      <text>
        <r>
          <rPr>
            <b/>
            <sz val="9"/>
            <color indexed="81"/>
            <rFont val="Tahoma"/>
            <family val="2"/>
          </rPr>
          <t>Sinkevicius, Armintas (Research):</t>
        </r>
        <r>
          <rPr>
            <sz val="9"/>
            <color indexed="81"/>
            <rFont val="Tahoma"/>
            <family val="2"/>
          </rPr>
          <t xml:space="preserve">
impact of previously disclosed transfer of spectrum</t>
        </r>
      </text>
    </comment>
    <comment ref="AO21" authorId="1">
      <text>
        <r>
          <rPr>
            <b/>
            <sz val="9"/>
            <color indexed="81"/>
            <rFont val="Tahoma"/>
            <family val="2"/>
          </rPr>
          <t>Sinkevicius, Armintas (Research):</t>
        </r>
        <r>
          <rPr>
            <sz val="9"/>
            <color indexed="81"/>
            <rFont val="Tahoma"/>
            <family val="2"/>
          </rPr>
          <t xml:space="preserve">
actuarial gain / loss + separation charges</t>
        </r>
      </text>
    </comment>
    <comment ref="AP21" authorId="1">
      <text>
        <r>
          <rPr>
            <b/>
            <sz val="9"/>
            <color indexed="81"/>
            <rFont val="Tahoma"/>
            <family val="2"/>
          </rPr>
          <t>Sinkevicius, Armintas (Research):</t>
        </r>
        <r>
          <rPr>
            <sz val="9"/>
            <color indexed="81"/>
            <rFont val="Tahoma"/>
            <family val="2"/>
          </rPr>
          <t xml:space="preserve">
LEAP integration costs</t>
        </r>
      </text>
    </comment>
    <comment ref="AQ21" authorId="1">
      <text>
        <r>
          <rPr>
            <b/>
            <sz val="9"/>
            <color indexed="81"/>
            <rFont val="Tahoma"/>
            <family val="2"/>
          </rPr>
          <t>Sinkevicius, Armintas (Research):</t>
        </r>
        <r>
          <rPr>
            <sz val="9"/>
            <color indexed="81"/>
            <rFont val="Tahoma"/>
            <family val="2"/>
          </rPr>
          <t xml:space="preserve">
LEAP integration costs</t>
        </r>
      </text>
    </comment>
    <comment ref="AR21" authorId="1">
      <text>
        <r>
          <rPr>
            <b/>
            <sz val="9"/>
            <color indexed="81"/>
            <rFont val="Tahoma"/>
            <family val="2"/>
          </rPr>
          <t>Sinkevicius, Armintas (Research):</t>
        </r>
        <r>
          <rPr>
            <sz val="9"/>
            <color indexed="81"/>
            <rFont val="Tahoma"/>
            <family val="2"/>
          </rPr>
          <t xml:space="preserve">
LEAP integration costs</t>
        </r>
      </text>
    </comment>
    <comment ref="AS21" authorId="1">
      <text>
        <r>
          <rPr>
            <b/>
            <sz val="9"/>
            <color indexed="81"/>
            <rFont val="Tahoma"/>
            <family val="2"/>
          </rPr>
          <t>Sinkevicius, Armintas (Research):</t>
        </r>
        <r>
          <rPr>
            <sz val="9"/>
            <color indexed="81"/>
            <rFont val="Tahoma"/>
            <family val="2"/>
          </rPr>
          <t xml:space="preserve">
LEAP integration costs + actuarial gain / loss,
excl. abandonment of network assets</t>
        </r>
      </text>
    </comment>
    <comment ref="AT21" authorId="1">
      <text>
        <r>
          <rPr>
            <b/>
            <sz val="9"/>
            <color indexed="81"/>
            <rFont val="Tahoma"/>
            <family val="2"/>
          </rPr>
          <t>Sinkevicius, Armintas (Research):</t>
        </r>
        <r>
          <rPr>
            <sz val="9"/>
            <color indexed="81"/>
            <rFont val="Tahoma"/>
            <family val="2"/>
          </rPr>
          <t xml:space="preserve">
LEAP integration costs
+ pension termination</t>
        </r>
      </text>
    </comment>
    <comment ref="AU21" authorId="1">
      <text>
        <r>
          <rPr>
            <b/>
            <sz val="9"/>
            <color indexed="81"/>
            <rFont val="Tahoma"/>
            <family val="2"/>
          </rPr>
          <t>Sinkevicius, Armintas (Research):</t>
        </r>
        <r>
          <rPr>
            <sz val="9"/>
            <color indexed="81"/>
            <rFont val="Tahoma"/>
            <family val="2"/>
          </rPr>
          <t xml:space="preserve">
LEAP integration costs
+ wireless integration
+ DTV / MX merger costs</t>
        </r>
      </text>
    </comment>
    <comment ref="AV21" authorId="1">
      <text>
        <r>
          <rPr>
            <b/>
            <sz val="9"/>
            <color indexed="81"/>
            <rFont val="Tahoma"/>
            <family val="2"/>
          </rPr>
          <t>Sinkevicius, Armintas (Research):</t>
        </r>
        <r>
          <rPr>
            <sz val="9"/>
            <color indexed="81"/>
            <rFont val="Tahoma"/>
            <family val="2"/>
          </rPr>
          <t xml:space="preserve">
LEAP integration costs
+ wireless integration
+ DTV / MX merger costs
+ employee separation costs
+ other</t>
        </r>
      </text>
    </comment>
    <comment ref="AW21" authorId="1">
      <text>
        <r>
          <rPr>
            <sz val="10"/>
            <color indexed="81"/>
            <rFont val="Tahoma"/>
            <family val="2"/>
          </rPr>
          <t xml:space="preserve">+ actuarial gain on benefit plans
- wireless integration
- LEAP integration costs
- DTV / MX merger costs
- employee separation
</t>
        </r>
      </text>
    </comment>
    <comment ref="AX21" authorId="1">
      <text>
        <r>
          <rPr>
            <sz val="10"/>
            <color indexed="81"/>
            <rFont val="Tahoma"/>
            <family val="2"/>
          </rPr>
          <t xml:space="preserve">- wireless integration
- DTV / MX merger costs
- employee separation
+gain on transfer of wireless spectrum
</t>
        </r>
      </text>
    </comment>
    <comment ref="AY21" authorId="1">
      <text>
        <r>
          <rPr>
            <sz val="10"/>
            <color indexed="81"/>
            <rFont val="Tahoma"/>
            <family val="2"/>
          </rPr>
          <t xml:space="preserve">- wireless integration
- DTV / MX merger costs
- employee separation
</t>
        </r>
      </text>
    </comment>
    <comment ref="AZ21" authorId="1">
      <text>
        <r>
          <rPr>
            <sz val="10"/>
            <color indexed="81"/>
            <rFont val="Tahoma"/>
            <family val="2"/>
          </rPr>
          <t xml:space="preserve">- DTV merger costs
- MX merger costs
- wireless integration
- employee separation
- loss on transfer of wireless spectrum
- storm costs
+ storm credit to revenue (adjustment)
</t>
        </r>
      </text>
    </comment>
    <comment ref="BA21" authorId="1">
      <text>
        <r>
          <rPr>
            <sz val="10"/>
            <color indexed="81"/>
            <rFont val="Tahoma"/>
            <family val="2"/>
          </rPr>
          <t xml:space="preserve">includes asset abandonment
</t>
        </r>
        <r>
          <rPr>
            <u/>
            <sz val="10"/>
            <color indexed="81"/>
            <rFont val="Tahoma"/>
            <family val="2"/>
          </rPr>
          <t>Adjustments</t>
        </r>
        <r>
          <rPr>
            <sz val="10"/>
            <color indexed="81"/>
            <rFont val="Tahoma"/>
            <family val="2"/>
          </rPr>
          <t xml:space="preserve">
- DTV merger costs
- MX merger costs
- TWX merger costs
- wireless integration
- asset abandonments and impairments
- storm costs
- employee separation
- actualrial loss
- storm credit to revenue (adjustment)
</t>
        </r>
      </text>
    </comment>
    <comment ref="BB21" authorId="1">
      <text>
        <r>
          <rPr>
            <sz val="10"/>
            <color indexed="81"/>
            <rFont val="Tahoma"/>
            <family val="2"/>
          </rPr>
          <t xml:space="preserve">includes asset abandonment
</t>
        </r>
        <r>
          <rPr>
            <u/>
            <sz val="10"/>
            <color indexed="81"/>
            <rFont val="Tahoma"/>
            <family val="2"/>
          </rPr>
          <t>Adjustments</t>
        </r>
        <r>
          <rPr>
            <sz val="10"/>
            <color indexed="81"/>
            <rFont val="Tahoma"/>
            <family val="2"/>
          </rPr>
          <t xml:space="preserve">
- DTV merger costs
- MX merger costs
- TWX merger costs
+ gain on transfer of wireless spectrum</t>
        </r>
      </text>
    </comment>
    <comment ref="BC21" authorId="1">
      <text>
        <r>
          <rPr>
            <sz val="10"/>
            <color indexed="81"/>
            <rFont val="Tahoma"/>
            <family val="2"/>
          </rPr>
          <t xml:space="preserve">includes asset abandonment
</t>
        </r>
        <r>
          <rPr>
            <u/>
            <sz val="10"/>
            <color indexed="81"/>
            <rFont val="Tahoma"/>
            <family val="2"/>
          </rPr>
          <t>Adjustments</t>
        </r>
        <r>
          <rPr>
            <sz val="10"/>
            <color indexed="81"/>
            <rFont val="Tahoma"/>
            <family val="2"/>
          </rPr>
          <t xml:space="preserve">
- DTV merger costs
- MX merger costs
- TWX merger costs
+actuarial gain
-employee separation costs
+ gain on transfer of wireless spectrum
-Venezuela devaluation</t>
        </r>
      </text>
    </comment>
    <comment ref="BD21" authorId="1">
      <text>
        <r>
          <rPr>
            <sz val="10"/>
            <color indexed="81"/>
            <rFont val="Tahoma"/>
            <family val="2"/>
          </rPr>
          <t xml:space="preserve">includes asset abandonment
</t>
        </r>
        <r>
          <rPr>
            <u/>
            <sz val="10"/>
            <color indexed="81"/>
            <rFont val="Tahoma"/>
            <family val="2"/>
          </rPr>
          <t>Adjustments</t>
        </r>
        <r>
          <rPr>
            <sz val="10"/>
            <color indexed="81"/>
            <rFont val="Tahoma"/>
            <family val="2"/>
          </rPr>
          <t xml:space="preserve">
- DTV merger costs
- MX merger costs
- TWX merger costs
-employee separation costs
-natural disaster costs
-natural disaster credit (to revenues)</t>
        </r>
      </text>
    </comment>
    <comment ref="BE21" authorId="1">
      <text>
        <r>
          <rPr>
            <sz val="10"/>
            <color indexed="81"/>
            <rFont val="Tahoma"/>
            <family val="2"/>
          </rPr>
          <t xml:space="preserve">includes asset abandonment
</t>
        </r>
        <r>
          <rPr>
            <u/>
            <sz val="10"/>
            <color indexed="81"/>
            <rFont val="Tahoma"/>
            <family val="2"/>
          </rPr>
          <t>Adjustments</t>
        </r>
        <r>
          <rPr>
            <sz val="10"/>
            <color indexed="81"/>
            <rFont val="Tahoma"/>
            <family val="2"/>
          </rPr>
          <t xml:space="preserve">
- DTV merger costs
- MX merger costs
- TWX merger costs
-actuarial loss
-asset abandonment and impairment
-employee separation costs
-natural disaster costs
-natural disaster credit (to revenues)</t>
        </r>
      </text>
    </comment>
    <comment ref="AP33" authorId="1">
      <text>
        <r>
          <rPr>
            <b/>
            <sz val="9"/>
            <color indexed="81"/>
            <rFont val="Tahoma"/>
            <family val="2"/>
          </rPr>
          <t>Sinkevicius, Armintas (Research):</t>
        </r>
        <r>
          <rPr>
            <sz val="9"/>
            <color indexed="81"/>
            <rFont val="Tahoma"/>
            <family val="2"/>
          </rPr>
          <t xml:space="preserve">
LEAP integration costs</t>
        </r>
      </text>
    </comment>
    <comment ref="AQ33" authorId="1">
      <text>
        <r>
          <rPr>
            <b/>
            <sz val="9"/>
            <color indexed="81"/>
            <rFont val="Tahoma"/>
            <family val="2"/>
          </rPr>
          <t>Sinkevicius, Armintas (Research):</t>
        </r>
        <r>
          <rPr>
            <sz val="9"/>
            <color indexed="81"/>
            <rFont val="Tahoma"/>
            <family val="2"/>
          </rPr>
          <t xml:space="preserve">
LEAP integration costs</t>
        </r>
      </text>
    </comment>
    <comment ref="AR33" authorId="1">
      <text>
        <r>
          <rPr>
            <b/>
            <sz val="9"/>
            <color indexed="81"/>
            <rFont val="Tahoma"/>
            <family val="2"/>
          </rPr>
          <t>Sinkevicius, Armintas (Research):</t>
        </r>
        <r>
          <rPr>
            <sz val="9"/>
            <color indexed="81"/>
            <rFont val="Tahoma"/>
            <family val="2"/>
          </rPr>
          <t xml:space="preserve">
LEAP integration costs</t>
        </r>
      </text>
    </comment>
    <comment ref="AS33" authorId="1">
      <text>
        <r>
          <rPr>
            <b/>
            <sz val="9"/>
            <color indexed="81"/>
            <rFont val="Tahoma"/>
            <family val="2"/>
          </rPr>
          <t>Sinkevicius, Armintas (Research):</t>
        </r>
        <r>
          <rPr>
            <sz val="9"/>
            <color indexed="81"/>
            <rFont val="Tahoma"/>
            <family val="2"/>
          </rPr>
          <t xml:space="preserve">
LEAP integration costs</t>
        </r>
      </text>
    </comment>
    <comment ref="AT33" authorId="1">
      <text>
        <r>
          <rPr>
            <b/>
            <sz val="9"/>
            <color indexed="81"/>
            <rFont val="Tahoma"/>
            <family val="2"/>
          </rPr>
          <t>Sinkevicius, Armintas (Research):</t>
        </r>
        <r>
          <rPr>
            <sz val="9"/>
            <color indexed="81"/>
            <rFont val="Tahoma"/>
            <family val="2"/>
          </rPr>
          <t xml:space="preserve">
LEAP integration costs</t>
        </r>
      </text>
    </comment>
    <comment ref="AU33" authorId="1">
      <text>
        <r>
          <rPr>
            <sz val="10"/>
            <color indexed="81"/>
            <rFont val="Tahoma"/>
            <family val="2"/>
          </rPr>
          <t>LEAP integration costs
+ wireless integration
+ DTV / MX merger costs</t>
        </r>
      </text>
    </comment>
    <comment ref="AV33" authorId="1">
      <text>
        <r>
          <rPr>
            <b/>
            <sz val="9"/>
            <color indexed="81"/>
            <rFont val="Tahoma"/>
            <family val="2"/>
          </rPr>
          <t>Sinkevicius, Armintas (Research):</t>
        </r>
        <r>
          <rPr>
            <sz val="9"/>
            <color indexed="81"/>
            <rFont val="Tahoma"/>
            <family val="2"/>
          </rPr>
          <t xml:space="preserve">
LEAP integration costs
+ wireless integration
+ DTV / MX merger costs
+ amortization of intangibles
+ employee separation costs
+ other</t>
        </r>
      </text>
    </comment>
    <comment ref="AW33" authorId="1">
      <text>
        <r>
          <rPr>
            <sz val="10"/>
            <color indexed="81"/>
            <rFont val="Tahoma"/>
            <family val="2"/>
          </rPr>
          <t xml:space="preserve">- amortization of intangibles
</t>
        </r>
      </text>
    </comment>
    <comment ref="AX33" authorId="1">
      <text>
        <r>
          <rPr>
            <sz val="10"/>
            <color indexed="81"/>
            <rFont val="Tahoma"/>
            <family val="2"/>
          </rPr>
          <t xml:space="preserve">- amortization of intangibles
</t>
        </r>
      </text>
    </comment>
    <comment ref="AY33" authorId="1">
      <text>
        <r>
          <rPr>
            <sz val="10"/>
            <color indexed="81"/>
            <rFont val="Tahoma"/>
            <family val="2"/>
          </rPr>
          <t xml:space="preserve">- amortization of intangibles
</t>
        </r>
      </text>
    </comment>
    <comment ref="AZ33" authorId="1">
      <text>
        <r>
          <rPr>
            <sz val="10"/>
            <color indexed="81"/>
            <rFont val="Tahoma"/>
            <family val="2"/>
          </rPr>
          <t xml:space="preserve">- amortization of intangibles
</t>
        </r>
      </text>
    </comment>
    <comment ref="BA33" authorId="1">
      <text>
        <r>
          <rPr>
            <sz val="10"/>
            <color indexed="81"/>
            <rFont val="Tahoma"/>
            <family val="2"/>
          </rPr>
          <t>- amortization of intangibles
- impairments</t>
        </r>
      </text>
    </comment>
    <comment ref="BB33" authorId="1">
      <text>
        <r>
          <rPr>
            <sz val="10"/>
            <color indexed="81"/>
            <rFont val="Tahoma"/>
            <family val="2"/>
          </rPr>
          <t xml:space="preserve">- amortization of intangibles
</t>
        </r>
      </text>
    </comment>
    <comment ref="BC33" authorId="1">
      <text>
        <r>
          <rPr>
            <sz val="10"/>
            <color indexed="81"/>
            <rFont val="Tahoma"/>
            <family val="2"/>
          </rPr>
          <t xml:space="preserve">- amortization of intangibles
</t>
        </r>
      </text>
    </comment>
    <comment ref="BD33" authorId="1">
      <text>
        <r>
          <rPr>
            <sz val="10"/>
            <color indexed="81"/>
            <rFont val="Tahoma"/>
            <family val="2"/>
          </rPr>
          <t xml:space="preserve">- amortization of intangibles
</t>
        </r>
      </text>
    </comment>
    <comment ref="BE33" authorId="1">
      <text>
        <r>
          <rPr>
            <sz val="10"/>
            <color indexed="81"/>
            <rFont val="Tahoma"/>
            <family val="2"/>
          </rPr>
          <t>- amortization of intangibles
-impairment</t>
        </r>
      </text>
    </comment>
    <comment ref="BA43" authorId="1">
      <text>
        <r>
          <rPr>
            <sz val="10"/>
            <color indexed="81"/>
            <rFont val="Tahoma"/>
            <family val="2"/>
          </rPr>
          <t>adj. for:
- loss on sale of investments and impairments</t>
        </r>
      </text>
    </comment>
    <comment ref="BB43" authorId="1">
      <text>
        <r>
          <rPr>
            <sz val="10"/>
            <color indexed="81"/>
            <rFont val="Tahoma"/>
            <family val="2"/>
          </rPr>
          <t>adj. for:
+ merger related interest expense and exchange fees
+ loss on sale of investments and impairments</t>
        </r>
      </text>
    </comment>
    <comment ref="BC43" authorId="1">
      <text>
        <r>
          <rPr>
            <sz val="10"/>
            <color indexed="81"/>
            <rFont val="Tahoma"/>
            <family val="2"/>
          </rPr>
          <t>adj. for:
+ merger related interest expense and exchange fees
- gain on sale of investments and impairments</t>
        </r>
      </text>
    </comment>
    <comment ref="BD43" authorId="1">
      <text>
        <r>
          <rPr>
            <sz val="10"/>
            <color indexed="81"/>
            <rFont val="Tahoma"/>
            <family val="2"/>
          </rPr>
          <t>adj. for:
+ merger related interest expense and exchange fees
- gain on sale of investments and impairments</t>
        </r>
      </text>
    </comment>
    <comment ref="BE43" authorId="1">
      <text>
        <r>
          <rPr>
            <sz val="10"/>
            <color indexed="81"/>
            <rFont val="Tahoma"/>
            <family val="2"/>
          </rPr>
          <t>adj. for:
+ merger related interest expense and exchange fees
+ debt exchange costs, (gain) on sale of investments and impairments and other adjustments</t>
        </r>
      </text>
    </comment>
    <comment ref="BF43" authorId="0">
      <text>
        <r>
          <rPr>
            <sz val="9"/>
            <color indexed="81"/>
            <rFont val="Tahoma"/>
            <family val="2"/>
          </rPr>
          <t>merger related interest expense</t>
        </r>
      </text>
    </comment>
    <comment ref="BG43" authorId="0">
      <text>
        <r>
          <rPr>
            <sz val="9"/>
            <color indexed="81"/>
            <rFont val="Tahoma"/>
            <family val="2"/>
          </rPr>
          <t>merger related interest expense</t>
        </r>
      </text>
    </comment>
    <comment ref="BH43" authorId="0">
      <text>
        <r>
          <rPr>
            <sz val="9"/>
            <color indexed="81"/>
            <rFont val="Tahoma"/>
            <family val="2"/>
          </rPr>
          <t>merger related interest expense</t>
        </r>
      </text>
    </comment>
    <comment ref="BI43" authorId="0">
      <text>
        <r>
          <rPr>
            <sz val="9"/>
            <color indexed="81"/>
            <rFont val="Tahoma"/>
            <family val="2"/>
          </rPr>
          <t>merger related interest expense</t>
        </r>
      </text>
    </comment>
    <comment ref="AL46" authorId="1">
      <text>
        <r>
          <rPr>
            <b/>
            <sz val="9"/>
            <color indexed="81"/>
            <rFont val="Tahoma"/>
            <family val="2"/>
          </rPr>
          <t>Sinkevicius, Armintas (Research):</t>
        </r>
        <r>
          <rPr>
            <sz val="9"/>
            <color indexed="81"/>
            <rFont val="Tahoma"/>
            <family val="2"/>
          </rPr>
          <t xml:space="preserve">
income tax settlement</t>
        </r>
      </text>
    </comment>
    <comment ref="AN46" authorId="1">
      <text>
        <r>
          <rPr>
            <b/>
            <sz val="9"/>
            <color indexed="81"/>
            <rFont val="Tahoma"/>
            <family val="2"/>
          </rPr>
          <t>Sinkevicius, Armintas (Research):</t>
        </r>
        <r>
          <rPr>
            <sz val="9"/>
            <color indexed="81"/>
            <rFont val="Tahoma"/>
            <family val="2"/>
          </rPr>
          <t xml:space="preserve">
income tax settlement
impact of previously disclosed transfer of spectrum</t>
        </r>
      </text>
    </comment>
    <comment ref="AO46" authorId="1">
      <text>
        <r>
          <rPr>
            <b/>
            <sz val="9"/>
            <color indexed="81"/>
            <rFont val="Tahoma"/>
            <family val="2"/>
          </rPr>
          <t>Sinkevicius, Armintas (Research):</t>
        </r>
        <r>
          <rPr>
            <sz val="9"/>
            <color indexed="81"/>
            <rFont val="Tahoma"/>
            <family val="2"/>
          </rPr>
          <t xml:space="preserve">
tax adj. for actuarial gain / loss + separation charges</t>
        </r>
      </text>
    </comment>
    <comment ref="AP46" authorId="1">
      <text>
        <r>
          <rPr>
            <b/>
            <sz val="9"/>
            <color indexed="81"/>
            <rFont val="Tahoma"/>
            <family val="2"/>
          </rPr>
          <t>Sinkevicius, Armintas (Research):</t>
        </r>
        <r>
          <rPr>
            <sz val="9"/>
            <color indexed="81"/>
            <rFont val="Tahoma"/>
            <family val="2"/>
          </rPr>
          <t xml:space="preserve">
tax adj. for LEAP integration costs</t>
        </r>
      </text>
    </comment>
    <comment ref="AQ46" authorId="1">
      <text>
        <r>
          <rPr>
            <b/>
            <sz val="9"/>
            <color indexed="81"/>
            <rFont val="Tahoma"/>
            <family val="2"/>
          </rPr>
          <t>Sinkevicius, Armintas (Research):</t>
        </r>
        <r>
          <rPr>
            <sz val="9"/>
            <color indexed="81"/>
            <rFont val="Tahoma"/>
            <family val="2"/>
          </rPr>
          <t xml:space="preserve">
tax adj. for LEAP integration costs</t>
        </r>
      </text>
    </comment>
    <comment ref="AR46" authorId="1">
      <text>
        <r>
          <rPr>
            <b/>
            <sz val="9"/>
            <color indexed="81"/>
            <rFont val="Tahoma"/>
            <family val="2"/>
          </rPr>
          <t>Sinkevicius, Armintas (Research):</t>
        </r>
        <r>
          <rPr>
            <sz val="9"/>
            <color indexed="81"/>
            <rFont val="Tahoma"/>
            <family val="2"/>
          </rPr>
          <t xml:space="preserve">
tax adj. for LEAP integration costs</t>
        </r>
      </text>
    </comment>
    <comment ref="AS46" authorId="1">
      <text>
        <r>
          <rPr>
            <b/>
            <sz val="9"/>
            <color indexed="81"/>
            <rFont val="Tahoma"/>
            <family val="2"/>
          </rPr>
          <t>Sinkevicius, Armintas (Research):</t>
        </r>
        <r>
          <rPr>
            <sz val="9"/>
            <color indexed="81"/>
            <rFont val="Tahoma"/>
            <family val="2"/>
          </rPr>
          <t xml:space="preserve">
tax adj. for LEAP integration costs + actuarial gain / loss + abandonment of assets</t>
        </r>
      </text>
    </comment>
    <comment ref="AT46" authorId="1">
      <text>
        <r>
          <rPr>
            <b/>
            <sz val="9"/>
            <color indexed="81"/>
            <rFont val="Tahoma"/>
            <family val="2"/>
          </rPr>
          <t>Sinkevicius, Armintas (Research):</t>
        </r>
        <r>
          <rPr>
            <sz val="9"/>
            <color indexed="81"/>
            <rFont val="Tahoma"/>
            <family val="2"/>
          </rPr>
          <t xml:space="preserve">
income tax settlement + tax adj. for LEAP integration costs + pension termination</t>
        </r>
      </text>
    </comment>
    <comment ref="AU46" authorId="1">
      <text>
        <r>
          <rPr>
            <b/>
            <sz val="9"/>
            <color indexed="81"/>
            <rFont val="Tahoma"/>
            <family val="2"/>
          </rPr>
          <t>Sinkevicius, Armintas (Research):</t>
        </r>
        <r>
          <rPr>
            <sz val="9"/>
            <color indexed="81"/>
            <rFont val="Tahoma"/>
            <family val="2"/>
          </rPr>
          <t xml:space="preserve">
tax adj. for 
LEAP integration costs
+ wireless integration
+ DTV / MX merger costs</t>
        </r>
      </text>
    </comment>
    <comment ref="AV46" authorId="1">
      <text>
        <r>
          <rPr>
            <b/>
            <sz val="9"/>
            <color indexed="81"/>
            <rFont val="Tahoma"/>
            <family val="2"/>
          </rPr>
          <t>Sinkevicius, Armintas (Research):</t>
        </r>
        <r>
          <rPr>
            <sz val="9"/>
            <color indexed="81"/>
            <rFont val="Tahoma"/>
            <family val="2"/>
          </rPr>
          <t xml:space="preserve">
tax adj. for
LEAP integration costs
+ wireless integration
+ DTV / MX merger costs
+ amortization of intangibles
+ employee separation costs
+ other</t>
        </r>
      </text>
    </comment>
    <comment ref="AW46" authorId="1">
      <text>
        <r>
          <rPr>
            <sz val="10"/>
            <color indexed="81"/>
            <rFont val="Tahoma"/>
            <family val="2"/>
          </rPr>
          <t>tax adj. for:
+ actuarial gain on benefit plans
- wireless integration
- LEAP integration costs
- DTV / MX merger costs
- employee separation
- amortization of intangibles
+other EPS adjustments</t>
        </r>
      </text>
    </comment>
    <comment ref="AX46" authorId="1">
      <text>
        <r>
          <rPr>
            <sz val="10"/>
            <color indexed="81"/>
            <rFont val="Tahoma"/>
            <family val="2"/>
          </rPr>
          <t xml:space="preserve">tax adj. for:
+ wireless integration
+ DTV / MX merger costs
+ employee separation
- gain on transfer of wireless spectrum
+ amortization of intangibles
</t>
        </r>
      </text>
    </comment>
    <comment ref="AY46" authorId="1">
      <text>
        <r>
          <rPr>
            <sz val="10"/>
            <color indexed="81"/>
            <rFont val="Tahoma"/>
            <family val="2"/>
          </rPr>
          <t xml:space="preserve">tax adj. for:
+ wireless integration
+ DTV / MX merger costs
+ employee separation
- gain on transfer of wireless spectrum
+ amortization of intangibles
</t>
        </r>
      </text>
    </comment>
    <comment ref="AZ46" authorId="1">
      <text>
        <r>
          <rPr>
            <sz val="10"/>
            <color indexed="81"/>
            <rFont val="Tahoma"/>
            <family val="2"/>
          </rPr>
          <t xml:space="preserve">tax adj. for:
+ wireless integration
+ DTV / MX merger costs
+ employee separation
- gain on transfer of wireless spectrum
+ amortization of intangibles
</t>
        </r>
      </text>
    </comment>
    <comment ref="BA46" authorId="1">
      <text>
        <r>
          <rPr>
            <sz val="10"/>
            <color indexed="81"/>
            <rFont val="Tahoma"/>
            <family val="2"/>
          </rPr>
          <t xml:space="preserve">tax adj. for:
- DTV merger costs
- MX merger costs
- TWX merger costs
- wireless integration
- asset abandonments and impairments
- storm costs
- employee separation
+actualrial loss
+ storm credit to revenue (adjustment)
- amortization of intangibles
- impairments
+ tax-related benefits
</t>
        </r>
      </text>
    </comment>
    <comment ref="BB46" authorId="1">
      <text>
        <r>
          <rPr>
            <sz val="10"/>
            <color indexed="81"/>
            <rFont val="Tahoma"/>
            <family val="2"/>
          </rPr>
          <t xml:space="preserve">tax adj. for:
- DTV merger costs
- MX merger costs
- TWX merger costs
- wireless integration
- asset abandonments and impairments
- storm costs
- employee separation
+actualrial loss
+ storm credit to revenue (adjustment)
- amortization of intangibles
- impairments
+ tax-related benefits
</t>
        </r>
      </text>
    </comment>
    <comment ref="BC46" authorId="1">
      <text>
        <r>
          <rPr>
            <sz val="10"/>
            <color indexed="81"/>
            <rFont val="Tahoma"/>
            <family val="2"/>
          </rPr>
          <t xml:space="preserve">tax adj. for:
- DTV merger costs
- MX merger costs
- TWX merger costs
- wireless integration
- asset abandonments and impairments
- storm costs
- employee separation
+actualrial loss
+ storm credit to revenue (adjustment)
- amortization of intangibles
- impairments
+ tax-related benefits
</t>
        </r>
      </text>
    </comment>
    <comment ref="BD46" authorId="1">
      <text>
        <r>
          <rPr>
            <sz val="10"/>
            <color indexed="81"/>
            <rFont val="Tahoma"/>
            <family val="2"/>
          </rPr>
          <t xml:space="preserve">tax adj. for:
- DTV merger costs
- MX merger costs
- TWX merger costs
- wireless integration
- asset abandonments and impairments
- storm costs
- employee separation
+actualrial loss
+ storm credit to revenue (adjustment)
- amortization of intangibles
- impairments
+ tax-related benefits
</t>
        </r>
      </text>
    </comment>
    <comment ref="BE46" authorId="1">
      <text>
        <r>
          <rPr>
            <sz val="10"/>
            <color indexed="81"/>
            <rFont val="Tahoma"/>
            <family val="2"/>
          </rPr>
          <t>tax adj. for:
items above
tax reform</t>
        </r>
      </text>
    </comment>
    <comment ref="AM49" authorId="1">
      <text>
        <r>
          <rPr>
            <b/>
            <sz val="9"/>
            <color indexed="81"/>
            <rFont val="Tahoma"/>
            <family val="2"/>
          </rPr>
          <t>Sinkevicius, Armintas (Research):</t>
        </r>
        <r>
          <rPr>
            <sz val="9"/>
            <color indexed="81"/>
            <rFont val="Tahoma"/>
            <family val="2"/>
          </rPr>
          <t xml:space="preserve">
gain from sale of America Movil shares</t>
        </r>
      </text>
    </comment>
    <comment ref="AN49" authorId="1">
      <text>
        <r>
          <rPr>
            <b/>
            <sz val="9"/>
            <color indexed="81"/>
            <rFont val="Tahoma"/>
            <family val="2"/>
          </rPr>
          <t>Sinkevicius, Armintas (Research):</t>
        </r>
        <r>
          <rPr>
            <sz val="9"/>
            <color indexed="81"/>
            <rFont val="Tahoma"/>
            <family val="2"/>
          </rPr>
          <t xml:space="preserve">
impact of previously disclosed transfer of spectrum</t>
        </r>
      </text>
    </comment>
    <comment ref="AO49" authorId="1">
      <text>
        <r>
          <rPr>
            <b/>
            <sz val="9"/>
            <color indexed="81"/>
            <rFont val="Tahoma"/>
            <family val="2"/>
          </rPr>
          <t>Sinkevicius, Armintas (Research):</t>
        </r>
        <r>
          <rPr>
            <sz val="9"/>
            <color indexed="81"/>
            <rFont val="Tahoma"/>
            <family val="2"/>
          </rPr>
          <t xml:space="preserve">
early debt redemption costs + gain from sale of America Movil shares</t>
        </r>
      </text>
    </comment>
    <comment ref="AQ49" authorId="1">
      <text>
        <r>
          <rPr>
            <b/>
            <sz val="9"/>
            <color indexed="81"/>
            <rFont val="Tahoma"/>
            <family val="2"/>
          </rPr>
          <t>Sinkevicius, Armintas (Research):</t>
        </r>
        <r>
          <rPr>
            <sz val="9"/>
            <color indexed="81"/>
            <rFont val="Tahoma"/>
            <family val="2"/>
          </rPr>
          <t xml:space="preserve">
gain from sale of America Movil shares</t>
        </r>
      </text>
    </comment>
    <comment ref="AR49" authorId="1">
      <text>
        <r>
          <rPr>
            <b/>
            <sz val="9"/>
            <color indexed="81"/>
            <rFont val="Tahoma"/>
            <family val="2"/>
          </rPr>
          <t>Sinkevicius, Armintas (Research):</t>
        </r>
        <r>
          <rPr>
            <sz val="9"/>
            <color indexed="81"/>
            <rFont val="Tahoma"/>
            <family val="2"/>
          </rPr>
          <t xml:space="preserve">
early debt redemption costs</t>
        </r>
      </text>
    </comment>
    <comment ref="BB57" authorId="0">
      <text>
        <r>
          <rPr>
            <sz val="10"/>
            <color indexed="81"/>
            <rFont val="Tahoma"/>
            <family val="2"/>
          </rPr>
          <t>in non-GAAP</t>
        </r>
      </text>
    </comment>
    <comment ref="BC57" authorId="0">
      <text>
        <r>
          <rPr>
            <sz val="10"/>
            <color indexed="81"/>
            <rFont val="Tahoma"/>
            <family val="2"/>
          </rPr>
          <t>in non-GAAP</t>
        </r>
      </text>
    </comment>
    <comment ref="BD57" authorId="0">
      <text>
        <r>
          <rPr>
            <sz val="10"/>
            <color indexed="81"/>
            <rFont val="Tahoma"/>
            <family val="2"/>
          </rPr>
          <t>in non-GAAP</t>
        </r>
      </text>
    </comment>
    <comment ref="BE57" authorId="0">
      <text>
        <r>
          <rPr>
            <sz val="10"/>
            <color indexed="81"/>
            <rFont val="Tahoma"/>
            <family val="2"/>
          </rPr>
          <t>in non-GAAP</t>
        </r>
      </text>
    </comment>
    <comment ref="F60" authorId="1">
      <text>
        <r>
          <rPr>
            <b/>
            <sz val="9"/>
            <color indexed="81"/>
            <rFont val="Tahoma"/>
            <family val="2"/>
          </rPr>
          <t>Sinkevicius, Armintas (Research):</t>
        </r>
        <r>
          <rPr>
            <sz val="9"/>
            <color indexed="81"/>
            <rFont val="Tahoma"/>
            <family val="2"/>
          </rPr>
          <t xml:space="preserve">
$2.62 - $2.68
3Q15: $2.68 - $2.74</t>
        </r>
      </text>
    </comment>
    <comment ref="G60" authorId="1">
      <text>
        <r>
          <rPr>
            <sz val="10"/>
            <color indexed="81"/>
            <rFont val="Tahoma"/>
            <family val="2"/>
          </rPr>
          <t xml:space="preserve">"mid-single digits or better" growth
+4%:  $2.81
+6%:  $2.87
</t>
        </r>
      </text>
    </comment>
    <comment ref="H60" authorId="1">
      <text>
        <r>
          <rPr>
            <sz val="10"/>
            <color indexed="81"/>
            <rFont val="Tahoma"/>
            <family val="2"/>
          </rPr>
          <t xml:space="preserve">"mid-single digits or better" growth
+4%:  $2.81
+6%:  $2.87
</t>
        </r>
      </text>
    </comment>
    <comment ref="I60" authorId="0">
      <text>
        <r>
          <rPr>
            <sz val="10"/>
            <color indexed="81"/>
            <rFont val="Tahoma"/>
            <family val="2"/>
          </rPr>
          <t>low single digits</t>
        </r>
      </text>
    </comment>
  </commentList>
</comments>
</file>

<file path=xl/comments3.xml><?xml version="1.0" encoding="utf-8"?>
<comments xmlns="http://schemas.openxmlformats.org/spreadsheetml/2006/main">
  <authors>
    <author>Sinkevicius, Armintas (Research)</author>
  </authors>
  <commentList>
    <comment ref="B55" authorId="0">
      <text>
        <r>
          <rPr>
            <b/>
            <sz val="9"/>
            <color indexed="81"/>
            <rFont val="Tahoma"/>
            <family val="2"/>
          </rPr>
          <t>Sinkevicius, Armintas (Research):</t>
        </r>
        <r>
          <rPr>
            <sz val="9"/>
            <color indexed="81"/>
            <rFont val="Tahoma"/>
            <family val="2"/>
          </rPr>
          <t xml:space="preserve">
Based on Total Revenues</t>
        </r>
      </text>
    </comment>
    <comment ref="B56" authorId="0">
      <text>
        <r>
          <rPr>
            <b/>
            <sz val="9"/>
            <color indexed="81"/>
            <rFont val="Tahoma"/>
            <family val="2"/>
          </rPr>
          <t>Sinkevicius, Armintas (Research):</t>
        </r>
        <r>
          <rPr>
            <sz val="9"/>
            <color indexed="81"/>
            <rFont val="Tahoma"/>
            <family val="2"/>
          </rPr>
          <t xml:space="preserve">
Based on Operating Expense</t>
        </r>
      </text>
    </comment>
  </commentList>
</comments>
</file>

<file path=xl/comments4.xml><?xml version="1.0" encoding="utf-8"?>
<comments xmlns="http://schemas.openxmlformats.org/spreadsheetml/2006/main">
  <authors>
    <author>Lam, Lisa (Research)</author>
    <author>Sinkevicius, Armintas (Research)</author>
  </authors>
  <commentList>
    <comment ref="AW23" authorId="0">
      <text>
        <r>
          <rPr>
            <sz val="10"/>
            <color indexed="81"/>
            <rFont val="Tahoma"/>
            <family val="2"/>
          </rPr>
          <t>include actuarial gain from pension</t>
        </r>
      </text>
    </comment>
    <comment ref="AZ23" authorId="0">
      <text>
        <r>
          <rPr>
            <sz val="10"/>
            <color indexed="81"/>
            <rFont val="Tahoma"/>
            <family val="2"/>
          </rPr>
          <t>equipment installment plan receivables and securitizations
deferred fulfillment costs</t>
        </r>
      </text>
    </comment>
    <comment ref="BA23" authorId="0">
      <text>
        <r>
          <rPr>
            <sz val="10"/>
            <color indexed="81"/>
            <rFont val="Tahoma"/>
            <family val="2"/>
          </rPr>
          <t>actuarial loss on pension and postretirement benefits
asset abandonment and impairments
equipment installment plan receivables and securitizations
deferred fulfillment costs
Other</t>
        </r>
      </text>
    </comment>
    <comment ref="BC28" authorId="0">
      <text>
        <r>
          <rPr>
            <sz val="10"/>
            <color indexed="81"/>
            <rFont val="Tahoma"/>
            <family val="2"/>
          </rPr>
          <t>broadcast incentive spectrum auction</t>
        </r>
      </text>
    </comment>
    <comment ref="J41" authorId="0">
      <text>
        <r>
          <rPr>
            <sz val="10"/>
            <color indexed="81"/>
            <rFont val="Tahoma"/>
            <family val="2"/>
          </rPr>
          <t>includes FirstNet reimbursement</t>
        </r>
      </text>
    </comment>
    <comment ref="BG41" authorId="0">
      <text>
        <r>
          <rPr>
            <sz val="10"/>
            <color indexed="81"/>
            <rFont val="Tahoma"/>
            <family val="2"/>
          </rPr>
          <t>includes FirstNet reimbursement</t>
        </r>
      </text>
    </comment>
    <comment ref="BH41" authorId="0">
      <text>
        <r>
          <rPr>
            <sz val="10"/>
            <color indexed="81"/>
            <rFont val="Tahoma"/>
            <family val="2"/>
          </rPr>
          <t>includes FirstNet reimbursement</t>
        </r>
      </text>
    </comment>
    <comment ref="BI41" authorId="0">
      <text>
        <r>
          <rPr>
            <sz val="10"/>
            <color indexed="81"/>
            <rFont val="Tahoma"/>
            <family val="2"/>
          </rPr>
          <t>includes FirstNet reimbursement</t>
        </r>
      </text>
    </comment>
    <comment ref="F59" authorId="1">
      <text>
        <r>
          <rPr>
            <b/>
            <sz val="9"/>
            <color indexed="81"/>
            <rFont val="Tahoma"/>
            <family val="2"/>
          </rPr>
          <t>Sinkevicius, Armintas (Research):</t>
        </r>
        <r>
          <rPr>
            <sz val="9"/>
            <color indexed="81"/>
            <rFont val="Tahoma"/>
            <family val="2"/>
          </rPr>
          <t xml:space="preserve">
$15 billion</t>
        </r>
      </text>
    </comment>
    <comment ref="G59" authorId="1">
      <text>
        <r>
          <rPr>
            <b/>
            <sz val="9"/>
            <color indexed="81"/>
            <rFont val="Tahoma"/>
            <family val="2"/>
          </rPr>
          <t>Sinkevicius, Armintas (Research):</t>
        </r>
        <r>
          <rPr>
            <sz val="9"/>
            <color indexed="81"/>
            <rFont val="Tahoma"/>
            <family val="2"/>
          </rPr>
          <t xml:space="preserve">
$15 billion</t>
        </r>
      </text>
    </comment>
    <comment ref="H59" authorId="1">
      <text>
        <r>
          <rPr>
            <b/>
            <sz val="9"/>
            <color indexed="81"/>
            <rFont val="Tahoma"/>
            <family val="2"/>
          </rPr>
          <t>Sinkevicius, Armintas (Research):</t>
        </r>
        <r>
          <rPr>
            <sz val="9"/>
            <color indexed="81"/>
            <rFont val="Tahoma"/>
            <family val="2"/>
          </rPr>
          <t xml:space="preserve">
$15 billion</t>
        </r>
      </text>
    </comment>
    <comment ref="AX72" authorId="0">
      <text>
        <r>
          <rPr>
            <sz val="10"/>
            <color indexed="81"/>
            <rFont val="Tahoma"/>
            <family val="2"/>
          </rPr>
          <t>per 1Q16 call</t>
        </r>
      </text>
    </comment>
    <comment ref="F89" authorId="1">
      <text>
        <r>
          <rPr>
            <b/>
            <sz val="9"/>
            <color indexed="81"/>
            <rFont val="Tahoma"/>
            <family val="2"/>
          </rPr>
          <t>Sinkevicius, Armintas (Research):</t>
        </r>
        <r>
          <rPr>
            <sz val="9"/>
            <color indexed="81"/>
            <rFont val="Tahoma"/>
            <family val="2"/>
          </rPr>
          <t xml:space="preserve">
~$21 billion</t>
        </r>
      </text>
    </comment>
    <comment ref="G89" authorId="1">
      <text>
        <r>
          <rPr>
            <sz val="10"/>
            <color indexed="81"/>
            <rFont val="Tahoma"/>
            <family val="2"/>
          </rPr>
          <t>~$22 billion</t>
        </r>
      </text>
    </comment>
    <comment ref="H89" authorId="1">
      <text>
        <r>
          <rPr>
            <sz val="10"/>
            <color indexed="81"/>
            <rFont val="Tahoma"/>
            <family val="2"/>
          </rPr>
          <t>~$22 billion</t>
        </r>
      </text>
    </comment>
  </commentList>
</comments>
</file>

<file path=xl/comments5.xml><?xml version="1.0" encoding="utf-8"?>
<comments xmlns="http://schemas.openxmlformats.org/spreadsheetml/2006/main">
  <authors>
    <author>Sinkevicius, Armintas (Research)</author>
    <author>Lam, Lisa (Research)</author>
    <author>Armintas Sinkevicius</author>
  </authors>
  <commentList>
    <comment ref="AP13" authorId="0">
      <text>
        <r>
          <rPr>
            <b/>
            <sz val="9"/>
            <color indexed="81"/>
            <rFont val="Tahoma"/>
            <family val="2"/>
          </rPr>
          <t>Sinkevicius, Armintas (Research):</t>
        </r>
        <r>
          <rPr>
            <sz val="9"/>
            <color indexed="81"/>
            <rFont val="Tahoma"/>
            <family val="2"/>
          </rPr>
          <t xml:space="preserve">
adj. for LEAP integration / decommissioning exp.</t>
        </r>
      </text>
    </comment>
    <comment ref="AQ13" authorId="0">
      <text>
        <r>
          <rPr>
            <b/>
            <sz val="9"/>
            <color indexed="81"/>
            <rFont val="Tahoma"/>
            <family val="2"/>
          </rPr>
          <t>Sinkevicius, Armintas (Research):</t>
        </r>
        <r>
          <rPr>
            <sz val="9"/>
            <color indexed="81"/>
            <rFont val="Tahoma"/>
            <family val="2"/>
          </rPr>
          <t xml:space="preserve">
adj. for LEAP integration / decommissioning exp.</t>
        </r>
      </text>
    </comment>
    <comment ref="AR13" authorId="0">
      <text>
        <r>
          <rPr>
            <b/>
            <sz val="9"/>
            <color indexed="81"/>
            <rFont val="Tahoma"/>
            <family val="2"/>
          </rPr>
          <t>Sinkevicius, Armintas (Research):</t>
        </r>
        <r>
          <rPr>
            <sz val="9"/>
            <color indexed="81"/>
            <rFont val="Tahoma"/>
            <family val="2"/>
          </rPr>
          <t xml:space="preserve">
adj. for LEAP integration / decommissioning exp.</t>
        </r>
      </text>
    </comment>
    <comment ref="AS13" authorId="0">
      <text>
        <r>
          <rPr>
            <b/>
            <sz val="9"/>
            <color indexed="81"/>
            <rFont val="Tahoma"/>
            <family val="2"/>
          </rPr>
          <t>Sinkevicius, Armintas (Research):</t>
        </r>
        <r>
          <rPr>
            <sz val="9"/>
            <color indexed="81"/>
            <rFont val="Tahoma"/>
            <family val="2"/>
          </rPr>
          <t xml:space="preserve">
adj. for LEAP integration / decommissioning exp.</t>
        </r>
      </text>
    </comment>
    <comment ref="AT13" authorId="0">
      <text>
        <r>
          <rPr>
            <b/>
            <sz val="9"/>
            <color indexed="81"/>
            <rFont val="Tahoma"/>
            <family val="2"/>
          </rPr>
          <t>Sinkevicius, Armintas (Research):</t>
        </r>
        <r>
          <rPr>
            <sz val="9"/>
            <color indexed="81"/>
            <rFont val="Tahoma"/>
            <family val="2"/>
          </rPr>
          <t xml:space="preserve">
adj. for LEAP integration / decommissioning exp.</t>
        </r>
      </text>
    </comment>
    <comment ref="AU13" authorId="0">
      <text>
        <r>
          <rPr>
            <b/>
            <sz val="9"/>
            <color indexed="81"/>
            <rFont val="Tahoma"/>
            <family val="2"/>
          </rPr>
          <t>Sinkevicius, Armintas (Research):</t>
        </r>
        <r>
          <rPr>
            <sz val="9"/>
            <color indexed="81"/>
            <rFont val="Tahoma"/>
            <family val="2"/>
          </rPr>
          <t xml:space="preserve">
adj. for LEAP integration / decommissioning exp.</t>
        </r>
      </text>
    </comment>
    <comment ref="AV13" authorId="0">
      <text>
        <r>
          <rPr>
            <b/>
            <sz val="9"/>
            <color indexed="81"/>
            <rFont val="Tahoma"/>
            <family val="2"/>
          </rPr>
          <t>Sinkevicius, Armintas (Research):</t>
        </r>
        <r>
          <rPr>
            <sz val="9"/>
            <color indexed="81"/>
            <rFont val="Tahoma"/>
            <family val="2"/>
          </rPr>
          <t xml:space="preserve">
adj. for LEAP integration / decommissioning exp.</t>
        </r>
      </text>
    </comment>
    <comment ref="AW13" authorId="0">
      <text>
        <r>
          <rPr>
            <sz val="10"/>
            <color indexed="81"/>
            <rFont val="Tahoma"/>
            <family val="2"/>
          </rPr>
          <t>adj. for LEAP integration / decommissioning exp.</t>
        </r>
      </text>
    </comment>
    <comment ref="AX13" authorId="0">
      <text>
        <r>
          <rPr>
            <sz val="10"/>
            <color indexed="81"/>
            <rFont val="Tahoma"/>
            <family val="2"/>
          </rPr>
          <t>adj. for "wireless merger integration costs"</t>
        </r>
      </text>
    </comment>
    <comment ref="AY13" authorId="0">
      <text>
        <r>
          <rPr>
            <sz val="10"/>
            <color indexed="81"/>
            <rFont val="Tahoma"/>
            <family val="2"/>
          </rPr>
          <t>adj. for "wireless merger integration costs"</t>
        </r>
      </text>
    </comment>
    <comment ref="AZ13" authorId="0">
      <text>
        <r>
          <rPr>
            <sz val="10"/>
            <color indexed="81"/>
            <rFont val="Tahoma"/>
            <family val="2"/>
          </rPr>
          <t>adj. for "wireless merger integration costs"</t>
        </r>
      </text>
    </comment>
    <comment ref="BA13" authorId="0">
      <text>
        <r>
          <rPr>
            <sz val="10"/>
            <color indexed="81"/>
            <rFont val="Tahoma"/>
            <family val="2"/>
          </rPr>
          <t>adj. for "wireless merger integration costs"</t>
        </r>
      </text>
    </comment>
    <comment ref="BB70" authorId="1">
      <text>
        <r>
          <rPr>
            <sz val="10"/>
            <color indexed="81"/>
            <rFont val="Tahoma"/>
            <family val="2"/>
          </rPr>
          <t>base was 85k lower b/c of 2G shutdown</t>
        </r>
      </text>
    </comment>
    <comment ref="AV71" authorId="0">
      <text>
        <r>
          <rPr>
            <b/>
            <sz val="9"/>
            <color indexed="81"/>
            <rFont val="Tahoma"/>
            <family val="2"/>
          </rPr>
          <t>Sinkevicius, Armintas (Research):</t>
        </r>
        <r>
          <rPr>
            <sz val="9"/>
            <color indexed="81"/>
            <rFont val="Tahoma"/>
            <family val="2"/>
          </rPr>
          <t xml:space="preserve">
reclassification</t>
        </r>
      </text>
    </comment>
    <comment ref="AW75" authorId="1">
      <text>
        <r>
          <rPr>
            <sz val="10"/>
            <color indexed="81"/>
            <rFont val="Tahoma"/>
            <family val="2"/>
          </rPr>
          <t>investor briefing</t>
        </r>
      </text>
    </comment>
    <comment ref="AX75" authorId="1">
      <text>
        <r>
          <rPr>
            <sz val="10"/>
            <color indexed="81"/>
            <rFont val="Tahoma"/>
            <family val="2"/>
          </rPr>
          <t>investor briefing</t>
        </r>
      </text>
    </comment>
    <comment ref="AY75" authorId="1">
      <text>
        <r>
          <rPr>
            <sz val="10"/>
            <color indexed="81"/>
            <rFont val="Tahoma"/>
            <family val="2"/>
          </rPr>
          <t>investor briefing</t>
        </r>
      </text>
    </comment>
    <comment ref="AZ75" authorId="1">
      <text>
        <r>
          <rPr>
            <sz val="10"/>
            <color indexed="81"/>
            <rFont val="Tahoma"/>
            <family val="2"/>
          </rPr>
          <t>investor briefing</t>
        </r>
      </text>
    </comment>
    <comment ref="BA75" authorId="1">
      <text>
        <r>
          <rPr>
            <sz val="10"/>
            <color indexed="81"/>
            <rFont val="Tahoma"/>
            <family val="2"/>
          </rPr>
          <t>investor briefing</t>
        </r>
      </text>
    </comment>
    <comment ref="BB75" authorId="1">
      <text>
        <r>
          <rPr>
            <sz val="10"/>
            <color indexed="81"/>
            <rFont val="Tahoma"/>
            <family val="2"/>
          </rPr>
          <t>investor briefing</t>
        </r>
      </text>
    </comment>
    <comment ref="BC75" authorId="1">
      <text>
        <r>
          <rPr>
            <sz val="10"/>
            <color indexed="81"/>
            <rFont val="Tahoma"/>
            <family val="2"/>
          </rPr>
          <t>investor briefing</t>
        </r>
      </text>
    </comment>
    <comment ref="BD75" authorId="1">
      <text>
        <r>
          <rPr>
            <sz val="10"/>
            <color indexed="81"/>
            <rFont val="Tahoma"/>
            <family val="2"/>
          </rPr>
          <t>investor briefing</t>
        </r>
      </text>
    </comment>
    <comment ref="BE75" authorId="1">
      <text>
        <r>
          <rPr>
            <sz val="10"/>
            <color indexed="81"/>
            <rFont val="Tahoma"/>
            <family val="2"/>
          </rPr>
          <t>investor briefing</t>
        </r>
      </text>
    </comment>
    <comment ref="AW122" authorId="1">
      <text>
        <r>
          <rPr>
            <sz val="10"/>
            <color indexed="81"/>
            <rFont val="Tahoma"/>
            <family val="2"/>
          </rPr>
          <t>investor briefing</t>
        </r>
      </text>
    </comment>
    <comment ref="AX122" authorId="1">
      <text>
        <r>
          <rPr>
            <sz val="10"/>
            <color indexed="81"/>
            <rFont val="Tahoma"/>
            <family val="2"/>
          </rPr>
          <t>investor briefing</t>
        </r>
      </text>
    </comment>
    <comment ref="AY122" authorId="1">
      <text>
        <r>
          <rPr>
            <sz val="10"/>
            <color indexed="81"/>
            <rFont val="Tahoma"/>
            <family val="2"/>
          </rPr>
          <t>investor briefing</t>
        </r>
      </text>
    </comment>
    <comment ref="AZ122" authorId="1">
      <text>
        <r>
          <rPr>
            <sz val="10"/>
            <color indexed="81"/>
            <rFont val="Tahoma"/>
            <family val="2"/>
          </rPr>
          <t>investor briefing</t>
        </r>
      </text>
    </comment>
    <comment ref="BA122" authorId="1">
      <text>
        <r>
          <rPr>
            <sz val="10"/>
            <color indexed="81"/>
            <rFont val="Tahoma"/>
            <family val="2"/>
          </rPr>
          <t>investor briefing</t>
        </r>
      </text>
    </comment>
    <comment ref="BB122" authorId="1">
      <text>
        <r>
          <rPr>
            <sz val="10"/>
            <color indexed="81"/>
            <rFont val="Tahoma"/>
            <family val="2"/>
          </rPr>
          <t xml:space="preserve">investor briefing
</t>
        </r>
      </text>
    </comment>
    <comment ref="BC122" authorId="1">
      <text>
        <r>
          <rPr>
            <sz val="10"/>
            <color indexed="81"/>
            <rFont val="Tahoma"/>
            <family val="2"/>
          </rPr>
          <t xml:space="preserve">investor briefing
</t>
        </r>
      </text>
    </comment>
    <comment ref="BD122" authorId="1">
      <text>
        <r>
          <rPr>
            <sz val="10"/>
            <color indexed="81"/>
            <rFont val="Tahoma"/>
            <family val="2"/>
          </rPr>
          <t xml:space="preserve">investor briefing
</t>
        </r>
      </text>
    </comment>
    <comment ref="BE122" authorId="1">
      <text>
        <r>
          <rPr>
            <sz val="10"/>
            <color indexed="81"/>
            <rFont val="Tahoma"/>
            <family val="2"/>
          </rPr>
          <t xml:space="preserve">investor briefing
</t>
        </r>
      </text>
    </comment>
    <comment ref="AW126" authorId="1">
      <text>
        <r>
          <rPr>
            <sz val="10"/>
            <color indexed="81"/>
            <rFont val="Tahoma"/>
            <family val="2"/>
          </rPr>
          <t>investor briefing</t>
        </r>
      </text>
    </comment>
    <comment ref="AX126" authorId="1">
      <text>
        <r>
          <rPr>
            <sz val="10"/>
            <color indexed="81"/>
            <rFont val="Tahoma"/>
            <family val="2"/>
          </rPr>
          <t>investor briefing</t>
        </r>
      </text>
    </comment>
    <comment ref="AY126" authorId="1">
      <text>
        <r>
          <rPr>
            <sz val="10"/>
            <color indexed="81"/>
            <rFont val="Tahoma"/>
            <family val="2"/>
          </rPr>
          <t>investor briefing</t>
        </r>
      </text>
    </comment>
    <comment ref="AZ126" authorId="1">
      <text>
        <r>
          <rPr>
            <sz val="10"/>
            <color indexed="81"/>
            <rFont val="Tahoma"/>
            <family val="2"/>
          </rPr>
          <t>investor briefing</t>
        </r>
      </text>
    </comment>
    <comment ref="BA126" authorId="1">
      <text>
        <r>
          <rPr>
            <sz val="10"/>
            <color indexed="81"/>
            <rFont val="Tahoma"/>
            <family val="2"/>
          </rPr>
          <t>investor briefing</t>
        </r>
      </text>
    </comment>
    <comment ref="BB126" authorId="1">
      <text>
        <r>
          <rPr>
            <sz val="10"/>
            <color indexed="81"/>
            <rFont val="Tahoma"/>
            <family val="2"/>
          </rPr>
          <t>investor briefing</t>
        </r>
      </text>
    </comment>
    <comment ref="BC126" authorId="1">
      <text>
        <r>
          <rPr>
            <sz val="10"/>
            <color indexed="81"/>
            <rFont val="Tahoma"/>
            <family val="2"/>
          </rPr>
          <t>stopped disclosing</t>
        </r>
      </text>
    </comment>
    <comment ref="BD126" authorId="1">
      <text>
        <r>
          <rPr>
            <sz val="10"/>
            <color indexed="81"/>
            <rFont val="Tahoma"/>
            <family val="2"/>
          </rPr>
          <t>stopped disclosing</t>
        </r>
      </text>
    </comment>
    <comment ref="BE126" authorId="1">
      <text>
        <r>
          <rPr>
            <sz val="10"/>
            <color indexed="81"/>
            <rFont val="Tahoma"/>
            <family val="2"/>
          </rPr>
          <t>stopped disclosing</t>
        </r>
      </text>
    </comment>
    <comment ref="AW127" authorId="1">
      <text>
        <r>
          <rPr>
            <sz val="10"/>
            <color indexed="81"/>
            <rFont val="Tahoma"/>
            <family val="2"/>
          </rPr>
          <t>investor briefing
smartphone gross adds less prepaid</t>
        </r>
      </text>
    </comment>
    <comment ref="AX127" authorId="1">
      <text>
        <r>
          <rPr>
            <sz val="10"/>
            <color indexed="81"/>
            <rFont val="Tahoma"/>
            <family val="2"/>
          </rPr>
          <t>investor briefing
smartphone gross adds less prepaid</t>
        </r>
      </text>
    </comment>
    <comment ref="AY127" authorId="1">
      <text>
        <r>
          <rPr>
            <sz val="10"/>
            <color indexed="81"/>
            <rFont val="Tahoma"/>
            <family val="2"/>
          </rPr>
          <t>investor briefing
smartphone gross adds less prepaid</t>
        </r>
      </text>
    </comment>
    <comment ref="AZ127" authorId="1">
      <text>
        <r>
          <rPr>
            <sz val="10"/>
            <color indexed="81"/>
            <rFont val="Tahoma"/>
            <family val="2"/>
          </rPr>
          <t>investor briefing
smartphone gross adds less prepaid</t>
        </r>
      </text>
    </comment>
    <comment ref="BA127" authorId="1">
      <text>
        <r>
          <rPr>
            <sz val="10"/>
            <color indexed="81"/>
            <rFont val="Tahoma"/>
            <family val="2"/>
          </rPr>
          <t>investor briefing
smartphone gross adds less prepaid</t>
        </r>
      </text>
    </comment>
    <comment ref="BB127" authorId="1">
      <text>
        <r>
          <rPr>
            <sz val="10"/>
            <color indexed="81"/>
            <rFont val="Tahoma"/>
            <family val="2"/>
          </rPr>
          <t>investor briefing
smartphone gross adds less prepaid</t>
        </r>
      </text>
    </comment>
    <comment ref="BC127" authorId="1">
      <text>
        <r>
          <rPr>
            <sz val="10"/>
            <color indexed="81"/>
            <rFont val="Tahoma"/>
            <family val="2"/>
          </rPr>
          <t>investor briefing
smartphone gross adds less prepaid</t>
        </r>
      </text>
    </comment>
    <comment ref="BD127" authorId="1">
      <text>
        <r>
          <rPr>
            <sz val="10"/>
            <color indexed="81"/>
            <rFont val="Tahoma"/>
            <family val="2"/>
          </rPr>
          <t>investor briefing
smartphone gross adds less prepaid</t>
        </r>
      </text>
    </comment>
    <comment ref="BE127" authorId="1">
      <text>
        <r>
          <rPr>
            <sz val="10"/>
            <color indexed="81"/>
            <rFont val="Tahoma"/>
            <family val="2"/>
          </rPr>
          <t>investor briefing
smartphone gross adds less prepaid</t>
        </r>
      </text>
    </comment>
    <comment ref="AM128" authorId="0">
      <text>
        <r>
          <rPr>
            <b/>
            <sz val="9"/>
            <color indexed="81"/>
            <rFont val="Tahoma"/>
            <family val="2"/>
          </rPr>
          <t>Sinkevicius, Armintas (Research):</t>
        </r>
        <r>
          <rPr>
            <sz val="9"/>
            <color indexed="81"/>
            <rFont val="Tahoma"/>
            <family val="2"/>
          </rPr>
          <t xml:space="preserve">
MS estimate</t>
        </r>
      </text>
    </comment>
    <comment ref="AN128" authorId="0">
      <text>
        <r>
          <rPr>
            <b/>
            <sz val="9"/>
            <color indexed="81"/>
            <rFont val="Tahoma"/>
            <family val="2"/>
          </rPr>
          <t>Sinkevicius, Armintas (Research):</t>
        </r>
        <r>
          <rPr>
            <sz val="9"/>
            <color indexed="81"/>
            <rFont val="Tahoma"/>
            <family val="2"/>
          </rPr>
          <t xml:space="preserve">
MS estimate</t>
        </r>
      </text>
    </comment>
    <comment ref="Z131" authorId="0">
      <text>
        <r>
          <rPr>
            <b/>
            <sz val="9"/>
            <color indexed="81"/>
            <rFont val="Tahoma"/>
            <family val="2"/>
          </rPr>
          <t>Sinkevicius, Armintas (Research):</t>
        </r>
        <r>
          <rPr>
            <sz val="9"/>
            <color indexed="81"/>
            <rFont val="Tahoma"/>
            <family val="2"/>
          </rPr>
          <t xml:space="preserve">
% of postpaid subscribers</t>
        </r>
      </text>
    </comment>
    <comment ref="AA131" authorId="0">
      <text>
        <r>
          <rPr>
            <b/>
            <sz val="9"/>
            <color indexed="81"/>
            <rFont val="Tahoma"/>
            <family val="2"/>
          </rPr>
          <t>Sinkevicius, Armintas (Research):</t>
        </r>
        <r>
          <rPr>
            <sz val="9"/>
            <color indexed="81"/>
            <rFont val="Tahoma"/>
            <family val="2"/>
          </rPr>
          <t xml:space="preserve">
% of postpaid subscribers</t>
        </r>
      </text>
    </comment>
    <comment ref="AB131" authorId="0">
      <text>
        <r>
          <rPr>
            <b/>
            <sz val="9"/>
            <color indexed="81"/>
            <rFont val="Tahoma"/>
            <family val="2"/>
          </rPr>
          <t>Sinkevicius, Armintas (Research):</t>
        </r>
        <r>
          <rPr>
            <sz val="9"/>
            <color indexed="81"/>
            <rFont val="Tahoma"/>
            <family val="2"/>
          </rPr>
          <t xml:space="preserve">
% of postpaid subscribers</t>
        </r>
      </text>
    </comment>
    <comment ref="AC131" authorId="0">
      <text>
        <r>
          <rPr>
            <b/>
            <sz val="9"/>
            <color indexed="81"/>
            <rFont val="Tahoma"/>
            <family val="2"/>
          </rPr>
          <t>Sinkevicius, Armintas (Research):</t>
        </r>
        <r>
          <rPr>
            <sz val="9"/>
            <color indexed="81"/>
            <rFont val="Tahoma"/>
            <family val="2"/>
          </rPr>
          <t xml:space="preserve">
% of postpaid subscribers</t>
        </r>
      </text>
    </comment>
    <comment ref="AD131" authorId="0">
      <text>
        <r>
          <rPr>
            <b/>
            <sz val="9"/>
            <color indexed="81"/>
            <rFont val="Tahoma"/>
            <family val="2"/>
          </rPr>
          <t>Sinkevicius, Armintas (Research):</t>
        </r>
        <r>
          <rPr>
            <sz val="9"/>
            <color indexed="81"/>
            <rFont val="Tahoma"/>
            <family val="2"/>
          </rPr>
          <t xml:space="preserve">
% of postpaid subscribers</t>
        </r>
      </text>
    </comment>
    <comment ref="AE131" authorId="0">
      <text>
        <r>
          <rPr>
            <b/>
            <sz val="9"/>
            <color indexed="81"/>
            <rFont val="Tahoma"/>
            <family val="2"/>
          </rPr>
          <t>Sinkevicius, Armintas (Research):</t>
        </r>
        <r>
          <rPr>
            <sz val="9"/>
            <color indexed="81"/>
            <rFont val="Tahoma"/>
            <family val="2"/>
          </rPr>
          <t xml:space="preserve">
% of postpaid subscribers</t>
        </r>
      </text>
    </comment>
    <comment ref="AF131" authorId="0">
      <text>
        <r>
          <rPr>
            <b/>
            <sz val="9"/>
            <color indexed="81"/>
            <rFont val="Tahoma"/>
            <family val="2"/>
          </rPr>
          <t>Sinkevicius, Armintas (Research):</t>
        </r>
        <r>
          <rPr>
            <sz val="9"/>
            <color indexed="81"/>
            <rFont val="Tahoma"/>
            <family val="2"/>
          </rPr>
          <t xml:space="preserve">
% of postpaid subscribers</t>
        </r>
      </text>
    </comment>
    <comment ref="AT131" authorId="0">
      <text>
        <r>
          <rPr>
            <b/>
            <sz val="9"/>
            <color indexed="81"/>
            <rFont val="Tahoma"/>
            <family val="2"/>
          </rPr>
          <t>Sinkevicius, Armintas (Research):</t>
        </r>
        <r>
          <rPr>
            <sz val="9"/>
            <color indexed="81"/>
            <rFont val="Tahoma"/>
            <family val="2"/>
          </rPr>
          <t xml:space="preserve">
MS estimate</t>
        </r>
      </text>
    </comment>
    <comment ref="AU131" authorId="0">
      <text>
        <r>
          <rPr>
            <b/>
            <sz val="9"/>
            <color indexed="81"/>
            <rFont val="Tahoma"/>
            <family val="2"/>
          </rPr>
          <t>Sinkevicius, Armintas (Research):</t>
        </r>
        <r>
          <rPr>
            <sz val="9"/>
            <color indexed="81"/>
            <rFont val="Tahoma"/>
            <family val="2"/>
          </rPr>
          <t xml:space="preserve">
MS estimate</t>
        </r>
      </text>
    </comment>
    <comment ref="AW131" authorId="1">
      <text>
        <r>
          <rPr>
            <sz val="10"/>
            <color indexed="81"/>
            <rFont val="Tahoma"/>
            <family val="2"/>
          </rPr>
          <t>investor briefing</t>
        </r>
      </text>
    </comment>
    <comment ref="AX131" authorId="1">
      <text>
        <r>
          <rPr>
            <sz val="10"/>
            <color indexed="81"/>
            <rFont val="Tahoma"/>
            <family val="2"/>
          </rPr>
          <t>investor briefing</t>
        </r>
      </text>
    </comment>
    <comment ref="AY131" authorId="1">
      <text>
        <r>
          <rPr>
            <sz val="10"/>
            <color indexed="81"/>
            <rFont val="Tahoma"/>
            <family val="2"/>
          </rPr>
          <t>investor briefing</t>
        </r>
      </text>
    </comment>
    <comment ref="AZ131" authorId="1">
      <text>
        <r>
          <rPr>
            <sz val="10"/>
            <color indexed="81"/>
            <rFont val="Tahoma"/>
            <family val="2"/>
          </rPr>
          <t>investor briefing</t>
        </r>
      </text>
    </comment>
    <comment ref="BA131" authorId="1">
      <text>
        <r>
          <rPr>
            <sz val="10"/>
            <color indexed="81"/>
            <rFont val="Tahoma"/>
            <family val="2"/>
          </rPr>
          <t>investor briefing</t>
        </r>
      </text>
    </comment>
    <comment ref="BB131" authorId="1">
      <text>
        <r>
          <rPr>
            <sz val="10"/>
            <color indexed="81"/>
            <rFont val="Tahoma"/>
            <family val="2"/>
          </rPr>
          <t>investor briefing</t>
        </r>
      </text>
    </comment>
    <comment ref="BC131" authorId="1">
      <text>
        <r>
          <rPr>
            <sz val="10"/>
            <color indexed="81"/>
            <rFont val="Tahoma"/>
            <family val="2"/>
          </rPr>
          <t>stopped disclosing</t>
        </r>
      </text>
    </comment>
    <comment ref="BD131" authorId="1">
      <text>
        <r>
          <rPr>
            <sz val="10"/>
            <color indexed="81"/>
            <rFont val="Tahoma"/>
            <family val="2"/>
          </rPr>
          <t>stopped disclosing</t>
        </r>
      </text>
    </comment>
    <comment ref="BE131" authorId="1">
      <text>
        <r>
          <rPr>
            <sz val="10"/>
            <color indexed="81"/>
            <rFont val="Tahoma"/>
            <family val="2"/>
          </rPr>
          <t>stopped disclosing</t>
        </r>
      </text>
    </comment>
    <comment ref="B133" authorId="1">
      <text>
        <r>
          <rPr>
            <sz val="10"/>
            <color indexed="81"/>
            <rFont val="Tahoma"/>
            <family val="2"/>
          </rPr>
          <t>introduced 2013.07.16</t>
        </r>
      </text>
    </comment>
    <comment ref="AW136" authorId="1">
      <text>
        <r>
          <rPr>
            <sz val="10"/>
            <color indexed="81"/>
            <rFont val="Tahoma"/>
            <family val="2"/>
          </rPr>
          <t>investor briefing</t>
        </r>
      </text>
    </comment>
    <comment ref="AX136" authorId="1">
      <text>
        <r>
          <rPr>
            <sz val="10"/>
            <color indexed="81"/>
            <rFont val="Tahoma"/>
            <family val="2"/>
          </rPr>
          <t>investor briefing</t>
        </r>
      </text>
    </comment>
    <comment ref="AY136" authorId="1">
      <text>
        <r>
          <rPr>
            <sz val="10"/>
            <color indexed="81"/>
            <rFont val="Tahoma"/>
            <family val="2"/>
          </rPr>
          <t>investor briefing</t>
        </r>
      </text>
    </comment>
    <comment ref="AZ136" authorId="1">
      <text>
        <r>
          <rPr>
            <sz val="10"/>
            <color indexed="81"/>
            <rFont val="Tahoma"/>
            <family val="2"/>
          </rPr>
          <t>investor briefing</t>
        </r>
      </text>
    </comment>
    <comment ref="BA136" authorId="1">
      <text>
        <r>
          <rPr>
            <sz val="10"/>
            <color indexed="81"/>
            <rFont val="Tahoma"/>
            <family val="2"/>
          </rPr>
          <t>investor briefing</t>
        </r>
      </text>
    </comment>
    <comment ref="BB136" authorId="1">
      <text>
        <r>
          <rPr>
            <sz val="10"/>
            <color indexed="81"/>
            <rFont val="Tahoma"/>
            <family val="2"/>
          </rPr>
          <t>investor briefing</t>
        </r>
      </text>
    </comment>
    <comment ref="BC136" authorId="1">
      <text>
        <r>
          <rPr>
            <sz val="10"/>
            <color indexed="81"/>
            <rFont val="Tahoma"/>
            <family val="2"/>
          </rPr>
          <t>investor briefing</t>
        </r>
      </text>
    </comment>
    <comment ref="BD136" authorId="1">
      <text>
        <r>
          <rPr>
            <sz val="10"/>
            <color indexed="81"/>
            <rFont val="Tahoma"/>
            <family val="2"/>
          </rPr>
          <t>investor briefing</t>
        </r>
      </text>
    </comment>
    <comment ref="BE136" authorId="1">
      <text>
        <r>
          <rPr>
            <sz val="10"/>
            <color indexed="81"/>
            <rFont val="Tahoma"/>
            <family val="2"/>
          </rPr>
          <t>investor briefing</t>
        </r>
      </text>
    </comment>
    <comment ref="AN137" authorId="0">
      <text>
        <r>
          <rPr>
            <sz val="10"/>
            <color indexed="81"/>
            <rFont val="Tahoma"/>
            <family val="2"/>
          </rPr>
          <t>10-K</t>
        </r>
      </text>
    </comment>
    <comment ref="AP137" authorId="0">
      <text>
        <r>
          <rPr>
            <b/>
            <sz val="9"/>
            <color indexed="81"/>
            <rFont val="Tahoma"/>
            <family val="2"/>
          </rPr>
          <t>Sinkevicius, Armintas (Research):</t>
        </r>
        <r>
          <rPr>
            <sz val="9"/>
            <color indexed="81"/>
            <rFont val="Tahoma"/>
            <family val="2"/>
          </rPr>
          <t xml:space="preserve">
10-Q</t>
        </r>
      </text>
    </comment>
    <comment ref="AQ137" authorId="0">
      <text>
        <r>
          <rPr>
            <b/>
            <sz val="9"/>
            <color indexed="81"/>
            <rFont val="Tahoma"/>
            <family val="2"/>
          </rPr>
          <t>Sinkevicius, Armintas (Research):</t>
        </r>
        <r>
          <rPr>
            <sz val="9"/>
            <color indexed="81"/>
            <rFont val="Tahoma"/>
            <family val="2"/>
          </rPr>
          <t xml:space="preserve">
10-Q</t>
        </r>
      </text>
    </comment>
    <comment ref="AV141" authorId="1">
      <text>
        <r>
          <rPr>
            <sz val="10"/>
            <color indexed="81"/>
            <rFont val="Tahoma"/>
            <family val="2"/>
          </rPr>
          <t>investor briefing</t>
        </r>
      </text>
    </comment>
    <comment ref="AW141" authorId="1">
      <text>
        <r>
          <rPr>
            <sz val="10"/>
            <color indexed="81"/>
            <rFont val="Tahoma"/>
            <family val="2"/>
          </rPr>
          <t>investor briefing</t>
        </r>
      </text>
    </comment>
    <comment ref="AX141" authorId="1">
      <text>
        <r>
          <rPr>
            <sz val="10"/>
            <color indexed="81"/>
            <rFont val="Tahoma"/>
            <family val="2"/>
          </rPr>
          <t>investor briefing</t>
        </r>
      </text>
    </comment>
    <comment ref="AY141" authorId="1">
      <text>
        <r>
          <rPr>
            <sz val="10"/>
            <color indexed="81"/>
            <rFont val="Tahoma"/>
            <family val="2"/>
          </rPr>
          <t>T started using "more than 50%"</t>
        </r>
      </text>
    </comment>
    <comment ref="B145" authorId="2">
      <text>
        <r>
          <rPr>
            <sz val="10"/>
            <color indexed="81"/>
            <rFont val="Tahoma"/>
            <family val="2"/>
          </rPr>
          <t>Less imputed interest + assumed loss on the trade-in</t>
        </r>
      </text>
    </comment>
    <comment ref="AV161" authorId="0">
      <text>
        <r>
          <rPr>
            <b/>
            <sz val="9"/>
            <color indexed="81"/>
            <rFont val="Tahoma"/>
            <family val="2"/>
          </rPr>
          <t>Sinkevicius, Armintas (Research):</t>
        </r>
        <r>
          <rPr>
            <sz val="9"/>
            <color indexed="81"/>
            <rFont val="Tahoma"/>
            <family val="2"/>
          </rPr>
          <t xml:space="preserve">
MS estimate</t>
        </r>
      </text>
    </comment>
    <comment ref="AW161" authorId="0">
      <text>
        <r>
          <rPr>
            <sz val="10"/>
            <color indexed="81"/>
            <rFont val="Tahoma"/>
            <family val="2"/>
          </rPr>
          <t>MS estimate</t>
        </r>
      </text>
    </comment>
    <comment ref="AX161" authorId="0">
      <text>
        <r>
          <rPr>
            <sz val="10"/>
            <color indexed="81"/>
            <rFont val="Tahoma"/>
            <family val="2"/>
          </rPr>
          <t>investor briefing
average of 3 devices per Mobile Share account</t>
        </r>
      </text>
    </comment>
    <comment ref="AY161" authorId="0">
      <text>
        <r>
          <rPr>
            <sz val="10"/>
            <color indexed="81"/>
            <rFont val="Tahoma"/>
            <family val="2"/>
          </rPr>
          <t>investor briefing
average of 3 devices per Mobile Share account</t>
        </r>
      </text>
    </comment>
    <comment ref="AZ161" authorId="0">
      <text>
        <r>
          <rPr>
            <sz val="10"/>
            <color indexed="81"/>
            <rFont val="Tahoma"/>
            <family val="2"/>
          </rPr>
          <t>Mobile share connections</t>
        </r>
      </text>
    </comment>
    <comment ref="BA161" authorId="0">
      <text>
        <r>
          <rPr>
            <sz val="10"/>
            <color indexed="81"/>
            <rFont val="Tahoma"/>
            <family val="2"/>
          </rPr>
          <t>Mobile share connections</t>
        </r>
      </text>
    </comment>
    <comment ref="BB161" authorId="0">
      <text>
        <r>
          <rPr>
            <sz val="10"/>
            <color indexed="81"/>
            <rFont val="Tahoma"/>
            <family val="2"/>
          </rPr>
          <t>Mobile share connections</t>
        </r>
      </text>
    </comment>
    <comment ref="BC161" authorId="0">
      <text>
        <r>
          <rPr>
            <sz val="10"/>
            <color indexed="81"/>
            <rFont val="Tahoma"/>
            <family val="2"/>
          </rPr>
          <t>Mobile share connections</t>
        </r>
      </text>
    </comment>
    <comment ref="BD161" authorId="0">
      <text>
        <r>
          <rPr>
            <sz val="10"/>
            <color indexed="81"/>
            <rFont val="Tahoma"/>
            <family val="2"/>
          </rPr>
          <t>Mobile share connections</t>
        </r>
      </text>
    </comment>
    <comment ref="BE161" authorId="0">
      <text>
        <r>
          <rPr>
            <sz val="10"/>
            <color indexed="81"/>
            <rFont val="Tahoma"/>
            <family val="2"/>
          </rPr>
          <t>Mobile share connections</t>
        </r>
      </text>
    </comment>
    <comment ref="AW163" authorId="1">
      <text>
        <r>
          <rPr>
            <sz val="10"/>
            <color indexed="81"/>
            <rFont val="Tahoma"/>
            <family val="2"/>
          </rPr>
          <t>investor briefing</t>
        </r>
      </text>
    </comment>
    <comment ref="AX163" authorId="1">
      <text>
        <r>
          <rPr>
            <sz val="10"/>
            <color indexed="81"/>
            <rFont val="Tahoma"/>
            <family val="2"/>
          </rPr>
          <t>investor briefing</t>
        </r>
      </text>
    </comment>
    <comment ref="AY163" authorId="1">
      <text>
        <r>
          <rPr>
            <sz val="10"/>
            <color indexed="81"/>
            <rFont val="Tahoma"/>
            <family val="2"/>
          </rPr>
          <t>investor briefing</t>
        </r>
      </text>
    </comment>
    <comment ref="AZ163" authorId="1">
      <text>
        <r>
          <rPr>
            <sz val="10"/>
            <color indexed="81"/>
            <rFont val="Tahoma"/>
            <family val="2"/>
          </rPr>
          <t>investor briefing
# mobile share connections / average # of devices per account</t>
        </r>
      </text>
    </comment>
    <comment ref="BA163" authorId="1">
      <text>
        <r>
          <rPr>
            <sz val="10"/>
            <color indexed="81"/>
            <rFont val="Tahoma"/>
            <family val="2"/>
          </rPr>
          <t>investor briefing
# mobile share connections / average # of devices per account</t>
        </r>
      </text>
    </comment>
    <comment ref="BB163" authorId="1">
      <text>
        <r>
          <rPr>
            <sz val="10"/>
            <color indexed="81"/>
            <rFont val="Tahoma"/>
            <family val="2"/>
          </rPr>
          <t>investor briefing
# mobile share connections / average # of devices per account</t>
        </r>
      </text>
    </comment>
    <comment ref="BC163" authorId="1">
      <text>
        <r>
          <rPr>
            <sz val="10"/>
            <color indexed="81"/>
            <rFont val="Tahoma"/>
            <family val="2"/>
          </rPr>
          <t>investor briefing
# mobile share connections / average # of devices per account</t>
        </r>
      </text>
    </comment>
    <comment ref="BD163" authorId="1">
      <text>
        <r>
          <rPr>
            <sz val="10"/>
            <color indexed="81"/>
            <rFont val="Tahoma"/>
            <family val="2"/>
          </rPr>
          <t>investor briefing
# mobile share connections / average # of devices per account</t>
        </r>
      </text>
    </comment>
    <comment ref="BE163" authorId="1">
      <text>
        <r>
          <rPr>
            <sz val="10"/>
            <color indexed="81"/>
            <rFont val="Tahoma"/>
            <family val="2"/>
          </rPr>
          <t>investor briefing
# mobile share connections / average # of devices per account</t>
        </r>
      </text>
    </comment>
    <comment ref="AW165" authorId="1">
      <text>
        <r>
          <rPr>
            <sz val="10"/>
            <color indexed="81"/>
            <rFont val="Tahoma"/>
            <family val="2"/>
          </rPr>
          <t>investor briefing</t>
        </r>
      </text>
    </comment>
    <comment ref="AX165" authorId="1">
      <text>
        <r>
          <rPr>
            <sz val="10"/>
            <color indexed="81"/>
            <rFont val="Tahoma"/>
            <family val="2"/>
          </rPr>
          <t>investor briefing</t>
        </r>
      </text>
    </comment>
    <comment ref="AY165" authorId="1">
      <text>
        <r>
          <rPr>
            <sz val="10"/>
            <color indexed="81"/>
            <rFont val="Tahoma"/>
            <family val="2"/>
          </rPr>
          <t>investor briefing</t>
        </r>
      </text>
    </comment>
    <comment ref="AZ165" authorId="1">
      <text>
        <r>
          <rPr>
            <sz val="10"/>
            <color indexed="81"/>
            <rFont val="Tahoma"/>
            <family val="2"/>
          </rPr>
          <t>investor briefing
"postpaid smartphone subscribers on no-device-subsidy-plans"</t>
        </r>
      </text>
    </comment>
    <comment ref="BA165" authorId="1">
      <text>
        <r>
          <rPr>
            <sz val="10"/>
            <color indexed="81"/>
            <rFont val="Tahoma"/>
            <family val="2"/>
          </rPr>
          <t>investor briefing
"postpaid smartphone subscribers on no-device-subsidy-plans"</t>
        </r>
      </text>
    </comment>
    <comment ref="BB165" authorId="1">
      <text>
        <r>
          <rPr>
            <sz val="10"/>
            <color indexed="81"/>
            <rFont val="Tahoma"/>
            <family val="2"/>
          </rPr>
          <t>investor briefing
"postpaid smartphone subscribers on no-device-subsidy-plans"</t>
        </r>
      </text>
    </comment>
    <comment ref="BC165" authorId="1">
      <text>
        <r>
          <rPr>
            <sz val="10"/>
            <color indexed="81"/>
            <rFont val="Tahoma"/>
            <family val="2"/>
          </rPr>
          <t>investor briefing
"postpaid smartphone subscribers on no-device-subsidy-plans"</t>
        </r>
      </text>
    </comment>
    <comment ref="BD165" authorId="1">
      <text>
        <r>
          <rPr>
            <sz val="10"/>
            <color indexed="81"/>
            <rFont val="Tahoma"/>
            <family val="2"/>
          </rPr>
          <t>investor briefing
"postpaid smartphone subscribers on no-device-subsidy-plans"</t>
        </r>
      </text>
    </comment>
    <comment ref="BE165" authorId="1">
      <text>
        <r>
          <rPr>
            <sz val="10"/>
            <color indexed="81"/>
            <rFont val="Tahoma"/>
            <family val="2"/>
          </rPr>
          <t>investor briefing
"postpaid smartphone subscribers on no-device-subsidy-plans"</t>
        </r>
      </text>
    </comment>
    <comment ref="AW166" authorId="1">
      <text>
        <r>
          <rPr>
            <sz val="10"/>
            <color indexed="81"/>
            <rFont val="Tahoma"/>
            <family val="2"/>
          </rPr>
          <t>investor briefing</t>
        </r>
      </text>
    </comment>
    <comment ref="AX166" authorId="1">
      <text>
        <r>
          <rPr>
            <sz val="10"/>
            <color indexed="81"/>
            <rFont val="Tahoma"/>
            <family val="2"/>
          </rPr>
          <t>investor briefing</t>
        </r>
      </text>
    </comment>
    <comment ref="AY166" authorId="1">
      <text>
        <r>
          <rPr>
            <sz val="10"/>
            <color indexed="81"/>
            <rFont val="Tahoma"/>
            <family val="2"/>
          </rPr>
          <t>investor briefing</t>
        </r>
      </text>
    </comment>
    <comment ref="AZ166" authorId="1">
      <text>
        <r>
          <rPr>
            <sz val="10"/>
            <color indexed="81"/>
            <rFont val="Tahoma"/>
            <family val="2"/>
          </rPr>
          <t>investor briefing
BYOB gross adds</t>
        </r>
      </text>
    </comment>
    <comment ref="BA166" authorId="1">
      <text>
        <r>
          <rPr>
            <sz val="10"/>
            <color indexed="81"/>
            <rFont val="Tahoma"/>
            <family val="2"/>
          </rPr>
          <t>investor briefing
BYOB gross adds</t>
        </r>
      </text>
    </comment>
    <comment ref="BB166" authorId="1">
      <text>
        <r>
          <rPr>
            <sz val="10"/>
            <color indexed="81"/>
            <rFont val="Tahoma"/>
            <family val="2"/>
          </rPr>
          <t>investor briefing
BYOB gross adds</t>
        </r>
      </text>
    </comment>
    <comment ref="BC166" authorId="1">
      <text>
        <r>
          <rPr>
            <sz val="10"/>
            <color indexed="81"/>
            <rFont val="Tahoma"/>
            <family val="2"/>
          </rPr>
          <t>investor briefing
BYOB gross adds</t>
        </r>
      </text>
    </comment>
    <comment ref="BD166" authorId="1">
      <text>
        <r>
          <rPr>
            <sz val="10"/>
            <color indexed="81"/>
            <rFont val="Tahoma"/>
            <family val="2"/>
          </rPr>
          <t>investor briefing
BYOB gross adds</t>
        </r>
      </text>
    </comment>
    <comment ref="BE166" authorId="1">
      <text>
        <r>
          <rPr>
            <sz val="10"/>
            <color indexed="81"/>
            <rFont val="Tahoma"/>
            <family val="2"/>
          </rPr>
          <t>investor briefing
BYOB gross adds</t>
        </r>
      </text>
    </comment>
    <comment ref="J195" authorId="1">
      <text>
        <r>
          <rPr>
            <sz val="10"/>
            <color indexed="81"/>
            <rFont val="Tahoma"/>
            <family val="2"/>
          </rPr>
          <t>4Q17:  10-15c impact to 2018 EPS</t>
        </r>
      </text>
    </comment>
  </commentList>
</comments>
</file>

<file path=xl/comments6.xml><?xml version="1.0" encoding="utf-8"?>
<comments xmlns="http://schemas.openxmlformats.org/spreadsheetml/2006/main">
  <authors>
    <author>Sinkevicius, Armintas (Research)</author>
  </authors>
  <commentList>
    <comment ref="AP15" authorId="0">
      <text>
        <r>
          <rPr>
            <b/>
            <sz val="9"/>
            <color indexed="81"/>
            <rFont val="Tahoma"/>
            <family val="2"/>
          </rPr>
          <t>Sinkevicius, Armintas (Research):</t>
        </r>
        <r>
          <rPr>
            <sz val="9"/>
            <color indexed="81"/>
            <rFont val="Tahoma"/>
            <family val="2"/>
          </rPr>
          <t xml:space="preserve">
adj. for LEAP integration / decommissioning exp.</t>
        </r>
      </text>
    </comment>
    <comment ref="AQ15" authorId="0">
      <text>
        <r>
          <rPr>
            <b/>
            <sz val="9"/>
            <color indexed="81"/>
            <rFont val="Tahoma"/>
            <family val="2"/>
          </rPr>
          <t>Sinkevicius, Armintas (Research):</t>
        </r>
        <r>
          <rPr>
            <sz val="9"/>
            <color indexed="81"/>
            <rFont val="Tahoma"/>
            <family val="2"/>
          </rPr>
          <t xml:space="preserve">
adj. for LEAP integration / decommissioning exp.</t>
        </r>
      </text>
    </comment>
    <comment ref="AR15" authorId="0">
      <text>
        <r>
          <rPr>
            <b/>
            <sz val="9"/>
            <color indexed="81"/>
            <rFont val="Tahoma"/>
            <family val="2"/>
          </rPr>
          <t>Sinkevicius, Armintas (Research):</t>
        </r>
        <r>
          <rPr>
            <sz val="9"/>
            <color indexed="81"/>
            <rFont val="Tahoma"/>
            <family val="2"/>
          </rPr>
          <t xml:space="preserve">
adj. for LEAP integration / decommissioning exp.</t>
        </r>
      </text>
    </comment>
    <comment ref="AS15" authorId="0">
      <text>
        <r>
          <rPr>
            <b/>
            <sz val="9"/>
            <color indexed="81"/>
            <rFont val="Tahoma"/>
            <family val="2"/>
          </rPr>
          <t>Sinkevicius, Armintas (Research):</t>
        </r>
        <r>
          <rPr>
            <sz val="9"/>
            <color indexed="81"/>
            <rFont val="Tahoma"/>
            <family val="2"/>
          </rPr>
          <t xml:space="preserve">
adj. for LEAP integration / decommissioning exp.</t>
        </r>
      </text>
    </comment>
    <comment ref="AT15" authorId="0">
      <text>
        <r>
          <rPr>
            <b/>
            <sz val="9"/>
            <color indexed="81"/>
            <rFont val="Tahoma"/>
            <family val="2"/>
          </rPr>
          <t>Sinkevicius, Armintas (Research):</t>
        </r>
        <r>
          <rPr>
            <sz val="9"/>
            <color indexed="81"/>
            <rFont val="Tahoma"/>
            <family val="2"/>
          </rPr>
          <t xml:space="preserve">
adj. for LEAP integration / decommissioning exp.</t>
        </r>
      </text>
    </comment>
    <comment ref="AU15" authorId="0">
      <text>
        <r>
          <rPr>
            <b/>
            <sz val="9"/>
            <color indexed="81"/>
            <rFont val="Tahoma"/>
            <family val="2"/>
          </rPr>
          <t>Sinkevicius, Armintas (Research):</t>
        </r>
        <r>
          <rPr>
            <sz val="9"/>
            <color indexed="81"/>
            <rFont val="Tahoma"/>
            <family val="2"/>
          </rPr>
          <t xml:space="preserve">
adj. for LEAP integration / decommissioning exp.</t>
        </r>
      </text>
    </comment>
    <comment ref="AV15" authorId="0">
      <text>
        <r>
          <rPr>
            <b/>
            <sz val="9"/>
            <color indexed="81"/>
            <rFont val="Tahoma"/>
            <family val="2"/>
          </rPr>
          <t>Sinkevicius, Armintas (Research):</t>
        </r>
        <r>
          <rPr>
            <sz val="9"/>
            <color indexed="81"/>
            <rFont val="Tahoma"/>
            <family val="2"/>
          </rPr>
          <t xml:space="preserve">
adj. for LEAP integration / decommissioning exp.</t>
        </r>
      </text>
    </comment>
    <comment ref="AW15" authorId="0">
      <text>
        <r>
          <rPr>
            <sz val="10"/>
            <color indexed="81"/>
            <rFont val="Tahoma"/>
            <family val="2"/>
          </rPr>
          <t>adj. for LEAP integration / decommissioning exp.</t>
        </r>
      </text>
    </comment>
    <comment ref="AX15" authorId="0">
      <text>
        <r>
          <rPr>
            <sz val="10"/>
            <color indexed="81"/>
            <rFont val="Tahoma"/>
            <family val="2"/>
          </rPr>
          <t>adj. for "wireless merger integration costs"</t>
        </r>
      </text>
    </comment>
    <comment ref="AY15" authorId="0">
      <text>
        <r>
          <rPr>
            <sz val="10"/>
            <color indexed="81"/>
            <rFont val="Tahoma"/>
            <family val="2"/>
          </rPr>
          <t>adj. for "wireless merger integration costs"</t>
        </r>
      </text>
    </comment>
    <comment ref="AZ15" authorId="0">
      <text>
        <r>
          <rPr>
            <sz val="10"/>
            <color indexed="81"/>
            <rFont val="Tahoma"/>
            <family val="2"/>
          </rPr>
          <t>adj. for "wireless merger integration costs"</t>
        </r>
      </text>
    </comment>
    <comment ref="BA15" authorId="0">
      <text>
        <r>
          <rPr>
            <sz val="10"/>
            <color indexed="81"/>
            <rFont val="Tahoma"/>
            <family val="2"/>
          </rPr>
          <t>adj. for "wireless merger integration costs"</t>
        </r>
      </text>
    </comment>
  </commentList>
</comments>
</file>

<file path=xl/comments7.xml><?xml version="1.0" encoding="utf-8"?>
<comments xmlns="http://schemas.openxmlformats.org/spreadsheetml/2006/main">
  <authors>
    <author>Lam, Lisa (Research)</author>
  </authors>
  <commentList>
    <comment ref="AO12" authorId="0">
      <text>
        <r>
          <rPr>
            <sz val="10"/>
            <color indexed="81"/>
            <rFont val="Tahoma"/>
            <family val="2"/>
          </rPr>
          <t xml:space="preserve">legacy reporting
restated in 1Q16 starting in 2Q14
2Q14 - 2371
2454
2563
2628
2692
2763
4Q15 - 2827
</t>
        </r>
      </text>
    </comment>
    <comment ref="AP12" authorId="0">
      <text>
        <r>
          <rPr>
            <sz val="10"/>
            <color indexed="81"/>
            <rFont val="Tahoma"/>
            <family val="2"/>
          </rPr>
          <t xml:space="preserve">legacy reporting
restated in 1Q16 starting in 2Q14
2Q14 - 2371
2454
2563
2628
2692
2763
4Q15 - 2827
</t>
        </r>
      </text>
    </comment>
    <comment ref="AQ12" authorId="0">
      <text>
        <r>
          <rPr>
            <sz val="10"/>
            <color indexed="81"/>
            <rFont val="Tahoma"/>
            <family val="2"/>
          </rPr>
          <t xml:space="preserve">legacy reporting
restated in 2Q16 starting in 3Q14
3Q14 - 2378
2484
2549
2614
2677
2744
1Q16 - 2786
</t>
        </r>
      </text>
    </comment>
    <comment ref="AO16" authorId="0">
      <text>
        <r>
          <rPr>
            <sz val="10"/>
            <color indexed="81"/>
            <rFont val="Tahoma"/>
            <family val="2"/>
          </rPr>
          <t xml:space="preserve">legacy reporting
restated in 1Q16 starting in 2Q14
2Q14 - 4997
4928
4802
4675
4569
4499
4Q15 - 4276
</t>
        </r>
      </text>
    </comment>
    <comment ref="AP16" authorId="0">
      <text>
        <r>
          <rPr>
            <sz val="10"/>
            <color indexed="81"/>
            <rFont val="Tahoma"/>
            <family val="2"/>
          </rPr>
          <t xml:space="preserve">legacy reporting
restated in 1Q16 starting in 2Q14
2Q14 - 4997
4928
4802
4675
4569
4499
4Q15 - 4276
</t>
        </r>
      </text>
    </comment>
    <comment ref="AQ16" authorId="0">
      <text>
        <r>
          <rPr>
            <sz val="10"/>
            <color indexed="81"/>
            <rFont val="Tahoma"/>
            <family val="2"/>
          </rPr>
          <t xml:space="preserve">legacy reporting
restated in 2Q16 starting in 3Q14
3Q14 - 5004
4881
4754
4647
4585
4359
1Q16 - 4338
</t>
        </r>
      </text>
    </comment>
    <comment ref="BE57" authorId="0">
      <text>
        <r>
          <rPr>
            <sz val="10"/>
            <color indexed="81"/>
            <rFont val="Tahoma"/>
            <family val="2"/>
          </rPr>
          <t>include $1M equity in net loss of affliates</t>
        </r>
      </text>
    </comment>
  </commentList>
</comments>
</file>

<file path=xl/comments8.xml><?xml version="1.0" encoding="utf-8"?>
<comments xmlns="http://schemas.openxmlformats.org/spreadsheetml/2006/main">
  <authors>
    <author>Sinkevicius, Armintas (Research)</author>
    <author>Lam, Lisa (Research)</author>
  </authors>
  <commentList>
    <comment ref="AV6" authorId="0">
      <text>
        <r>
          <rPr>
            <b/>
            <sz val="9"/>
            <color indexed="81"/>
            <rFont val="Tahoma"/>
            <family val="2"/>
          </rPr>
          <t>Sinkevicius, Armintas (Research):</t>
        </r>
        <r>
          <rPr>
            <sz val="9"/>
            <color indexed="81"/>
            <rFont val="Tahoma"/>
            <family val="2"/>
          </rPr>
          <t xml:space="preserve">
DirecTV on July 24, 2015</t>
        </r>
      </text>
    </comment>
    <comment ref="BB37" authorId="1">
      <text>
        <r>
          <rPr>
            <sz val="10"/>
            <color indexed="81"/>
            <rFont val="Tahoma"/>
            <family val="2"/>
          </rPr>
          <t>MSe</t>
        </r>
      </text>
    </comment>
    <comment ref="BC37" authorId="1">
      <text>
        <r>
          <rPr>
            <sz val="10"/>
            <color indexed="81"/>
            <rFont val="Tahoma"/>
            <family val="2"/>
          </rPr>
          <t>MSe</t>
        </r>
      </text>
    </comment>
    <comment ref="BD37" authorId="1">
      <text>
        <r>
          <rPr>
            <sz val="10"/>
            <color indexed="81"/>
            <rFont val="Tahoma"/>
            <family val="2"/>
          </rPr>
          <t>MSe</t>
        </r>
      </text>
    </comment>
    <comment ref="BE37" authorId="1">
      <text>
        <r>
          <rPr>
            <sz val="10"/>
            <color indexed="81"/>
            <rFont val="Tahoma"/>
            <family val="2"/>
          </rPr>
          <t>MSe</t>
        </r>
      </text>
    </comment>
    <comment ref="AW49" authorId="1">
      <text>
        <r>
          <rPr>
            <sz val="10"/>
            <color indexed="81"/>
            <rFont val="Tahoma"/>
            <family val="2"/>
          </rPr>
          <t>rounding</t>
        </r>
      </text>
    </comment>
  </commentList>
</comments>
</file>

<file path=xl/comments9.xml><?xml version="1.0" encoding="utf-8"?>
<comments xmlns="http://schemas.openxmlformats.org/spreadsheetml/2006/main">
  <authors>
    <author>mogres</author>
    <author>Sinkevicius, Armintas (Research)</author>
    <author>Lam, Lisa (Research)</author>
    <author>warjohn</author>
    <author>Armintas Sinkevicius</author>
  </authors>
  <commentList>
    <comment ref="A5" authorId="0">
      <text>
        <r>
          <rPr>
            <sz val="8"/>
            <color indexed="8"/>
            <rFont val="Tahoma"/>
            <family val="2"/>
          </rPr>
          <t xml:space="preserve">
</t>
        </r>
        <r>
          <rPr>
            <b/>
            <sz val="8"/>
            <color indexed="8"/>
            <rFont val="Tahoma"/>
            <family val="2"/>
          </rPr>
          <t xml:space="preserve">Discount rate </t>
        </r>
        <r>
          <rPr>
            <sz val="8"/>
            <color indexed="8"/>
            <rFont val="Tahoma"/>
            <family val="2"/>
          </rPr>
          <t>is based on the Corporate AA bond rate and is used to calculate the present value of pension benefit obligations.
Because companies have some discretion over how they estimate the rate and the duration of future benefit payments varies from company to company, rates will differ slightly from company to company.</t>
        </r>
        <r>
          <rPr>
            <b/>
            <sz val="8"/>
            <color indexed="8"/>
            <rFont val="Tahoma"/>
            <family val="2"/>
          </rPr>
          <t xml:space="preserve">
How to forecast this line item if Pension is material for my company?</t>
        </r>
        <r>
          <rPr>
            <sz val="8"/>
            <color indexed="8"/>
            <rFont val="Tahoma"/>
            <family val="2"/>
          </rPr>
          <t xml:space="preserve">
Assuming you wouldn't want to forecast the interest rates, set this equal to prior period's discount rate. If you are in the middle of FY1, you could attempt to use the latest available rate using the appropriate bond index yield. Contact AST if you wish to do so. However, from FY2 onwards, you should set it equal to prior period's discount rate.
</t>
        </r>
        <r>
          <rPr>
            <b/>
            <sz val="8"/>
            <color indexed="8"/>
            <rFont val="Tahoma"/>
            <family val="2"/>
          </rPr>
          <t xml:space="preserve">How does the template forecast it?
</t>
        </r>
        <r>
          <rPr>
            <sz val="8"/>
            <color indexed="8"/>
            <rFont val="Tahoma"/>
            <family val="2"/>
          </rPr>
          <t>The template does not attempt to forecast the interest rates and flat lines it.</t>
        </r>
      </text>
    </comment>
    <comment ref="A7" authorId="0">
      <text>
        <r>
          <rPr>
            <b/>
            <sz val="8"/>
            <color indexed="8"/>
            <rFont val="Tahoma"/>
            <family val="2"/>
          </rPr>
          <t xml:space="preserve">
EROA</t>
        </r>
        <r>
          <rPr>
            <sz val="8"/>
            <color indexed="8"/>
            <rFont val="Tahoma"/>
            <family val="2"/>
          </rPr>
          <t xml:space="preserve"> is management’s estimate of the long-term rate of return for plan assets and is used to calculate a component of pension expense. This will vary widely from company to company depending on asset mix and other assumptions.</t>
        </r>
        <r>
          <rPr>
            <b/>
            <sz val="8"/>
            <color indexed="8"/>
            <rFont val="Tahoma"/>
            <family val="2"/>
          </rPr>
          <t xml:space="preserve">
How to forecast this line item if Pension is material for my company?</t>
        </r>
        <r>
          <rPr>
            <sz val="8"/>
            <color indexed="8"/>
            <rFont val="Tahoma"/>
            <family val="2"/>
          </rPr>
          <t xml:space="preserve">
It should be flat lined unless the management provides guidance around changing it in future year/s.
</t>
        </r>
        <r>
          <rPr>
            <b/>
            <sz val="8"/>
            <color indexed="8"/>
            <rFont val="Tahoma"/>
            <family val="2"/>
          </rPr>
          <t xml:space="preserve">How does the template forecast it?
</t>
        </r>
        <r>
          <rPr>
            <sz val="8"/>
            <color indexed="8"/>
            <rFont val="Tahoma"/>
            <family val="2"/>
          </rPr>
          <t>The template flat lines the management disclosed estimate of the long-term rate of return on plan assets.</t>
        </r>
      </text>
    </comment>
    <comment ref="N7" authorId="1">
      <text>
        <r>
          <rPr>
            <b/>
            <sz val="9"/>
            <color indexed="81"/>
            <rFont val="Tahoma"/>
            <family val="2"/>
          </rPr>
          <t>Sinkevicius, Armintas (Research):</t>
        </r>
        <r>
          <rPr>
            <sz val="9"/>
            <color indexed="81"/>
            <rFont val="Tahoma"/>
            <family val="2"/>
          </rPr>
          <t xml:space="preserve">
2014 10-K</t>
        </r>
      </text>
    </comment>
    <comment ref="R7" authorId="2">
      <text>
        <r>
          <rPr>
            <sz val="9"/>
            <color indexed="81"/>
            <rFont val="Tahoma"/>
            <family val="2"/>
          </rPr>
          <t>per 4Q17 earnings call</t>
        </r>
      </text>
    </comment>
    <comment ref="A8" authorId="0">
      <text>
        <r>
          <rPr>
            <b/>
            <sz val="8"/>
            <color indexed="8"/>
            <rFont val="Tahoma"/>
            <family val="2"/>
          </rPr>
          <t xml:space="preserve">
Actual Rate of Return </t>
        </r>
        <r>
          <rPr>
            <sz val="8"/>
            <color indexed="8"/>
            <rFont val="Tahoma"/>
            <family val="2"/>
          </rPr>
          <t>is the actual return generated on pension plan assets.</t>
        </r>
        <r>
          <rPr>
            <b/>
            <sz val="8"/>
            <color indexed="8"/>
            <rFont val="Tahoma"/>
            <family val="2"/>
          </rPr>
          <t xml:space="preserve">
How to forecast this line item if Pension is material for my company?</t>
        </r>
        <r>
          <rPr>
            <sz val="8"/>
            <color indexed="8"/>
            <rFont val="Tahoma"/>
            <family val="2"/>
          </rPr>
          <t xml:space="preserve">
You should set it equal to management's EROA assuming you wouldn't want to forecast the returns on underlying plan assets. If you are in the middle of FY1, you could attempt to use the actual return (YTD) using underlying asset index return. Contact AST if you wish to do so. However, from FY2 onwards, you should set it equal to management's EROA.
</t>
        </r>
        <r>
          <rPr>
            <b/>
            <sz val="8"/>
            <color indexed="8"/>
            <rFont val="Tahoma"/>
            <family val="2"/>
          </rPr>
          <t xml:space="preserve">How does the template forecast it?
</t>
        </r>
        <r>
          <rPr>
            <sz val="8"/>
            <color indexed="8"/>
            <rFont val="Tahoma"/>
            <family val="2"/>
          </rPr>
          <t xml:space="preserve">The template does not attempt to forecast the actual rate of return and sets it equal to management's EROA. </t>
        </r>
      </text>
    </comment>
    <comment ref="A9" authorId="0">
      <text>
        <r>
          <rPr>
            <sz val="8"/>
            <color indexed="8"/>
            <rFont val="Tahoma"/>
            <family val="2"/>
          </rPr>
          <t xml:space="preserve">
Since PBOs are tax-deductible, there is a deferred tax asset related to the DB plan(s). </t>
        </r>
        <r>
          <rPr>
            <b/>
            <sz val="8"/>
            <color indexed="8"/>
            <rFont val="Tahoma"/>
            <family val="2"/>
          </rPr>
          <t>Statutory tax rate</t>
        </r>
        <r>
          <rPr>
            <sz val="8"/>
            <color indexed="8"/>
            <rFont val="Tahoma"/>
            <family val="2"/>
          </rPr>
          <t xml:space="preserve"> is thus used to compute the tax benefits associated with pensions.</t>
        </r>
        <r>
          <rPr>
            <b/>
            <sz val="8"/>
            <color indexed="8"/>
            <rFont val="Tahoma"/>
            <family val="2"/>
          </rPr>
          <t xml:space="preserve">
How to forecast this line item if Pension is material for my company?</t>
        </r>
        <r>
          <rPr>
            <sz val="8"/>
            <color indexed="8"/>
            <rFont val="Tahoma"/>
            <family val="2"/>
          </rPr>
          <t xml:space="preserve">
You should set it equal to the corporate tax rate of 35% for the US plan or a blended rate if the company has pension plans in other countries as well.
</t>
        </r>
        <r>
          <rPr>
            <b/>
            <sz val="8"/>
            <color indexed="8"/>
            <rFont val="Tahoma"/>
            <family val="2"/>
          </rPr>
          <t xml:space="preserve">How does the template forecast it?
</t>
        </r>
        <r>
          <rPr>
            <sz val="8"/>
            <color indexed="8"/>
            <rFont val="Tahoma"/>
            <family val="2"/>
          </rPr>
          <t>The template sets it equal to the US corporate tax rate of 35%.</t>
        </r>
      </text>
    </comment>
    <comment ref="A13" authorId="0">
      <text>
        <r>
          <rPr>
            <b/>
            <sz val="8"/>
            <color indexed="8"/>
            <rFont val="Tahoma"/>
            <family val="2"/>
          </rPr>
          <t xml:space="preserve">
Service cost</t>
        </r>
        <r>
          <rPr>
            <sz val="8"/>
            <color indexed="8"/>
            <rFont val="Tahoma"/>
            <family val="2"/>
          </rPr>
          <t xml:space="preserve"> is the 'present value' of new benefits earned during the period and represents the economic operating cost of the ongoing plan. When a company reduces benefits, future service costs decline. If they freeze the plans, service costs are eliminated.</t>
        </r>
        <r>
          <rPr>
            <b/>
            <sz val="8"/>
            <color indexed="8"/>
            <rFont val="Tahoma"/>
            <family val="2"/>
          </rPr>
          <t xml:space="preserve">
How to forecast this line item if Pension is material for my company?</t>
        </r>
        <r>
          <rPr>
            <sz val="8"/>
            <color indexed="8"/>
            <rFont val="Tahoma"/>
            <family val="2"/>
          </rPr>
          <t xml:space="preserve">
For an active plan, service cost </t>
        </r>
        <r>
          <rPr>
            <u/>
            <sz val="8"/>
            <color indexed="8"/>
            <rFont val="Tahoma"/>
            <family val="2"/>
          </rPr>
          <t>usually</t>
        </r>
        <r>
          <rPr>
            <sz val="8"/>
            <color indexed="8"/>
            <rFont val="Tahoma"/>
            <family val="2"/>
          </rPr>
          <t xml:space="preserve"> remains steady in</t>
        </r>
        <r>
          <rPr>
            <u/>
            <sz val="8"/>
            <color indexed="8"/>
            <rFont val="Tahoma"/>
            <family val="2"/>
          </rPr>
          <t xml:space="preserve"> real</t>
        </r>
        <r>
          <rPr>
            <sz val="8"/>
            <color indexed="8"/>
            <rFont val="Tahoma"/>
            <family val="2"/>
          </rPr>
          <t xml:space="preserve"> terms and thus changes only to the extent of changes in interest (discount) rates. It should thus be forecasted after considering the changes in interest rates (if forecasted) for the period and using a rule of thumb which states that -- every 100 bps change in discount rate results in about 10% change in service cost.
If the plan is frozen, set this equal to zero.
</t>
        </r>
        <r>
          <rPr>
            <b/>
            <sz val="8"/>
            <color indexed="8"/>
            <rFont val="Tahoma"/>
            <family val="2"/>
          </rPr>
          <t xml:space="preserve">How does the template forecast it?
</t>
        </r>
        <r>
          <rPr>
            <sz val="8"/>
            <color indexed="8"/>
            <rFont val="Tahoma"/>
            <family val="2"/>
          </rPr>
          <t>The template uses a rule of thumb and forecasts the service cost by considering the changes in discount rates on row 8.</t>
        </r>
      </text>
    </comment>
    <comment ref="A14" authorId="0">
      <text>
        <r>
          <rPr>
            <b/>
            <sz val="8"/>
            <color indexed="8"/>
            <rFont val="Tahoma"/>
            <family val="2"/>
          </rPr>
          <t xml:space="preserve">
Prior service cost</t>
        </r>
        <r>
          <rPr>
            <sz val="8"/>
            <color indexed="8"/>
            <rFont val="Tahoma"/>
            <family val="2"/>
          </rPr>
          <t xml:space="preserve"> is the change in the present value of defined benefit obligations caused by employee service in prior periods. This cost arises from amendments to DB benefits. The change in this cost may either be positive or negative.</t>
        </r>
        <r>
          <rPr>
            <b/>
            <sz val="8"/>
            <color indexed="8"/>
            <rFont val="Tahoma"/>
            <family val="2"/>
          </rPr>
          <t xml:space="preserve">
How to forecast this line item if Pension is material for my company?</t>
        </r>
        <r>
          <rPr>
            <sz val="8"/>
            <color indexed="8"/>
            <rFont val="Tahoma"/>
            <family val="2"/>
          </rPr>
          <t xml:space="preserve">
Prior service cost is not very important from an economic standpoint and thus should just be flat lined in forecast years.
</t>
        </r>
        <r>
          <rPr>
            <b/>
            <sz val="8"/>
            <color indexed="8"/>
            <rFont val="Tahoma"/>
            <family val="2"/>
          </rPr>
          <t>How does the template forecast it?</t>
        </r>
        <r>
          <rPr>
            <sz val="8"/>
            <color indexed="8"/>
            <rFont val="Tahoma"/>
            <family val="2"/>
          </rPr>
          <t xml:space="preserve">
The template does not attempt to forecast this line item and flat lines it in forecast years.</t>
        </r>
      </text>
    </comment>
    <comment ref="A15" authorId="0">
      <text>
        <r>
          <rPr>
            <b/>
            <sz val="8"/>
            <color indexed="8"/>
            <rFont val="Tahoma"/>
            <family val="2"/>
          </rPr>
          <t xml:space="preserve">
Interest cost</t>
        </r>
        <r>
          <rPr>
            <sz val="8"/>
            <color indexed="8"/>
            <rFont val="Tahoma"/>
            <family val="2"/>
          </rPr>
          <t xml:space="preserve"> is the corporate AA bond yield multiplied by the PBO. It represents the financing cost of the gross liability i.e. PBO.</t>
        </r>
        <r>
          <rPr>
            <b/>
            <sz val="8"/>
            <color indexed="8"/>
            <rFont val="Tahoma"/>
            <family val="2"/>
          </rPr>
          <t xml:space="preserve">
How to forecast this line item if Pension is material for my company?</t>
        </r>
        <r>
          <rPr>
            <sz val="8"/>
            <color indexed="8"/>
            <rFont val="Tahoma"/>
            <family val="2"/>
          </rPr>
          <t xml:space="preserve">
Interest cost should be calculated as discount rate (BOP) (row 8) times the projected benefit obligation (BOP).
</t>
        </r>
        <r>
          <rPr>
            <b/>
            <sz val="8"/>
            <color indexed="8"/>
            <rFont val="Tahoma"/>
            <family val="2"/>
          </rPr>
          <t xml:space="preserve">How does the template forecast it?
</t>
        </r>
        <r>
          <rPr>
            <sz val="8"/>
            <color indexed="8"/>
            <rFont val="Tahoma"/>
            <family val="2"/>
          </rPr>
          <t>Interest cost is calculated as discount rate (BOP) times the projected benefit obligation (BOP).</t>
        </r>
      </text>
    </comment>
    <comment ref="A16" authorId="0">
      <text>
        <r>
          <rPr>
            <b/>
            <sz val="8"/>
            <color indexed="8"/>
            <rFont val="Tahoma"/>
            <family val="2"/>
          </rPr>
          <t xml:space="preserve">
EROA</t>
        </r>
        <r>
          <rPr>
            <sz val="8"/>
            <color indexed="8"/>
            <rFont val="Tahoma"/>
            <family val="2"/>
          </rPr>
          <t xml:space="preserve"> is management’s estimate of the long-term rate of return for plan assets and is used to calculate a component of pension expense. This will vary widely from company to company depending on asset mix and other assumptions.</t>
        </r>
        <r>
          <rPr>
            <b/>
            <sz val="8"/>
            <color indexed="8"/>
            <rFont val="Tahoma"/>
            <family val="2"/>
          </rPr>
          <t xml:space="preserve">
How to forecast this line item if Pension is material for my company?</t>
        </r>
        <r>
          <rPr>
            <sz val="8"/>
            <color indexed="8"/>
            <rFont val="Tahoma"/>
            <family val="2"/>
          </rPr>
          <t xml:space="preserve">
EROA should be calculated as management’s assumption of the long-term return times the FV of plan assets (BOP).
</t>
        </r>
        <r>
          <rPr>
            <b/>
            <sz val="8"/>
            <color indexed="8"/>
            <rFont val="Tahoma"/>
            <family val="2"/>
          </rPr>
          <t xml:space="preserve">How does the template forecast it?
</t>
        </r>
        <r>
          <rPr>
            <sz val="8"/>
            <color indexed="8"/>
            <rFont val="Tahoma"/>
            <family val="2"/>
          </rPr>
          <t>EROA is calculated as  management’s assumption of the long-term return times the FV of plan assets (BOP).</t>
        </r>
      </text>
    </comment>
    <comment ref="H16" authorId="3">
      <text>
        <r>
          <rPr>
            <b/>
            <sz val="8"/>
            <color indexed="8"/>
            <rFont val="Tahoma"/>
            <family val="2"/>
          </rPr>
          <t>warjohn:</t>
        </r>
        <r>
          <rPr>
            <sz val="8"/>
            <color indexed="8"/>
            <rFont val="Tahoma"/>
            <family val="2"/>
          </rPr>
          <t xml:space="preserve">
Based on smoothed asset value, not comparable to 2009 and on.</t>
        </r>
      </text>
    </comment>
    <comment ref="A17" authorId="0">
      <text>
        <r>
          <rPr>
            <sz val="8"/>
            <color indexed="8"/>
            <rFont val="Tahoma"/>
            <family val="2"/>
          </rPr>
          <t xml:space="preserve">
Companies that have voluntarily changed their GAAP pension accounting recognize all actuarial gains/losses that occurred during the year in the 4th quarter, instead of amortizing them over time. </t>
        </r>
        <r>
          <rPr>
            <b/>
            <sz val="8"/>
            <color indexed="8"/>
            <rFont val="Tahoma"/>
            <family val="2"/>
          </rPr>
          <t xml:space="preserve">
How to forecast this line item if Pension is material for my company?</t>
        </r>
        <r>
          <rPr>
            <sz val="8"/>
            <color indexed="8"/>
            <rFont val="Tahoma"/>
            <family val="2"/>
          </rPr>
          <t xml:space="preserve">
This line item is not important from an economic standpoint and is also impossible to forecast. You should set this line item equal to zero for the forecast years.
</t>
        </r>
        <r>
          <rPr>
            <b/>
            <sz val="8"/>
            <color indexed="8"/>
            <rFont val="Tahoma"/>
            <family val="2"/>
          </rPr>
          <t>How does the template forecast it?</t>
        </r>
        <r>
          <rPr>
            <sz val="8"/>
            <color indexed="8"/>
            <rFont val="Tahoma"/>
            <family val="2"/>
          </rPr>
          <t xml:space="preserve">
The template does not attempt to forecast this line item and sets it equal to zero for the forecast years.</t>
        </r>
      </text>
    </comment>
    <comment ref="H17" authorId="3">
      <text>
        <r>
          <rPr>
            <b/>
            <sz val="8"/>
            <color indexed="8"/>
            <rFont val="Tahoma"/>
            <family val="2"/>
          </rPr>
          <t xml:space="preserve">warjohn:
</t>
        </r>
        <r>
          <rPr>
            <sz val="8"/>
            <color indexed="8"/>
            <rFont val="Tahoma"/>
            <family val="2"/>
          </rPr>
          <t>Amortization of actuarial gains/losses - not comparable with 2009 and on.</t>
        </r>
      </text>
    </comment>
    <comment ref="A18" authorId="0">
      <text>
        <r>
          <rPr>
            <b/>
            <sz val="8"/>
            <color indexed="8"/>
            <rFont val="Tahoma"/>
            <family val="2"/>
          </rPr>
          <t xml:space="preserve">
Pension expense</t>
        </r>
        <r>
          <rPr>
            <sz val="8"/>
            <color indexed="8"/>
            <rFont val="Tahoma"/>
            <family val="2"/>
          </rPr>
          <t xml:space="preserve"> is an accrued expense and 
is entirely non-cash. It is added back in cash flow from operations as a non-cash item.</t>
        </r>
      </text>
    </comment>
    <comment ref="H18" authorId="3">
      <text>
        <r>
          <rPr>
            <b/>
            <sz val="8"/>
            <color indexed="8"/>
            <rFont val="Tahoma"/>
            <family val="2"/>
          </rPr>
          <t>warjohn:</t>
        </r>
        <r>
          <rPr>
            <sz val="8"/>
            <color indexed="8"/>
            <rFont val="Tahoma"/>
            <family val="2"/>
          </rPr>
          <t xml:space="preserve">
Not comparable with 2009 and on.</t>
        </r>
      </text>
    </comment>
    <comment ref="A22" authorId="0">
      <text>
        <r>
          <rPr>
            <b/>
            <sz val="8"/>
            <color indexed="8"/>
            <rFont val="Tahoma"/>
            <family val="2"/>
          </rPr>
          <t xml:space="preserve">
PBO</t>
        </r>
        <r>
          <rPr>
            <sz val="8"/>
            <color indexed="8"/>
            <rFont val="Tahoma"/>
            <family val="2"/>
          </rPr>
          <t xml:space="preserve"> is the present value of the projected benefit obligations earned to date. Employees earn benefits as they accumulate years of service. The obligations are measured at present value using the corporate AA bond rate and are re-measured each year to account for interest rate changes, assumption changes, new benefits earned (represented by service cost) and passage of time (represented by interest cost) which increases PBO.
PBOs are tax-deductible. The tax-deductibility of PBO is an important difference as compared to traditional debt. When a company takes on traditional debt, interest is deductible, but the debt principal payments are not.
When looking at metrics that include PBO (such as net debt) analysts should subtract the corresponding DTA to capture the true liability.</t>
        </r>
      </text>
    </comment>
    <comment ref="A23" authorId="0">
      <text>
        <r>
          <rPr>
            <b/>
            <sz val="8"/>
            <color indexed="8"/>
            <rFont val="Tahoma"/>
            <family val="2"/>
          </rPr>
          <t xml:space="preserve">
Service cost</t>
        </r>
        <r>
          <rPr>
            <sz val="8"/>
            <color indexed="8"/>
            <rFont val="Tahoma"/>
            <family val="2"/>
          </rPr>
          <t xml:space="preserve"> is incurred each period as employees earn new benefits for increased time of service and is thus added to PBO, which is the PV of the projected benefit obligations </t>
        </r>
        <r>
          <rPr>
            <u/>
            <sz val="8"/>
            <color indexed="8"/>
            <rFont val="Tahoma"/>
            <family val="2"/>
          </rPr>
          <t>earned to date.</t>
        </r>
        <r>
          <rPr>
            <b/>
            <sz val="8"/>
            <color indexed="8"/>
            <rFont val="Tahoma"/>
            <family val="2"/>
          </rPr>
          <t xml:space="preserve">
How to forecast this line item if Pension is material for my company?
</t>
        </r>
        <r>
          <rPr>
            <sz val="8"/>
            <color indexed="8"/>
            <rFont val="Tahoma"/>
            <family val="2"/>
          </rPr>
          <t>It should be linked to service cost for the year already forecasted on the income statement.</t>
        </r>
        <r>
          <rPr>
            <b/>
            <sz val="8"/>
            <color indexed="8"/>
            <rFont val="Tahoma"/>
            <family val="2"/>
          </rPr>
          <t xml:space="preserve">
How does the template forecast it?
</t>
        </r>
        <r>
          <rPr>
            <sz val="8"/>
            <color indexed="8"/>
            <rFont val="Tahoma"/>
            <family val="2"/>
          </rPr>
          <t>It is linked to service cost for the year already forecasted on the income statement.</t>
        </r>
      </text>
    </comment>
    <comment ref="A24" authorId="0">
      <text>
        <r>
          <rPr>
            <b/>
            <sz val="8"/>
            <color indexed="8"/>
            <rFont val="Tahoma"/>
            <family val="2"/>
          </rPr>
          <t xml:space="preserve">
Interest cost is</t>
        </r>
        <r>
          <rPr>
            <sz val="8"/>
            <color indexed="8"/>
            <rFont val="Tahoma"/>
            <family val="2"/>
          </rPr>
          <t xml:space="preserve"> the financing cost of the gross liability and is thus added to PBO.</t>
        </r>
        <r>
          <rPr>
            <b/>
            <sz val="8"/>
            <color indexed="8"/>
            <rFont val="Tahoma"/>
            <family val="2"/>
          </rPr>
          <t xml:space="preserve">
How to forecast this line item if Pension is material for my company?</t>
        </r>
        <r>
          <rPr>
            <sz val="8"/>
            <color indexed="8"/>
            <rFont val="Tahoma"/>
            <family val="2"/>
          </rPr>
          <t xml:space="preserve">
It should be linked to interest cost for the year already forecasted on the income statement.
</t>
        </r>
        <r>
          <rPr>
            <b/>
            <sz val="8"/>
            <color indexed="8"/>
            <rFont val="Tahoma"/>
            <family val="2"/>
          </rPr>
          <t>How does the template forecast it?</t>
        </r>
        <r>
          <rPr>
            <sz val="8"/>
            <color indexed="8"/>
            <rFont val="Tahoma"/>
            <family val="2"/>
          </rPr>
          <t xml:space="preserve">
It is linked to interest cost for the year already forecasted on the income statement.
</t>
        </r>
      </text>
    </comment>
    <comment ref="A25" authorId="0">
      <text>
        <r>
          <rPr>
            <b/>
            <sz val="8"/>
            <color indexed="8"/>
            <rFont val="Tahoma"/>
            <family val="2"/>
          </rPr>
          <t xml:space="preserve">
Actuarial loss (gain)</t>
        </r>
        <r>
          <rPr>
            <sz val="8"/>
            <color indexed="8"/>
            <rFont val="Tahoma"/>
            <family val="2"/>
          </rPr>
          <t xml:space="preserve"> is the magnitude of disconnect between actuarial estimates and actual experience in a company's pension plan. For example, if the interest (discount) rate used to compute the PV of benefit obligations declines, it results in increase in the obligations and the change in liability is accounted as an actuarial loss for the year.</t>
        </r>
        <r>
          <rPr>
            <b/>
            <sz val="8"/>
            <color indexed="8"/>
            <rFont val="Tahoma"/>
            <family val="2"/>
          </rPr>
          <t xml:space="preserve">
How to forecast this line item if Pension is material for my company?
</t>
        </r>
        <r>
          <rPr>
            <sz val="8"/>
            <color indexed="8"/>
            <rFont val="Tahoma"/>
            <family val="2"/>
          </rPr>
          <t>It should be forecasted by considering the changes in interest rates (if forecasted) for the period (row 8) and using a rule of thumb which states that -- every 100 bps change in discount rate results in about 10% change in PBO.</t>
        </r>
        <r>
          <rPr>
            <b/>
            <sz val="8"/>
            <color indexed="8"/>
            <rFont val="Tahoma"/>
            <family val="2"/>
          </rPr>
          <t xml:space="preserve">
How does the template forecast it?
</t>
        </r>
        <r>
          <rPr>
            <sz val="8"/>
            <color indexed="8"/>
            <rFont val="Tahoma"/>
            <family val="2"/>
          </rPr>
          <t>The template uses a rule of thumb and forecasts this number after considering the changes in discount rates on row 8.</t>
        </r>
      </text>
    </comment>
    <comment ref="A26" authorId="0">
      <text>
        <r>
          <rPr>
            <b/>
            <sz val="8"/>
            <color indexed="8"/>
            <rFont val="Tahoma"/>
            <family val="2"/>
          </rPr>
          <t xml:space="preserve">
Benefits payments </t>
        </r>
        <r>
          <rPr>
            <sz val="8"/>
            <color indexed="8"/>
            <rFont val="Tahoma"/>
            <family val="2"/>
          </rPr>
          <t>are the actual pension benefit payments made to the employees during the year. It reduces the pension liability by the amount of the benefits paid.</t>
        </r>
        <r>
          <rPr>
            <b/>
            <sz val="8"/>
            <color indexed="8"/>
            <rFont val="Tahoma"/>
            <family val="2"/>
          </rPr>
          <t xml:space="preserve">
How to forecast this line item if Pension is material for my company?</t>
        </r>
        <r>
          <rPr>
            <sz val="8"/>
            <color indexed="8"/>
            <rFont val="Tahoma"/>
            <family val="2"/>
          </rPr>
          <t xml:space="preserve">
The pension footnote discloses the expected benefit payments to retirees for the next 5 years, and the aggregate payment for the following 5 years which should be used in the template to forecast future benefit payments.
</t>
        </r>
        <r>
          <rPr>
            <b/>
            <sz val="8"/>
            <color indexed="8"/>
            <rFont val="Tahoma"/>
            <family val="2"/>
          </rPr>
          <t xml:space="preserve">How does the template forecast it?
</t>
        </r>
        <r>
          <rPr>
            <sz val="8"/>
            <color indexed="8"/>
            <rFont val="Tahoma"/>
            <family val="2"/>
          </rPr>
          <t>Since benefit payments are usually steady in nature, the template flat lines it.</t>
        </r>
      </text>
    </comment>
    <comment ref="Q26" authorId="1">
      <text>
        <r>
          <rPr>
            <b/>
            <sz val="9"/>
            <color indexed="81"/>
            <rFont val="Tahoma"/>
            <family val="2"/>
          </rPr>
          <t>Sinkevicius, Armintas (Research):</t>
        </r>
        <r>
          <rPr>
            <sz val="9"/>
            <color indexed="81"/>
            <rFont val="Tahoma"/>
            <family val="2"/>
          </rPr>
          <t xml:space="preserve">
2014 10-K</t>
        </r>
      </text>
    </comment>
    <comment ref="R26" authorId="1">
      <text>
        <r>
          <rPr>
            <b/>
            <sz val="9"/>
            <color indexed="81"/>
            <rFont val="Tahoma"/>
            <family val="2"/>
          </rPr>
          <t>Sinkevicius, Armintas (Research):</t>
        </r>
        <r>
          <rPr>
            <sz val="9"/>
            <color indexed="81"/>
            <rFont val="Tahoma"/>
            <family val="2"/>
          </rPr>
          <t xml:space="preserve">
2014 10-K</t>
        </r>
      </text>
    </comment>
    <comment ref="S26" authorId="1">
      <text>
        <r>
          <rPr>
            <b/>
            <sz val="9"/>
            <color indexed="81"/>
            <rFont val="Tahoma"/>
            <family val="2"/>
          </rPr>
          <t>Sinkevicius, Armintas (Research):</t>
        </r>
        <r>
          <rPr>
            <sz val="9"/>
            <color indexed="81"/>
            <rFont val="Tahoma"/>
            <family val="2"/>
          </rPr>
          <t xml:space="preserve">
2014 10-K</t>
        </r>
      </text>
    </comment>
    <comment ref="A27" authorId="0">
      <text>
        <r>
          <rPr>
            <b/>
            <sz val="8"/>
            <color indexed="8"/>
            <rFont val="Tahoma"/>
            <family val="2"/>
          </rPr>
          <t xml:space="preserve">
In the template, this line item may include the total of:</t>
        </r>
        <r>
          <rPr>
            <sz val="8"/>
            <color indexed="8"/>
            <rFont val="Tahoma"/>
            <family val="2"/>
          </rPr>
          <t xml:space="preserve">
1. Plan Amendments
2. Actuarial Adjustments
3. Exchange gains/losses
4. Settlements and curtailments
5. Acquisitions and Divestures
6. Other adjustments to PBO</t>
        </r>
        <r>
          <rPr>
            <b/>
            <sz val="8"/>
            <color indexed="8"/>
            <rFont val="Tahoma"/>
            <family val="2"/>
          </rPr>
          <t xml:space="preserve">
How to forecast this line item if Pension is material for my company?</t>
        </r>
        <r>
          <rPr>
            <sz val="8"/>
            <color indexed="8"/>
            <rFont val="Tahoma"/>
            <family val="2"/>
          </rPr>
          <t xml:space="preserve">
This line item includes a set of miscellaneous items that are not important from an economic standpoint and are also impossible to forecast. You should set it equal to zero for the forecast years.
</t>
        </r>
        <r>
          <rPr>
            <b/>
            <sz val="8"/>
            <color indexed="8"/>
            <rFont val="Tahoma"/>
            <family val="2"/>
          </rPr>
          <t xml:space="preserve">How does the template forecast it?
</t>
        </r>
        <r>
          <rPr>
            <sz val="8"/>
            <color indexed="8"/>
            <rFont val="Tahoma"/>
            <family val="2"/>
          </rPr>
          <t>The template does not attempt to forecast this line item and sets it equal to zero for the forecast years.</t>
        </r>
      </text>
    </comment>
    <comment ref="A30" authorId="0">
      <text>
        <r>
          <rPr>
            <b/>
            <sz val="8"/>
            <color indexed="8"/>
            <rFont val="Tahoma"/>
            <family val="2"/>
          </rPr>
          <t xml:space="preserve">
Pension plan assets</t>
        </r>
        <r>
          <rPr>
            <sz val="8"/>
            <color indexed="8"/>
            <rFont val="Tahoma"/>
            <family val="2"/>
          </rPr>
          <t xml:space="preserve"> are measured at the current fair value. Similar to other assets and liabilities measured at fair value, the company provides details about how it measured the fair value of its pension assets in the disclosures.</t>
        </r>
      </text>
    </comment>
    <comment ref="A31" authorId="0">
      <text>
        <r>
          <rPr>
            <b/>
            <sz val="8"/>
            <color indexed="8"/>
            <rFont val="Tahoma"/>
            <family val="2"/>
          </rPr>
          <t xml:space="preserve">
Actual return </t>
        </r>
        <r>
          <rPr>
            <sz val="8"/>
            <color indexed="8"/>
            <rFont val="Tahoma"/>
            <family val="2"/>
          </rPr>
          <t xml:space="preserve">is the return generared on pension plan assets .
</t>
        </r>
        <r>
          <rPr>
            <b/>
            <sz val="8"/>
            <color indexed="8"/>
            <rFont val="Tahoma"/>
            <family val="2"/>
          </rPr>
          <t>How to forecast this line item if Pension is material for my company?</t>
        </r>
        <r>
          <rPr>
            <sz val="8"/>
            <color indexed="8"/>
            <rFont val="Tahoma"/>
            <family val="2"/>
          </rPr>
          <t xml:space="preserve">
Actual return could be calculated as actual rate of return (row12) times the FV of plan assets (BOP) + 0.5*contributions assuming that the contributions were made in the middle of the year. Contact AST if the company makes steady contributions throughout the year OR if you are unsure how to consider them when calculating actual return.
</t>
        </r>
        <r>
          <rPr>
            <b/>
            <sz val="8"/>
            <color indexed="8"/>
            <rFont val="Tahoma"/>
            <family val="2"/>
          </rPr>
          <t>How does the template forecast it?</t>
        </r>
        <r>
          <rPr>
            <sz val="8"/>
            <color indexed="8"/>
            <rFont val="Tahoma"/>
            <family val="2"/>
          </rPr>
          <t xml:space="preserve">
Actual return is calculated as actual rate of return (row12) times the FV of plan assets (BOP) + 0.5*contributions assuming that the contributions were made in the middle of the year.</t>
        </r>
      </text>
    </comment>
    <comment ref="A32" authorId="0">
      <text>
        <r>
          <rPr>
            <b/>
            <sz val="8"/>
            <color indexed="8"/>
            <rFont val="Tahoma"/>
            <family val="2"/>
          </rPr>
          <t xml:space="preserve">
Contributions</t>
        </r>
        <r>
          <rPr>
            <sz val="8"/>
            <color indexed="8"/>
            <rFont val="Tahoma"/>
            <family val="2"/>
          </rPr>
          <t xml:space="preserve"> are the payments that the company makes into the pension trust, for future benefit payments. These contributions may be the minimum required based on ERISA requirements, or may be discretionary. The companies are awarded credits whenever they make contributions in excess of minimum requirements. These credits, which are not
disclosed, can then be used to offset future required contributions. Therefore they tend to be very lumpy, and difficult to estimate.</t>
        </r>
        <r>
          <rPr>
            <b/>
            <sz val="8"/>
            <color indexed="8"/>
            <rFont val="Tahoma"/>
            <family val="2"/>
          </rPr>
          <t xml:space="preserve">
How to forecast this line item if Pension is material for my company?
</t>
        </r>
        <r>
          <rPr>
            <sz val="8"/>
            <color indexed="8"/>
            <rFont val="Tahoma"/>
            <family val="2"/>
          </rPr>
          <t>Companies disclose expected contributions for the 'next' fiscal year in their pension footnote which should be used in the template to forecast next year's contributions. Some companies also disclose it for 'future years' in their contractual obligations footnote, which could be used to forecast it for the rest of the years. If they don't, contact AST to better estimate this number for future years.</t>
        </r>
        <r>
          <rPr>
            <sz val="8"/>
            <color indexed="8"/>
            <rFont val="Tahoma"/>
            <family val="2"/>
          </rPr>
          <t xml:space="preserve">
</t>
        </r>
        <r>
          <rPr>
            <b/>
            <sz val="8"/>
            <color indexed="8"/>
            <rFont val="Tahoma"/>
            <family val="2"/>
          </rPr>
          <t xml:space="preserve">How does the template forecast it?
</t>
        </r>
        <r>
          <rPr>
            <sz val="8"/>
            <color indexed="8"/>
            <rFont val="Tahoma"/>
            <family val="2"/>
          </rPr>
          <t>The template uses the average contributions of last three actual years. You should use this approach if liquidity is not a major concern for the company.</t>
        </r>
      </text>
    </comment>
    <comment ref="M32" authorId="4">
      <text>
        <r>
          <rPr>
            <b/>
            <sz val="8"/>
            <color indexed="81"/>
            <rFont val="Tahoma"/>
            <family val="2"/>
          </rPr>
          <t>Armintas Sinkevicius:</t>
        </r>
        <r>
          <rPr>
            <sz val="8"/>
            <color indexed="81"/>
            <rFont val="Tahoma"/>
            <family val="2"/>
          </rPr>
          <t xml:space="preserve">
2013 10-K: $9.209b AT&amp;T Mobility II LLC on Sept. 9, 2013</t>
        </r>
      </text>
    </comment>
    <comment ref="N32" authorId="4">
      <text>
        <r>
          <rPr>
            <b/>
            <sz val="8"/>
            <color indexed="81"/>
            <rFont val="Tahoma"/>
            <family val="2"/>
          </rPr>
          <t>Armintas Sinkevicius:</t>
        </r>
        <r>
          <rPr>
            <sz val="8"/>
            <color indexed="81"/>
            <rFont val="Tahoma"/>
            <family val="2"/>
          </rPr>
          <t xml:space="preserve">
2014 10-K: adj. to $9.021b AT&amp;T Mobility II LLC</t>
        </r>
      </text>
    </comment>
    <comment ref="Q32" authorId="1">
      <text>
        <r>
          <rPr>
            <b/>
            <sz val="9"/>
            <color indexed="81"/>
            <rFont val="Tahoma"/>
            <family val="2"/>
          </rPr>
          <t>Sinkevicius, Armintas (Research):</t>
        </r>
        <r>
          <rPr>
            <sz val="9"/>
            <color indexed="81"/>
            <rFont val="Tahoma"/>
            <family val="2"/>
          </rPr>
          <t xml:space="preserve">
2014 10-K
$560M</t>
        </r>
      </text>
    </comment>
    <comment ref="R32" authorId="1">
      <text>
        <r>
          <rPr>
            <b/>
            <sz val="9"/>
            <color indexed="81"/>
            <rFont val="Tahoma"/>
            <family val="2"/>
          </rPr>
          <t>Sinkevicius, Armintas (Research):</t>
        </r>
        <r>
          <rPr>
            <sz val="9"/>
            <color indexed="81"/>
            <rFont val="Tahoma"/>
            <family val="2"/>
          </rPr>
          <t xml:space="preserve">
2014 10-K
$560M</t>
        </r>
      </text>
    </comment>
    <comment ref="S32" authorId="1">
      <text>
        <r>
          <rPr>
            <b/>
            <sz val="9"/>
            <color indexed="81"/>
            <rFont val="Tahoma"/>
            <family val="2"/>
          </rPr>
          <t>Sinkevicius, Armintas (Research):</t>
        </r>
        <r>
          <rPr>
            <sz val="9"/>
            <color indexed="81"/>
            <rFont val="Tahoma"/>
            <family val="2"/>
          </rPr>
          <t xml:space="preserve">
2014 10-K
$560M</t>
        </r>
      </text>
    </comment>
    <comment ref="A33" authorId="0">
      <text>
        <r>
          <rPr>
            <b/>
            <sz val="8"/>
            <color indexed="8"/>
            <rFont val="Tahoma"/>
            <family val="2"/>
          </rPr>
          <t xml:space="preserve">
Benefits payments </t>
        </r>
        <r>
          <rPr>
            <sz val="8"/>
            <color indexed="8"/>
            <rFont val="Tahoma"/>
            <family val="2"/>
          </rPr>
          <t>are the actual pension benefit payments made to the employees during the year. These payments are paid out of pension plan assets and are thus reduced from plan assets.</t>
        </r>
        <r>
          <rPr>
            <b/>
            <sz val="8"/>
            <color indexed="8"/>
            <rFont val="Tahoma"/>
            <family val="2"/>
          </rPr>
          <t xml:space="preserve">
How to forecast this line item if Pension is material for my company?</t>
        </r>
        <r>
          <rPr>
            <sz val="8"/>
            <color indexed="8"/>
            <rFont val="Tahoma"/>
            <family val="2"/>
          </rPr>
          <t xml:space="preserve">
The pension footnote discloses the schedule of expected benefit payments to retirees for the next 5 years, and the aggregate payment for the following 5 years, which should be used in the template to forecast future benefit payments. (i.e. you can just link this to row 33 of the template)
</t>
        </r>
        <r>
          <rPr>
            <b/>
            <sz val="8"/>
            <color indexed="8"/>
            <rFont val="Tahoma"/>
            <family val="2"/>
          </rPr>
          <t xml:space="preserve">How does the template forecast it?
</t>
        </r>
        <r>
          <rPr>
            <sz val="8"/>
            <color indexed="8"/>
            <rFont val="Tahoma"/>
            <family val="2"/>
          </rPr>
          <t>Since benefit payments are usually steady in nature, the template flat lines it. (i.e. links it to row 33 of the template)</t>
        </r>
      </text>
    </comment>
    <comment ref="A34" authorId="0">
      <text>
        <r>
          <rPr>
            <b/>
            <sz val="8"/>
            <color indexed="8"/>
            <rFont val="Tahoma"/>
            <family val="2"/>
          </rPr>
          <t xml:space="preserve">
In the template, this line item may include the total of:</t>
        </r>
        <r>
          <rPr>
            <sz val="8"/>
            <color indexed="8"/>
            <rFont val="Tahoma"/>
            <family val="2"/>
          </rPr>
          <t xml:space="preserve">
1. Acquisitions and Divestitures 
2. Settlements and curtailments
3. Exchange rate changes 
4. Other adjustments to plan assets
</t>
        </r>
        <r>
          <rPr>
            <b/>
            <sz val="8"/>
            <color indexed="8"/>
            <rFont val="Tahoma"/>
            <family val="2"/>
          </rPr>
          <t xml:space="preserve">How to forecast this line item if Pension is material for my company?
</t>
        </r>
        <r>
          <rPr>
            <sz val="8"/>
            <color indexed="8"/>
            <rFont val="Tahoma"/>
            <family val="2"/>
          </rPr>
          <t>This line item includes a set of miscellaneous items that are not important from an economic standpoint and are also impossible to forecast. You should set this line item equal to zero for the forecast years.</t>
        </r>
        <r>
          <rPr>
            <b/>
            <sz val="8"/>
            <color indexed="8"/>
            <rFont val="Tahoma"/>
            <family val="2"/>
          </rPr>
          <t xml:space="preserve">
How does the template forecast it?
</t>
        </r>
        <r>
          <rPr>
            <sz val="8"/>
            <color indexed="8"/>
            <rFont val="Tahoma"/>
            <family val="2"/>
          </rPr>
          <t>The template does not attempt to forecast this line item and sets it equal to zero for the forecast years.</t>
        </r>
      </text>
    </comment>
    <comment ref="A37" authorId="0">
      <text>
        <r>
          <rPr>
            <b/>
            <sz val="8"/>
            <color indexed="8"/>
            <rFont val="Tahoma"/>
            <family val="2"/>
          </rPr>
          <t xml:space="preserve">
Funded status </t>
        </r>
        <r>
          <rPr>
            <sz val="8"/>
            <color indexed="8"/>
            <rFont val="Tahoma"/>
            <family val="2"/>
          </rPr>
          <t>of the plan is the difference between the PBO and the FV of plan assets. It is recorded on the balance sheet and may be split between the current and non-current portions.
It fully measures the debt-like liability of the plan to date and incurs interest like any financial liability.</t>
        </r>
      </text>
    </comment>
    <comment ref="A40" authorId="0">
      <text>
        <r>
          <rPr>
            <b/>
            <sz val="8"/>
            <color indexed="8"/>
            <rFont val="Tahoma"/>
            <family val="2"/>
          </rPr>
          <t xml:space="preserve">
DTAs: </t>
        </r>
        <r>
          <rPr>
            <sz val="8"/>
            <color indexed="8"/>
            <rFont val="Tahoma"/>
            <family val="2"/>
          </rPr>
          <t xml:space="preserve">Since PBOs are tax-deductible, there is a deferred tax asset related to the DB plan(s). They are tax-deductible when the company makes contributions. The obligation on the balance sheet is reported gross of tax, and the corresponding tax benefits are part of DTA. When looking at metrics that include PBO (such as net debt) analysts should subtract the corresponding DTA to capture the true liability.
</t>
        </r>
        <r>
          <rPr>
            <b/>
            <sz val="8"/>
            <color indexed="8"/>
            <rFont val="Tahoma"/>
            <family val="2"/>
          </rPr>
          <t>How to forecast this line item if Pension is material for my company?</t>
        </r>
        <r>
          <rPr>
            <sz val="8"/>
            <color indexed="8"/>
            <rFont val="Tahoma"/>
            <family val="2"/>
          </rPr>
          <t xml:space="preserve">
DTA's should be = tax rate x forecasted funded status.
</t>
        </r>
        <r>
          <rPr>
            <b/>
            <sz val="8"/>
            <color indexed="8"/>
            <rFont val="Tahoma"/>
            <family val="2"/>
          </rPr>
          <t xml:space="preserve">How does the template forecast it?
</t>
        </r>
        <r>
          <rPr>
            <sz val="8"/>
            <color indexed="8"/>
            <rFont val="Tahoma"/>
            <family val="2"/>
          </rPr>
          <t>It is calculated as tax rate times forecasted funded status.</t>
        </r>
      </text>
    </comment>
    <comment ref="A43" authorId="0">
      <text>
        <r>
          <rPr>
            <b/>
            <sz val="8"/>
            <color indexed="8"/>
            <rFont val="Tahoma"/>
            <family val="2"/>
          </rPr>
          <t xml:space="preserve">
Contributions</t>
        </r>
        <r>
          <rPr>
            <sz val="8"/>
            <color indexed="8"/>
            <rFont val="Tahoma"/>
            <family val="2"/>
          </rPr>
          <t xml:space="preserve"> are the companies’ payments to the pension trust. These are thus the cash flows on a companies cash flow
statement.</t>
        </r>
      </text>
    </comment>
    <comment ref="A48" authorId="0">
      <text>
        <r>
          <rPr>
            <b/>
            <sz val="8"/>
            <color indexed="8"/>
            <rFont val="Tahoma"/>
            <family val="2"/>
          </rPr>
          <t xml:space="preserve">
Why?
</t>
        </r>
        <r>
          <rPr>
            <sz val="8"/>
            <color indexed="8"/>
            <rFont val="Tahoma"/>
            <family val="2"/>
          </rPr>
          <t>Contributions are companies’ payments to the pension trust. They thus represent a reduction in operating cash flow of the company in the year in which they are made.</t>
        </r>
      </text>
    </comment>
    <comment ref="A49" authorId="0">
      <text>
        <r>
          <rPr>
            <b/>
            <sz val="8"/>
            <color indexed="8"/>
            <rFont val="Tahoma"/>
            <family val="2"/>
          </rPr>
          <t xml:space="preserve">
Why?
</t>
        </r>
        <r>
          <rPr>
            <sz val="8"/>
            <color indexed="8"/>
            <rFont val="Tahoma"/>
            <family val="2"/>
          </rPr>
          <t>DB obligations on the balance sheet are tax-deductible when the company makes contributions. The obligation on the balance sheet is reported gross of tax, and the corresponding tax benefits are part of deferred tax assets (DTA).</t>
        </r>
      </text>
    </comment>
    <comment ref="A53" authorId="0">
      <text>
        <r>
          <rPr>
            <b/>
            <sz val="8"/>
            <color indexed="8"/>
            <rFont val="Tahoma"/>
            <family val="2"/>
          </rPr>
          <t xml:space="preserve">
Why?
</t>
        </r>
        <r>
          <rPr>
            <sz val="8"/>
            <color indexed="8"/>
            <rFont val="Tahoma"/>
            <family val="2"/>
          </rPr>
          <t>Improvement/deterioration in funded status during the year will decrease /increase the net pension liability for the year and thus needs to be captured in this line item.</t>
        </r>
        <r>
          <rPr>
            <b/>
            <sz val="8"/>
            <color indexed="8"/>
            <rFont val="Tahoma"/>
            <family val="2"/>
          </rPr>
          <t xml:space="preserve">
</t>
        </r>
      </text>
    </comment>
    <comment ref="A54" authorId="0">
      <text>
        <r>
          <rPr>
            <b/>
            <sz val="8"/>
            <color indexed="8"/>
            <rFont val="Tahoma"/>
            <family val="2"/>
          </rPr>
          <t xml:space="preserve">
Why?</t>
        </r>
        <r>
          <rPr>
            <sz val="8"/>
            <color indexed="8"/>
            <rFont val="Tahoma"/>
            <family val="2"/>
          </rPr>
          <t xml:space="preserve">
Pension expense/ (income) is a non-cash number and thus needs to be added back on the cash flow statement. Contributions are the only cash flows on a companies cash flow statement.</t>
        </r>
      </text>
    </comment>
    <comment ref="A55" authorId="0">
      <text>
        <r>
          <rPr>
            <b/>
            <sz val="8"/>
            <color indexed="8"/>
            <rFont val="Tahoma"/>
            <family val="2"/>
          </rPr>
          <t xml:space="preserve">
Why?
</t>
        </r>
        <r>
          <rPr>
            <sz val="8"/>
            <color indexed="8"/>
            <rFont val="Tahoma"/>
            <family val="2"/>
          </rPr>
          <t xml:space="preserve">While the funded status on the balance sheet is based on actual results (i.e. actual return on assets, year-end discount rate, etc), the accounting for the pension/OPEB plan on the income statement is heavily influenced by management estimates and various smoothing features (i.e. EROA, amortization of prior service costs and actuarial G/L, etc.)
To keep the balance sheet in balance, the disconnect between estimated and actual results (known as unrecognized actuarial gains/losses) is captured in </t>
        </r>
        <r>
          <rPr>
            <b/>
            <sz val="8"/>
            <color indexed="8"/>
            <rFont val="Tahoma"/>
            <family val="2"/>
          </rPr>
          <t>Accumulated other comprehensive income (AOCI).</t>
        </r>
      </text>
    </comment>
  </commentList>
</comments>
</file>

<file path=xl/comments10.xml><?xml version="1.0" encoding="utf-8"?>
<comments xmlns="http://schemas.openxmlformats.org/spreadsheetml/2006/main">
  <authors>
    <author>warjohn</author>
    <author>Sinkevicius, Armintas (Research)</author>
  </authors>
  <commentList>
    <comment ref="H16" authorId="0">
      <text>
        <r>
          <rPr>
            <b/>
            <sz val="8"/>
            <color indexed="8"/>
            <rFont val="Tahoma"/>
            <family val="2"/>
          </rPr>
          <t>warjohn:</t>
        </r>
        <r>
          <rPr>
            <sz val="8"/>
            <color indexed="8"/>
            <rFont val="Tahoma"/>
            <family val="2"/>
          </rPr>
          <t xml:space="preserve">
Based on smoothed asset value, not comparable to 2009 and on.</t>
        </r>
      </text>
    </comment>
    <comment ref="H17" authorId="0">
      <text>
        <r>
          <rPr>
            <b/>
            <sz val="8"/>
            <color indexed="8"/>
            <rFont val="Tahoma"/>
            <family val="2"/>
          </rPr>
          <t xml:space="preserve">warjohn:
</t>
        </r>
        <r>
          <rPr>
            <sz val="8"/>
            <color indexed="8"/>
            <rFont val="Tahoma"/>
            <family val="2"/>
          </rPr>
          <t>Amortization of actuarial gains/losses - not comparable with 2009 and on.</t>
        </r>
      </text>
    </comment>
    <comment ref="H18" authorId="0">
      <text>
        <r>
          <rPr>
            <b/>
            <sz val="8"/>
            <color indexed="8"/>
            <rFont val="Tahoma"/>
            <family val="2"/>
          </rPr>
          <t>warjohn:</t>
        </r>
        <r>
          <rPr>
            <sz val="8"/>
            <color indexed="8"/>
            <rFont val="Tahoma"/>
            <family val="2"/>
          </rPr>
          <t xml:space="preserve">
Not comparable with 2009 and on.</t>
        </r>
      </text>
    </comment>
    <comment ref="Q26" authorId="1">
      <text>
        <r>
          <rPr>
            <b/>
            <sz val="9"/>
            <color indexed="81"/>
            <rFont val="Tahoma"/>
            <family val="2"/>
          </rPr>
          <t>Sinkevicius, Armintas (Research):</t>
        </r>
        <r>
          <rPr>
            <sz val="9"/>
            <color indexed="81"/>
            <rFont val="Tahoma"/>
            <family val="2"/>
          </rPr>
          <t xml:space="preserve">
2014 10-K</t>
        </r>
      </text>
    </comment>
    <comment ref="R26" authorId="1">
      <text>
        <r>
          <rPr>
            <b/>
            <sz val="9"/>
            <color indexed="81"/>
            <rFont val="Tahoma"/>
            <family val="2"/>
          </rPr>
          <t>Sinkevicius, Armintas (Research):</t>
        </r>
        <r>
          <rPr>
            <sz val="9"/>
            <color indexed="81"/>
            <rFont val="Tahoma"/>
            <family val="2"/>
          </rPr>
          <t xml:space="preserve">
2014 10-K</t>
        </r>
      </text>
    </comment>
    <comment ref="S26" authorId="1">
      <text>
        <r>
          <rPr>
            <b/>
            <sz val="9"/>
            <color indexed="81"/>
            <rFont val="Tahoma"/>
            <family val="2"/>
          </rPr>
          <t>Sinkevicius, Armintas (Research):</t>
        </r>
        <r>
          <rPr>
            <sz val="9"/>
            <color indexed="81"/>
            <rFont val="Tahoma"/>
            <family val="2"/>
          </rPr>
          <t xml:space="preserve">
2014 10-K</t>
        </r>
      </text>
    </comment>
  </commentList>
</comments>
</file>

<file path=xl/comments11.xml><?xml version="1.0" encoding="utf-8"?>
<comments xmlns="http://schemas.openxmlformats.org/spreadsheetml/2006/main">
  <authors>
    <author>Hannah Morhaim</author>
  </authors>
  <commentList>
    <comment ref="I12" authorId="0">
      <text>
        <r>
          <rPr>
            <b/>
            <sz val="8"/>
            <color indexed="8"/>
            <rFont val="Tahoma"/>
            <family val="2"/>
          </rPr>
          <t>Hannah Morhaim:</t>
        </r>
        <r>
          <rPr>
            <sz val="8"/>
            <color indexed="8"/>
            <rFont val="Tahoma"/>
            <family val="2"/>
          </rPr>
          <t xml:space="preserve">
since 2007 proforma for T/BLS</t>
        </r>
      </text>
    </comment>
    <comment ref="A13" authorId="0">
      <text>
        <r>
          <rPr>
            <b/>
            <sz val="8"/>
            <color indexed="8"/>
            <rFont val="Tahoma"/>
            <family val="2"/>
          </rPr>
          <t>Hannah Morhaim:</t>
        </r>
        <r>
          <rPr>
            <sz val="8"/>
            <color indexed="8"/>
            <rFont val="Tahoma"/>
            <family val="2"/>
          </rPr>
          <t xml:space="preserve">
broadband includes U-verse subscribers</t>
        </r>
      </text>
    </comment>
    <comment ref="I13" authorId="0">
      <text>
        <r>
          <rPr>
            <b/>
            <sz val="8"/>
            <color indexed="8"/>
            <rFont val="Tahoma"/>
            <family val="2"/>
          </rPr>
          <t>Hannah Morhaim:</t>
        </r>
        <r>
          <rPr>
            <sz val="8"/>
            <color indexed="8"/>
            <rFont val="Tahoma"/>
            <family val="2"/>
          </rPr>
          <t xml:space="preserve">
dsl proforma since 2007</t>
        </r>
      </text>
    </comment>
    <comment ref="I14" authorId="0">
      <text>
        <r>
          <rPr>
            <b/>
            <sz val="8"/>
            <color indexed="8"/>
            <rFont val="Tahoma"/>
            <family val="2"/>
          </rPr>
          <t>Hannah Morhaim:</t>
        </r>
        <r>
          <rPr>
            <sz val="8"/>
            <color indexed="8"/>
            <rFont val="Tahoma"/>
            <family val="2"/>
          </rPr>
          <t xml:space="preserve">
since 2007 proforma for T/BLS</t>
        </r>
      </text>
    </comment>
    <comment ref="I15" authorId="0">
      <text>
        <r>
          <rPr>
            <b/>
            <sz val="8"/>
            <color indexed="8"/>
            <rFont val="Tahoma"/>
            <family val="2"/>
          </rPr>
          <t>Hannah Morhaim:</t>
        </r>
        <r>
          <rPr>
            <sz val="8"/>
            <color indexed="8"/>
            <rFont val="Tahoma"/>
            <family val="2"/>
          </rPr>
          <t xml:space="preserve">
dsl proforma since 2007</t>
        </r>
      </text>
    </comment>
    <comment ref="I16" authorId="0">
      <text>
        <r>
          <rPr>
            <b/>
            <sz val="8"/>
            <color indexed="8"/>
            <rFont val="Tahoma"/>
            <family val="2"/>
          </rPr>
          <t>Hannah Morhaim:</t>
        </r>
        <r>
          <rPr>
            <sz val="8"/>
            <color indexed="8"/>
            <rFont val="Tahoma"/>
            <family val="2"/>
          </rPr>
          <t xml:space="preserve">
since 2007 proforma for T/BLS</t>
        </r>
      </text>
    </comment>
    <comment ref="I17" authorId="0">
      <text>
        <r>
          <rPr>
            <b/>
            <sz val="8"/>
            <color indexed="8"/>
            <rFont val="Tahoma"/>
            <family val="2"/>
          </rPr>
          <t>Hannah Morhaim:</t>
        </r>
        <r>
          <rPr>
            <sz val="8"/>
            <color indexed="8"/>
            <rFont val="Tahoma"/>
            <family val="2"/>
          </rPr>
          <t xml:space="preserve">
dsl proforma since 2007</t>
        </r>
      </text>
    </comment>
    <comment ref="G18" authorId="0">
      <text>
        <r>
          <rPr>
            <b/>
            <sz val="8"/>
            <color indexed="8"/>
            <rFont val="Tahoma"/>
            <family val="2"/>
          </rPr>
          <t>Hannah Morhaim:</t>
        </r>
        <r>
          <rPr>
            <sz val="8"/>
            <color indexed="8"/>
            <rFont val="Tahoma"/>
            <family val="2"/>
          </rPr>
          <t xml:space="preserve">
wireline revenues proforma for T/BLS since 2005</t>
        </r>
      </text>
    </comment>
    <comment ref="I19" authorId="0">
      <text>
        <r>
          <rPr>
            <b/>
            <sz val="8"/>
            <color indexed="8"/>
            <rFont val="Tahoma"/>
            <family val="2"/>
          </rPr>
          <t>Hannah Morhaim:</t>
        </r>
        <r>
          <rPr>
            <sz val="8"/>
            <color indexed="8"/>
            <rFont val="Tahoma"/>
            <family val="2"/>
          </rPr>
          <t xml:space="preserve">
included BLS since 2007</t>
        </r>
      </text>
    </comment>
    <comment ref="G30" authorId="0">
      <text>
        <r>
          <rPr>
            <b/>
            <sz val="8"/>
            <color indexed="8"/>
            <rFont val="Tahoma"/>
            <family val="2"/>
          </rPr>
          <t>Hannah Morhaim:</t>
        </r>
        <r>
          <rPr>
            <sz val="8"/>
            <color indexed="8"/>
            <rFont val="Tahoma"/>
            <family val="2"/>
          </rPr>
          <t xml:space="preserve">
proforma since 2005</t>
        </r>
      </text>
    </comment>
  </commentList>
</comments>
</file>

<file path=xl/sharedStrings.xml><?xml version="1.0" encoding="utf-8"?>
<sst xmlns="http://schemas.openxmlformats.org/spreadsheetml/2006/main" count="1806" uniqueCount="905">
  <si>
    <t>Postpaid Smartphone Sales</t>
  </si>
  <si>
    <t>Postpaid Smartphone Subscribers</t>
  </si>
  <si>
    <t>Postpaid Subscribers</t>
  </si>
  <si>
    <t>Smartphones on Next Program</t>
  </si>
  <si>
    <t>Operating Income</t>
  </si>
  <si>
    <t>Interest Expense</t>
  </si>
  <si>
    <t>Other Income (Expense)</t>
  </si>
  <si>
    <t>Adjusted EPS</t>
  </si>
  <si>
    <t>Investments in Equity Affiliates</t>
  </si>
  <si>
    <t>Other Assets</t>
  </si>
  <si>
    <t>Other</t>
  </si>
  <si>
    <t>Total Liabilities</t>
  </si>
  <si>
    <t>Check</t>
  </si>
  <si>
    <t>Net Income</t>
  </si>
  <si>
    <t>Deferred Income Tax Expense</t>
  </si>
  <si>
    <t>Accounts Receivable</t>
  </si>
  <si>
    <t>Other Current Assets</t>
  </si>
  <si>
    <t>Dispositions</t>
  </si>
  <si>
    <t>Acquisitions</t>
  </si>
  <si>
    <t>Dividends Paid</t>
  </si>
  <si>
    <t>Total</t>
  </si>
  <si>
    <t>Common Stock</t>
  </si>
  <si>
    <t>Retained Earnings</t>
  </si>
  <si>
    <t>Adjustments:</t>
  </si>
  <si>
    <t>GAAP:</t>
  </si>
  <si>
    <t>Total Revenue / EBITDA Impact</t>
  </si>
  <si>
    <t>CASH:</t>
  </si>
  <si>
    <t>Total Cash Flow Impact</t>
  </si>
  <si>
    <t>Equipment Revenue</t>
  </si>
  <si>
    <t>Wireless</t>
  </si>
  <si>
    <t>Operating Expenses</t>
  </si>
  <si>
    <t xml:space="preserve"> % margin</t>
  </si>
  <si>
    <t xml:space="preserve"> % y/y growth</t>
  </si>
  <si>
    <t>Postpaid</t>
  </si>
  <si>
    <t>Prepaid</t>
  </si>
  <si>
    <t>Reseller</t>
  </si>
  <si>
    <t>Connected Devices</t>
  </si>
  <si>
    <t>Postpaid Gross Adds</t>
  </si>
  <si>
    <t>Postpaid Disconnects</t>
  </si>
  <si>
    <t>Postpaid Churn</t>
  </si>
  <si>
    <t>Postpaid ARPU</t>
  </si>
  <si>
    <t>Other ARPU</t>
  </si>
  <si>
    <t>% penetration</t>
  </si>
  <si>
    <t>Net adds</t>
  </si>
  <si>
    <t>U-verse</t>
  </si>
  <si>
    <t>DSL</t>
  </si>
  <si>
    <t>AT&amp;T</t>
  </si>
  <si>
    <t>Pension Worksheet</t>
  </si>
  <si>
    <t>Assumptions</t>
  </si>
  <si>
    <t>Discount Rate (Liablity Rate)</t>
  </si>
  <si>
    <t>% Δ in PBO for each 100bps Δ in Interest Rate</t>
  </si>
  <si>
    <t>Expected Return on Plan Assets (EROA)</t>
  </si>
  <si>
    <t>Actual Return on Plan Assets</t>
  </si>
  <si>
    <t>Statutory Tax Rate</t>
  </si>
  <si>
    <t>Financial Statement Impact</t>
  </si>
  <si>
    <t>Income Statement</t>
  </si>
  <si>
    <t xml:space="preserve">  Service Cost</t>
  </si>
  <si>
    <t xml:space="preserve">  Prior Service Costs</t>
  </si>
  <si>
    <t xml:space="preserve">  Interest Cost</t>
  </si>
  <si>
    <t xml:space="preserve">  Expected Return on Plan Assets</t>
  </si>
  <si>
    <t xml:space="preserve">  Recognized Actuarial (Gains) / Loss</t>
  </si>
  <si>
    <t>GAAP Pension Expense / (Income)</t>
  </si>
  <si>
    <t>Non-GAAP Pension Expense (ex. Actuarial G/L)</t>
  </si>
  <si>
    <t>Balance Sheet</t>
  </si>
  <si>
    <t>Projected Benefit Obligations (PBO) - BOP</t>
  </si>
  <si>
    <t xml:space="preserve">  Actuarial Losses / (Gains)</t>
  </si>
  <si>
    <t xml:space="preserve">  Benefits Paid</t>
  </si>
  <si>
    <t xml:space="preserve">  Other </t>
  </si>
  <si>
    <t>Projected Benefit Obligations (PBO) - EOP</t>
  </si>
  <si>
    <t>Plan Assets - BOP</t>
  </si>
  <si>
    <t xml:space="preserve">  Actual Return</t>
  </si>
  <si>
    <t xml:space="preserve">  Company Contributions</t>
  </si>
  <si>
    <t xml:space="preserve">  Other</t>
  </si>
  <si>
    <t>Fair Value of Plan Assets - EOP</t>
  </si>
  <si>
    <t>Funded Status</t>
  </si>
  <si>
    <t>Funding Level (%)</t>
  </si>
  <si>
    <t>Deferred Tax Asset/(Liability) on Pensions</t>
  </si>
  <si>
    <t>Cash Flow Statement</t>
  </si>
  <si>
    <t>Pension Contributions, Net of Tax</t>
  </si>
  <si>
    <t>Model Links</t>
  </si>
  <si>
    <t>Change in Assets</t>
  </si>
  <si>
    <t>(Decrease) in cash from contributions</t>
  </si>
  <si>
    <t>Increase (decrease) in DTA from higher/lower funded status</t>
  </si>
  <si>
    <t>Total change in Assets</t>
  </si>
  <si>
    <t>Change in Liabilities &amp; Equity</t>
  </si>
  <si>
    <t>Increase / (Decrease) in Pension Funded Status</t>
  </si>
  <si>
    <t>Subscribers on Next Program</t>
  </si>
  <si>
    <t>Increase / (Decrease) in retained earnings from pension expense</t>
  </si>
  <si>
    <t>Increase / (Decrease) in AOCI from actuarial gains/losses</t>
  </si>
  <si>
    <t>Total Change in Liabilities &amp; Equity</t>
  </si>
  <si>
    <t>Plan Asset Allocation (%)</t>
  </si>
  <si>
    <t xml:space="preserve">   Equity</t>
  </si>
  <si>
    <t xml:space="preserve">   Fixed Income</t>
  </si>
  <si>
    <t xml:space="preserve">   Real Estate</t>
  </si>
  <si>
    <t xml:space="preserve">   Other</t>
  </si>
  <si>
    <t>OPEB Worksheet</t>
  </si>
  <si>
    <t>Discount Rate (Liability Rate)</t>
  </si>
  <si>
    <t>GAAP OPEB Expense / (Benefit)</t>
  </si>
  <si>
    <t>Non-GAAP OPEB Expense (ex. Actuarial G/L)</t>
  </si>
  <si>
    <t>Deferred Tax Asset/(Liability)</t>
  </si>
  <si>
    <t>OPEB Contributions, Net of Tax</t>
  </si>
  <si>
    <t>Benefits paid from OCF, after tax</t>
  </si>
  <si>
    <t>(Decrease) in cash from contributions and benefits paid from OCF</t>
  </si>
  <si>
    <t>Increase/(Decrease) in OPEB Funded Status</t>
  </si>
  <si>
    <t>Increase (decrease) in retained earnings from OPEB expense</t>
  </si>
  <si>
    <t>Increase/(Decrease) in AOCI from actuarial gains/losses</t>
  </si>
  <si>
    <t>Total Assets</t>
  </si>
  <si>
    <t>Prepaid Expenses</t>
  </si>
  <si>
    <t>Deferred Income Taxes</t>
  </si>
  <si>
    <t>Accrued Taxes</t>
  </si>
  <si>
    <t>Dividends Payable</t>
  </si>
  <si>
    <t>Service Revenues</t>
  </si>
  <si>
    <t>Equipment Revenues</t>
  </si>
  <si>
    <t>Total Revenues</t>
  </si>
  <si>
    <t>check</t>
  </si>
  <si>
    <t>INTERNATIONAL</t>
  </si>
  <si>
    <t>Total Broadband Subscribers</t>
  </si>
  <si>
    <t>net adds</t>
  </si>
  <si>
    <t>Postpaid Net Adds</t>
  </si>
  <si>
    <t>Global Links</t>
  </si>
  <si>
    <t>2009E</t>
  </si>
  <si>
    <t>2010E</t>
  </si>
  <si>
    <t>2011E</t>
  </si>
  <si>
    <t>2012E</t>
  </si>
  <si>
    <t>4Q08E</t>
  </si>
  <si>
    <t>1Q09E</t>
  </si>
  <si>
    <t>2Q09E</t>
  </si>
  <si>
    <t>3Q09E</t>
  </si>
  <si>
    <t>4Q09E</t>
  </si>
  <si>
    <t>Minutes of Use Per Sub Per Month</t>
  </si>
  <si>
    <t>ARPU</t>
  </si>
  <si>
    <t>Wireless penetration</t>
  </si>
  <si>
    <t>Wireless service revenue</t>
  </si>
  <si>
    <t>Capex</t>
  </si>
  <si>
    <t>Wireline penetration by household</t>
  </si>
  <si>
    <t>Broadband penetration by household</t>
  </si>
  <si>
    <t>Wireline penetration by population</t>
  </si>
  <si>
    <t>Broadband penetration by population</t>
  </si>
  <si>
    <t>Wireline subscriber market share</t>
  </si>
  <si>
    <t>Broadband subscriber market share</t>
  </si>
  <si>
    <t>Non-wireless revenue</t>
  </si>
  <si>
    <t>Capex (non-wireless)</t>
  </si>
  <si>
    <t>Potential Market</t>
  </si>
  <si>
    <t>Potential market by population</t>
  </si>
  <si>
    <t>Potential market by households</t>
  </si>
  <si>
    <t>Market for wireless subscribers</t>
  </si>
  <si>
    <t>Market for wireline subscribers</t>
  </si>
  <si>
    <t>Market for broadband subscribers</t>
  </si>
  <si>
    <t>General Operating Metrics</t>
  </si>
  <si>
    <t>Total number of employees</t>
  </si>
  <si>
    <t>Average number of employees</t>
  </si>
  <si>
    <t>General Financial Metrics</t>
  </si>
  <si>
    <t>Total Revenue</t>
  </si>
  <si>
    <t>Intercompany Eliminations</t>
  </si>
  <si>
    <t>Lower Service Rev. per Month</t>
  </si>
  <si>
    <t>Service Revenue</t>
  </si>
  <si>
    <t>1Q14</t>
  </si>
  <si>
    <t>2Q14</t>
  </si>
  <si>
    <t>3Q14</t>
  </si>
  <si>
    <t>4Q14</t>
  </si>
  <si>
    <t>NEXT PROGRAM</t>
  </si>
  <si>
    <t>Cash Receipt for Equipment</t>
  </si>
  <si>
    <t>Cash Collected for Equipment</t>
  </si>
  <si>
    <t>% of Postpaid Subs w/ Next</t>
  </si>
  <si>
    <t>Incremental Equipment Revenue</t>
  </si>
  <si>
    <t>Simon Flannery / simon.flannery@morganstanley.com / 212-761-6432</t>
  </si>
  <si>
    <t>Net Debt</t>
  </si>
  <si>
    <t>Less: Cash Taxes</t>
  </si>
  <si>
    <t>Less: Down Payment for Equip.</t>
  </si>
  <si>
    <t>Down Payment for Equipment</t>
  </si>
  <si>
    <t>Less: Lower Service Rev.</t>
  </si>
  <si>
    <t>Dividend</t>
  </si>
  <si>
    <t>Diluted Shares Outstanding</t>
  </si>
  <si>
    <t>Pre-Tax Income</t>
  </si>
  <si>
    <t>Less: Capex</t>
  </si>
  <si>
    <t>Free Cash Flow</t>
  </si>
  <si>
    <t>YTD</t>
  </si>
  <si>
    <t>Perf.</t>
  </si>
  <si>
    <t xml:space="preserve"> </t>
  </si>
  <si>
    <t>Postpaid Service Revenue</t>
  </si>
  <si>
    <t>U-verse video adds</t>
  </si>
  <si>
    <t>Prepaid Net Adds</t>
  </si>
  <si>
    <t>NA</t>
  </si>
  <si>
    <t>USD</t>
  </si>
  <si>
    <t>2015E</t>
  </si>
  <si>
    <t>EBITDA</t>
  </si>
  <si>
    <t>2013E</t>
  </si>
  <si>
    <t>2014E</t>
  </si>
  <si>
    <t>2018E</t>
  </si>
  <si>
    <t>Capital Expenditures</t>
  </si>
  <si>
    <t>Total Debt</t>
  </si>
  <si>
    <t>Wireline</t>
  </si>
  <si>
    <t>T.N</t>
  </si>
  <si>
    <t>-</t>
  </si>
  <si>
    <t>Currency</t>
  </si>
  <si>
    <t>Current Stock Price</t>
  </si>
  <si>
    <t>Count</t>
  </si>
  <si>
    <t>AT&amp;T, Inc.</t>
  </si>
  <si>
    <t>Morgan Stanley Research</t>
  </si>
  <si>
    <t>Simon Flannery 212-761-6432</t>
  </si>
  <si>
    <t>1Q01</t>
  </si>
  <si>
    <t>2Q01</t>
  </si>
  <si>
    <t>3Q01</t>
  </si>
  <si>
    <t>4Q01</t>
  </si>
  <si>
    <t>1Q02</t>
  </si>
  <si>
    <t>2Q02</t>
  </si>
  <si>
    <t>3Q02</t>
  </si>
  <si>
    <t>4Q02</t>
  </si>
  <si>
    <t>1Q03</t>
  </si>
  <si>
    <t>2Q03</t>
  </si>
  <si>
    <t>3Q03</t>
  </si>
  <si>
    <t>4Q03</t>
  </si>
  <si>
    <t>1Q04</t>
  </si>
  <si>
    <t>2Q04</t>
  </si>
  <si>
    <t>3Q04</t>
  </si>
  <si>
    <t>4Q04</t>
  </si>
  <si>
    <t>1Q05</t>
  </si>
  <si>
    <t>2Q05</t>
  </si>
  <si>
    <t>3Q05</t>
  </si>
  <si>
    <t>4Q05</t>
  </si>
  <si>
    <t>1Q06</t>
  </si>
  <si>
    <t>2Q06</t>
  </si>
  <si>
    <t>3Q06</t>
  </si>
  <si>
    <t>4Q06</t>
  </si>
  <si>
    <t>1Q07</t>
  </si>
  <si>
    <t>2Q07</t>
  </si>
  <si>
    <t>3Q07</t>
  </si>
  <si>
    <t>4Q07</t>
  </si>
  <si>
    <t>1Q08</t>
  </si>
  <si>
    <t>2Q08</t>
  </si>
  <si>
    <t>3Q08</t>
  </si>
  <si>
    <t>4Q08</t>
  </si>
  <si>
    <t>1Q09</t>
  </si>
  <si>
    <t>2Q09</t>
  </si>
  <si>
    <t>3Q09</t>
  </si>
  <si>
    <t>4Q09</t>
  </si>
  <si>
    <t>1Q10</t>
  </si>
  <si>
    <t>2Q10</t>
  </si>
  <si>
    <t>3Q10</t>
  </si>
  <si>
    <t>4Q10</t>
  </si>
  <si>
    <t>1Q11</t>
  </si>
  <si>
    <t>2Q11</t>
  </si>
  <si>
    <t>3Q11</t>
  </si>
  <si>
    <t>4Q11</t>
  </si>
  <si>
    <t>1Q12</t>
  </si>
  <si>
    <t>2Q12</t>
  </si>
  <si>
    <t>3Q12</t>
  </si>
  <si>
    <t>4Q12</t>
  </si>
  <si>
    <t>1Q13</t>
  </si>
  <si>
    <t>2Q13</t>
  </si>
  <si>
    <t>3Q13</t>
  </si>
  <si>
    <t>4Q13</t>
  </si>
  <si>
    <t>% y/y growth</t>
  </si>
  <si>
    <t>Depreciation</t>
  </si>
  <si>
    <t>SMARTPHONE MODEL</t>
  </si>
  <si>
    <t>INCOME STATEMENT ($MM)</t>
  </si>
  <si>
    <t>BALANCE SHEET ($MM)</t>
  </si>
  <si>
    <t>CASH FLOW STATEMENT ($MM)</t>
  </si>
  <si>
    <t>% margins</t>
  </si>
  <si>
    <t>Depreciation &amp; Amortization</t>
  </si>
  <si>
    <t>FREE CASH FLOW ($MM)</t>
  </si>
  <si>
    <t>1Q15</t>
  </si>
  <si>
    <t>2Q15</t>
  </si>
  <si>
    <t>3Q15</t>
  </si>
  <si>
    <t>4Q15</t>
  </si>
  <si>
    <t>2019E</t>
  </si>
  <si>
    <t>Less: Cash Interest</t>
  </si>
  <si>
    <t>2014</t>
  </si>
  <si>
    <t>Postpaid Phones</t>
  </si>
  <si>
    <t>BUSINESS SOLUTIONS</t>
  </si>
  <si>
    <t>wireless (% y/y)</t>
  </si>
  <si>
    <t>wireline (% y/y)</t>
  </si>
  <si>
    <t>Operating Expense</t>
  </si>
  <si>
    <t>% of total revenues</t>
  </si>
  <si>
    <t>Depreciation &amp; Amort.</t>
  </si>
  <si>
    <t>Equity in Affiliates</t>
  </si>
  <si>
    <t>CONSUMER MOBILITY</t>
  </si>
  <si>
    <t>Income Tax Expense</t>
  </si>
  <si>
    <t>% tax rate</t>
  </si>
  <si>
    <t>Less: Noncontrolling Interest</t>
  </si>
  <si>
    <t>Net Income to AT&amp;T</t>
  </si>
  <si>
    <t>Basic Shares Outstanding</t>
  </si>
  <si>
    <t>Adjusted EBITDA</t>
  </si>
  <si>
    <t>Service</t>
  </si>
  <si>
    <t>Equipment</t>
  </si>
  <si>
    <t>Fixed Strategic Services</t>
  </si>
  <si>
    <t>Total Wireless Subscribers</t>
  </si>
  <si>
    <t>Resellers</t>
  </si>
  <si>
    <t>Resellers / M&amp;A</t>
  </si>
  <si>
    <t>Wireless Net Adds</t>
  </si>
  <si>
    <t>SUBSCRIBER METRICS</t>
  </si>
  <si>
    <t>Legacy Voice &amp; Data Services</t>
  </si>
  <si>
    <t>DirecTV</t>
  </si>
  <si>
    <t>IP</t>
  </si>
  <si>
    <t>Total Voice Subscribers</t>
  </si>
  <si>
    <t>Total Broadband Net Adds</t>
  </si>
  <si>
    <t>Postpaid Service</t>
  </si>
  <si>
    <t>Prepaid Service</t>
  </si>
  <si>
    <t>Other Service</t>
  </si>
  <si>
    <t>Prepaid ARPU</t>
  </si>
  <si>
    <t>Mexico Wireless</t>
  </si>
  <si>
    <t>% postpaid churn</t>
  </si>
  <si>
    <t>Business Solutions</t>
  </si>
  <si>
    <t>Consumer Mobility</t>
  </si>
  <si>
    <t>Corporate &amp; Other</t>
  </si>
  <si>
    <t>Shares Outstanding, End</t>
  </si>
  <si>
    <t>Wireless Operating Expense</t>
  </si>
  <si>
    <t>% of wireless revenues</t>
  </si>
  <si>
    <t>Wireline Operating Expense</t>
  </si>
  <si>
    <t>% of wireline revenues</t>
  </si>
  <si>
    <t>Wireless Depr. &amp; Amort.</t>
  </si>
  <si>
    <t>Wireline Depr. &amp; Amort.</t>
  </si>
  <si>
    <t>net adds (incl. migrations)</t>
  </si>
  <si>
    <t>Tablets</t>
  </si>
  <si>
    <t>% total churn</t>
  </si>
  <si>
    <t>OTHER SERVICE REVENUE</t>
  </si>
  <si>
    <t>POSTPAID SERVICE REVENUE</t>
  </si>
  <si>
    <t>Other Service Revenue</t>
  </si>
  <si>
    <t>Prepaid Subscribers</t>
  </si>
  <si>
    <t>Reseller Subscribers</t>
  </si>
  <si>
    <t>Other Subscribers</t>
  </si>
  <si>
    <t>EQUIPMENT REVENUE</t>
  </si>
  <si>
    <t>Postpaid Upgrades</t>
  </si>
  <si>
    <t>postpaid upgrade rate</t>
  </si>
  <si>
    <t>% phones</t>
  </si>
  <si>
    <t>% smartphones</t>
  </si>
  <si>
    <t>Postpaid Device Sales</t>
  </si>
  <si>
    <t>Postpaid Phone Sales</t>
  </si>
  <si>
    <t>% smartphone penetration</t>
  </si>
  <si>
    <t>iPhones</t>
  </si>
  <si>
    <t>% installment take rate</t>
  </si>
  <si>
    <t>No-Device Subsidy</t>
  </si>
  <si>
    <t>Bring Your Own Device</t>
  </si>
  <si>
    <t>Mobile Share Value Subscribers</t>
  </si>
  <si>
    <t>Mobile Share Value Accounts</t>
  </si>
  <si>
    <t>% of smartphone subscribers</t>
  </si>
  <si>
    <t>% of postpaid subscribers</t>
  </si>
  <si>
    <t>per smartphone</t>
  </si>
  <si>
    <t>Equipment Revenue From Next</t>
  </si>
  <si>
    <t>Total Equipment Revenue</t>
  </si>
  <si>
    <t>y/y difference (bps)</t>
  </si>
  <si>
    <t>q/q difference (bps)</t>
  </si>
  <si>
    <t>q/q difference</t>
  </si>
  <si>
    <t>y/y difference</t>
  </si>
  <si>
    <t>PREPAID SERVICE REVENUE</t>
  </si>
  <si>
    <t>Prepaid Service Revenue</t>
  </si>
  <si>
    <t>Total Gross Adds</t>
  </si>
  <si>
    <t>Total Disconnects</t>
  </si>
  <si>
    <t>Legacy Connections</t>
  </si>
  <si>
    <t>% increase in share count</t>
  </si>
  <si>
    <t>BUSINESS SOLUTIONS ($MM)</t>
  </si>
  <si>
    <t>CONSUMER MOBILITY ($MM)</t>
  </si>
  <si>
    <t>AT&amp;T MOBILITY ($MM)</t>
  </si>
  <si>
    <t>Cash &amp; Cash Equivalents</t>
  </si>
  <si>
    <t>Current Assets</t>
  </si>
  <si>
    <t>Goodwill</t>
  </si>
  <si>
    <t>Licenses</t>
  </si>
  <si>
    <t>Customer Lists &amp; Relationships</t>
  </si>
  <si>
    <t>Other Intangible Assets</t>
  </si>
  <si>
    <t>Debt, Due Within One Year</t>
  </si>
  <si>
    <t>Accounts Payable &amp; Accured Liab.</t>
  </si>
  <si>
    <t>Advanced Billing &amp; Customer Dep.</t>
  </si>
  <si>
    <t>Current Liabilities</t>
  </si>
  <si>
    <t>Long Term Debt</t>
  </si>
  <si>
    <t>Postemployment Benefit Oblig.</t>
  </si>
  <si>
    <t>Other Non Current Liabilities</t>
  </si>
  <si>
    <t>Additional Paid In Capital</t>
  </si>
  <si>
    <t>Treasury Stock</t>
  </si>
  <si>
    <t>Other Comprehensive Income</t>
  </si>
  <si>
    <t>Non Controlling Interest</t>
  </si>
  <si>
    <t>Total Shareholders' Equity</t>
  </si>
  <si>
    <t>Total Liabilities + Shareholders' Equity</t>
  </si>
  <si>
    <t>Provision for Uncollectible Accts.</t>
  </si>
  <si>
    <t>Gain From Sale of Investments</t>
  </si>
  <si>
    <t>Changes in Working Capital:</t>
  </si>
  <si>
    <t>Accounts Payable / Accrued Liab.</t>
  </si>
  <si>
    <t>Retirement Benefit Funding</t>
  </si>
  <si>
    <t>Cash From Operations</t>
  </si>
  <si>
    <t>Cash From Investing Activities</t>
  </si>
  <si>
    <t>Change in Short Term Borrowing</t>
  </si>
  <si>
    <t>Issuance of Long Term Debt</t>
  </si>
  <si>
    <t>Repayment of Long Term Debt</t>
  </si>
  <si>
    <t>Purchase of Treasury Stock</t>
  </si>
  <si>
    <t>Issuance of Treasury Stock</t>
  </si>
  <si>
    <t>Cash From Financing Activities</t>
  </si>
  <si>
    <t>Change in Cash &amp; Cash Equivalents</t>
  </si>
  <si>
    <t>Cash, Beginning</t>
  </si>
  <si>
    <t>Cash, Ending</t>
  </si>
  <si>
    <t>Free Cash Flow (OCF - Capex)</t>
  </si>
  <si>
    <t>Free Cash Flow Per Share</t>
  </si>
  <si>
    <t>Less: Cash Pension</t>
  </si>
  <si>
    <t>Working Capital</t>
  </si>
  <si>
    <t>Sale / Purchase of Securities</t>
  </si>
  <si>
    <t>CAPEX ($MM)</t>
  </si>
  <si>
    <t>% of service revenues</t>
  </si>
  <si>
    <t>% of revenues</t>
  </si>
  <si>
    <t>Total Capex</t>
  </si>
  <si>
    <t>% of free cash flow</t>
  </si>
  <si>
    <t>Dividend Per Share</t>
  </si>
  <si>
    <t>LEVERAGE (NET DEBT / EBITDA)</t>
  </si>
  <si>
    <t>Less: Cash</t>
  </si>
  <si>
    <t>Net Debt / EBITDA</t>
  </si>
  <si>
    <t>WORKING CAPITAL ASSUMPTIONS</t>
  </si>
  <si>
    <t>Accounts Payable</t>
  </si>
  <si>
    <t>increase / (decrease)</t>
  </si>
  <si>
    <t>DSL Broadband Subscribers</t>
  </si>
  <si>
    <t>Property, Plant &amp; Equipment, Net</t>
  </si>
  <si>
    <t>% free cash flow yield (Current Price)</t>
  </si>
  <si>
    <t>Unrecorded Goodwill (Modelware)</t>
  </si>
  <si>
    <t>nd</t>
  </si>
  <si>
    <t>Less: Accumulated Depreciation</t>
  </si>
  <si>
    <t>Property Plant &amp; Equipment, Gross</t>
  </si>
  <si>
    <t>Source</t>
  </si>
  <si>
    <t>MSe</t>
  </si>
  <si>
    <t>Actual</t>
  </si>
  <si>
    <t>Diff. Pos./</t>
  </si>
  <si>
    <t>Cons.</t>
  </si>
  <si>
    <t>+ / -</t>
  </si>
  <si>
    <t>(Neg.)</t>
  </si>
  <si>
    <t>CONSOLIDATED</t>
  </si>
  <si>
    <t>FactSet</t>
  </si>
  <si>
    <t>+</t>
  </si>
  <si>
    <t>=</t>
  </si>
  <si>
    <t>StreetAccount</t>
  </si>
  <si>
    <t>Total Capex*</t>
  </si>
  <si>
    <t>% of revenues*</t>
  </si>
  <si>
    <t>% margin</t>
  </si>
  <si>
    <t>Broadband Adds (000)</t>
  </si>
  <si>
    <t>DSL net adds</t>
  </si>
  <si>
    <t>DirecTV US video adds</t>
  </si>
  <si>
    <t>AT&amp;T MOBILITY</t>
  </si>
  <si>
    <t>Revenues</t>
  </si>
  <si>
    <t>IP data adds</t>
  </si>
  <si>
    <t>"Double-digit consolidated revenue growth"</t>
  </si>
  <si>
    <t>"In the $22 billion range"</t>
  </si>
  <si>
    <t>"Stable consolidated margins with ramp in Mexico investment"  2015:  31.9%</t>
  </si>
  <si>
    <t>"Free cash flow growth with a dividend payout ratio in the 70s%"</t>
  </si>
  <si>
    <t>Equipment Revenue from Edge</t>
  </si>
  <si>
    <t>Cash Collected for Equipment (full month)</t>
  </si>
  <si>
    <t>Total Service Revenue</t>
  </si>
  <si>
    <t>service (% y/y)</t>
  </si>
  <si>
    <t>equipment (% y/y)</t>
  </si>
  <si>
    <t>2016 Guidance</t>
  </si>
  <si>
    <t>% Y/Y</t>
  </si>
  <si>
    <t>Other Services and Equipment</t>
  </si>
  <si>
    <t>1Q16</t>
  </si>
  <si>
    <t>ENTERTAINMENT GROUP</t>
  </si>
  <si>
    <t>2Q16</t>
  </si>
  <si>
    <t>net adds (phones only)</t>
  </si>
  <si>
    <t>"Growth in the mid-single digit range"</t>
  </si>
  <si>
    <t>3Q16</t>
  </si>
  <si>
    <t>2017 Guidance</t>
  </si>
  <si>
    <t>Excludes impact of Time Warner</t>
  </si>
  <si>
    <t>"Growth in the low-single digits"</t>
  </si>
  <si>
    <t>"Margin expansion"</t>
  </si>
  <si>
    <t>Adjusted Operating Income</t>
  </si>
  <si>
    <t>"In the $18 billion range"</t>
  </si>
  <si>
    <t>4Q16</t>
  </si>
  <si>
    <t>DirecTV Now - Subscribers</t>
  </si>
  <si>
    <t>DirecTV Now - ARPU</t>
  </si>
  <si>
    <t>1Q17</t>
  </si>
  <si>
    <t>Upgrade rate</t>
  </si>
  <si>
    <t>Phone Net Adds</t>
  </si>
  <si>
    <t>Current</t>
  </si>
  <si>
    <t>2020E</t>
  </si>
  <si>
    <t>2021E</t>
  </si>
  <si>
    <t>2022E</t>
  </si>
  <si>
    <t>2023E</t>
  </si>
  <si>
    <t>2024E</t>
  </si>
  <si>
    <t>2025E</t>
  </si>
  <si>
    <t>2Q17</t>
  </si>
  <si>
    <t>Net adds as % of prior year subs</t>
  </si>
  <si>
    <t>2016:  19.4%</t>
  </si>
  <si>
    <t>"low end of the [$18B] range"</t>
  </si>
  <si>
    <t>DirecTV Now video adds</t>
  </si>
  <si>
    <t>Traditional Video Net Adds</t>
  </si>
  <si>
    <t>Traditional Video Subscribers</t>
  </si>
  <si>
    <t>Video Net Adds (incl DTV Now)</t>
  </si>
  <si>
    <t>Net Adds as % of subs</t>
  </si>
  <si>
    <t>U.S VIDEO</t>
  </si>
  <si>
    <t>U.S BROADBAND</t>
  </si>
  <si>
    <t>U.S VOICE</t>
  </si>
  <si>
    <t>ENTERTAINMENT GROUP + INTERNATIONAL($MM)</t>
  </si>
  <si>
    <t>Entertainment &amp; Internet + International</t>
  </si>
  <si>
    <t>3Q17</t>
  </si>
  <si>
    <t>ENTERTAINMENT GROUP + INTERNATIONAL</t>
  </si>
  <si>
    <t>1Q18E</t>
  </si>
  <si>
    <t>2Q18E</t>
  </si>
  <si>
    <t>3Q18E</t>
  </si>
  <si>
    <t>4Q18E</t>
  </si>
  <si>
    <t>4Q17</t>
  </si>
  <si>
    <t>2018 Guidance</t>
  </si>
  <si>
    <t>"in the $3.50 range"</t>
  </si>
  <si>
    <t>T (1/31/2018)</t>
  </si>
  <si>
    <t>includes tax reform and ASC 606</t>
  </si>
  <si>
    <t>~$21B</t>
  </si>
  <si>
    <t xml:space="preserve">"approaching $25B" </t>
  </si>
  <si>
    <t>($23B net of FirstNet)</t>
  </si>
  <si>
    <t>ASC 606</t>
  </si>
  <si>
    <t>Service Revenue (legacy)</t>
  </si>
  <si>
    <t>Equipment Revenue (legacy)</t>
  </si>
  <si>
    <t>Impact to revenues</t>
  </si>
  <si>
    <t>Retail service % change</t>
  </si>
  <si>
    <t>Retail service revenues (new)</t>
  </si>
  <si>
    <t>Retail service rev change</t>
  </si>
  <si>
    <t>Equipment revenues (new)</t>
  </si>
  <si>
    <t>Equipment rev change</t>
  </si>
  <si>
    <t>Impact to expenses</t>
  </si>
  <si>
    <t>FirstNet</t>
  </si>
  <si>
    <t>% of total $2.25B</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</si>
  <si>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</si>
  <si>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</si>
  <si>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</si>
  <si>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</si>
  <si>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</si>
  <si>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</si>
  <si>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</si>
  <si>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</si>
  <si>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Simon Flannery, Lisa Lam</t>
  </si>
  <si>
    <t>Date: 04 Apr 2018</t>
  </si>
  <si>
    <t>Ticker: T.N</t>
  </si>
  <si>
    <t>Stock Rating: NAV</t>
  </si>
  <si>
    <t>Industry: Telecom Services</t>
  </si>
  <si>
    <t>Industry View: Cautious</t>
  </si>
  <si>
    <t>Price as of 04 Apr 2018: 35.88</t>
  </si>
  <si>
    <t xml:space="preserve">Target Price: </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</si>
  <si>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</si>
  <si>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</si>
  <si>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</si>
  <si>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</si>
  <si>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AT&amp;T,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</si>
  <si>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</si>
  <si>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</si>
  <si>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</si>
  <si>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</si>
  <si>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</si>
  <si>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</si>
  <si>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</si>
  <si>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</si>
  <si>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</si>
  <si>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</si>
  <si>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</si>
  <si>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</si>
  <si>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</si>
  <si>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</si>
  <si>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</si>
  <si>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</si>
  <si>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</si>
  <si>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</si>
  <si>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</si>
  <si>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</si>
  <si>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</si>
  <si>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</si>
  <si>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</si>
  <si>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</si>
  <si>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</si>
  <si>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</si>
  <si>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</si>
  <si>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</si>
  <si>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</si>
  <si>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</si>
  <si>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</si>
  <si>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</si>
  <si>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</si>
  <si>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</si>
  <si>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</si>
  <si>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</si>
  <si>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</si>
  <si>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</si>
  <si>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</si>
  <si>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</si>
  <si>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</si>
  <si>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</si>
  <si>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</si>
  <si>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</si>
  <si>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</si>
  <si>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</si>
  <si>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</si>
  <si>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</si>
  <si>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</si>
  <si>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</si>
  <si>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</si>
  <si>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</si>
  <si>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</si>
  <si>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</si>
  <si>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</si>
  <si>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</si>
  <si>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</si>
  <si>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</si>
  <si>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</si>
  <si>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</si>
  <si>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</si>
  <si>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</si>
  <si>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</si>
  <si>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</si>
  <si>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</si>
  <si>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</si>
  <si>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</si>
  <si>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</si>
  <si>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</si>
  <si>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</si>
  <si>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</si>
  <si>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</si>
  <si>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</si>
  <si>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</si>
  <si>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</si>
  <si>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</si>
  <si>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</si>
  <si>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</si>
  <si>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</si>
  <si>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</si>
  <si>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</si>
  <si>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</si>
  <si>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</si>
  <si>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</si>
  <si>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</si>
  <si>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</si>
  <si>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</si>
  <si>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</si>
  <si>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</si>
  <si>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</si>
  <si>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</si>
  <si>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</si>
  <si>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</si>
  <si>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</si>
  <si>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</si>
  <si>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</si>
  <si>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</si>
  <si>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</si>
  <si>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</si>
  <si>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</si>
  <si>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</si>
  <si>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</si>
  <si>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</si>
  <si>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</si>
  <si>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</si>
  <si>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</si>
  <si>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</si>
  <si>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</si>
  <si>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</si>
  <si>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</si>
  <si>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</si>
  <si>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</si>
  <si>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</si>
  <si>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</si>
  <si>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</si>
  <si>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</si>
  <si>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</si>
  <si>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</si>
  <si>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</si>
  <si>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</si>
  <si>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</si>
  <si>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</si>
  <si>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</si>
  <si>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</si>
  <si>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</si>
  <si>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</si>
  <si>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</si>
  <si>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</si>
  <si>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</si>
  <si>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</si>
  <si>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</si>
  <si>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</si>
  <si>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</si>
  <si>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</si>
  <si>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</si>
  <si>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</si>
  <si>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</si>
  <si>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</si>
  <si>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</si>
  <si>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</si>
  <si>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</si>
  <si>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</si>
  <si>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</si>
  <si>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</si>
  <si>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</si>
  <si>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</si>
  <si>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</si>
  <si>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</si>
  <si>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</si>
  <si>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</si>
  <si>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</si>
  <si>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</si>
  <si>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</si>
  <si>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</si>
  <si>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</si>
  <si>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</si>
  <si>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</si>
  <si>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</si>
  <si>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</si>
  <si>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</si>
  <si>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</si>
  <si>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</si>
  <si>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</si>
  <si>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</si>
  <si>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</si>
  <si>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</si>
  <si>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</si>
  <si>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</si>
  <si>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</si>
  <si>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</si>
  <si>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</si>
  <si>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</si>
  <si>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</si>
  <si>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</si>
  <si>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</si>
  <si>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</si>
  <si>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AT&amp;T,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</si>
  <si>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</si>
  <si>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</si>
  <si>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</si>
  <si>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</si>
  <si>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</si>
  <si>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</si>
  <si>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</si>
  <si>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</si>
  <si>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</si>
  <si>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</si>
  <si>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</si>
  <si>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</si>
  <si>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</si>
  <si>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</si>
  <si>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</si>
  <si>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</si>
  <si>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</si>
  <si>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</si>
  <si>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</si>
  <si>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</si>
  <si>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</si>
  <si>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</si>
  <si>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</si>
  <si>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</si>
  <si>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</si>
  <si>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</si>
  <si>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</si>
  <si>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</si>
  <si>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</si>
  <si>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</si>
  <si>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</si>
  <si>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</si>
  <si>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</si>
  <si>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</si>
  <si>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</si>
  <si>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</si>
  <si>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</si>
  <si>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</si>
  <si>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</si>
  <si>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</si>
  <si>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</si>
  <si>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</si>
  <si>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</si>
  <si>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</si>
  <si>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</si>
  <si>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</si>
  <si>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</si>
  <si>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</si>
  <si>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</si>
  <si>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</si>
  <si>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</si>
  <si>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</si>
  <si>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</si>
  <si>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</si>
  <si>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</si>
  <si>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</si>
  <si>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</si>
  <si>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</si>
  <si>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</si>
  <si>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</si>
  <si>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</si>
  <si>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</si>
  <si>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</si>
  <si>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</si>
  <si>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</si>
  <si>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</si>
  <si>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</si>
  <si>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</si>
  <si>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AT&amp;T, Inc..</t>
  </si>
  <si>
    <t>Within the last 12 months, Morgan Stanley has provided or is providing investment banking services to,</t>
  </si>
  <si>
    <t>or has an investment banking client relationship with, the following company: AT&amp;T, Inc..</t>
  </si>
  <si>
    <t>Within the last 12 months, Morgan Stanley has received compensation for products and services other than</t>
  </si>
  <si>
    <t>investment banking services from AT&amp;T, Inc..</t>
  </si>
  <si>
    <t>In the next 3 months, Morgan Stanley expects to receive or intends to seek compensation for investment</t>
  </si>
  <si>
    <t>banking services from AT&amp;T, Inc..</t>
  </si>
  <si>
    <t>Within the last 12 months, Morgan Stanley has received compensation for investment banking services from</t>
  </si>
  <si>
    <t>AT&amp;T, Inc..</t>
  </si>
  <si>
    <t>Within the last 12 months, Morgan Stanley managed or co-managed a public offering (or 144A offering) of</t>
  </si>
  <si>
    <t>securities of AT&amp;T, Inc..</t>
  </si>
  <si>
    <t>As of February 28, 2018, Morgan Stanley beneficially owned 1% or more of a class of common equity</t>
  </si>
  <si>
    <t>securities of the following companies covered in Morgan Stanley Research: AT&amp;T,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</si>
  <si>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</si>
  <si>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</si>
  <si>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</si>
  <si>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</si>
  <si>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</si>
  <si>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Simon Flannery.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</si>
  <si>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</si>
  <si>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</si>
  <si>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</si>
  <si>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</si>
  <si>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</si>
  <si>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</si>
  <si>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</si>
  <si>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</si>
  <si>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</si>
  <si>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</si>
  <si>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</si>
  <si>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</si>
  <si>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</si>
  <si>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</si>
  <si>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</si>
  <si>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</si>
  <si>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</si>
  <si>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</si>
  <si>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</si>
  <si>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</si>
  <si>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</si>
  <si>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</si>
  <si>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</si>
  <si>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</si>
  <si>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</si>
  <si>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</si>
  <si>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</si>
  <si>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</si>
  <si>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</si>
  <si>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</si>
  <si>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</si>
  <si>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</si>
  <si>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</si>
  <si>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</si>
  <si>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</si>
  <si>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</si>
  <si>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</si>
  <si>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</si>
  <si>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</si>
  <si>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</si>
  <si>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</si>
  <si>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</si>
  <si>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</si>
  <si>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</si>
  <si>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</si>
  <si>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</si>
  <si>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</si>
  <si>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</si>
  <si>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</si>
  <si>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</si>
  <si>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</si>
  <si>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</si>
  <si>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</si>
  <si>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</si>
  <si>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</si>
  <si>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</si>
  <si>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</si>
  <si>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</si>
  <si>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</si>
  <si>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</si>
  <si>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</si>
  <si>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</si>
  <si>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</si>
  <si>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</si>
  <si>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</si>
  <si>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</si>
  <si>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</si>
  <si>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</si>
  <si>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NAV / Cautious</t>
  </si>
  <si>
    <t>Regular Update</t>
  </si>
  <si>
    <t>NorthAmerica</t>
  </si>
  <si>
    <t>laml</t>
  </si>
  <si>
    <t>MSA10787, MSA79FGL</t>
  </si>
  <si>
    <t>00206R102</t>
  </si>
  <si>
    <t>L:\ER13\Large Cap Telco\AT&amp;T formerly SBC\Models\T - compliance.xlsm</t>
  </si>
  <si>
    <t>[BRO MSA]</t>
  </si>
  <si>
    <t>[PRODUCT MODEL]</t>
  </si>
  <si>
    <t>[EMAIL_ALERT YES]</t>
  </si>
  <si>
    <t>[DISCIPLINE Company]</t>
  </si>
  <si>
    <t>[SUPPRESSED NO]</t>
  </si>
  <si>
    <t>[DOCDAT 2018-04-04]</t>
  </si>
  <si>
    <t>[DOCTIME 18:10]</t>
  </si>
  <si>
    <t>[PSYM T.N(S&amp;P) (None)]</t>
  </si>
  <si>
    <t>[COU 1]</t>
  </si>
  <si>
    <t>[ANA MSA79FGL]</t>
  </si>
  <si>
    <t>[HL T.N Model]</t>
  </si>
  <si>
    <t>[IND UTITEL DIVTEC TELEPH]</t>
  </si>
  <si>
    <t>[PANA MSA10787]</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</si>
  <si>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</si>
  <si>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</si>
  <si>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</si>
  <si>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</si>
  <si>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</si>
  <si>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</si>
  <si>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</si>
  <si>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</si>
  <si>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</si>
  <si>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Q</t>
  </si>
  <si>
    <t>ImportantDisclosures</t>
  </si>
  <si>
    <t>SheetVisibilityStatus</t>
  </si>
  <si>
    <t>CircularReferenceAlert</t>
  </si>
  <si>
    <t>Cash Flow</t>
  </si>
  <si>
    <t>AT&amp;T Mobility</t>
  </si>
  <si>
    <t>E&amp;I + International</t>
  </si>
  <si>
    <t>Pension</t>
  </si>
  <si>
    <t>OPEB</t>
  </si>
  <si>
    <t>IndexInformation</t>
  </si>
  <si>
    <t>ModPubIndex</t>
  </si>
  <si>
    <t>Global links</t>
  </si>
  <si>
    <t>Morgan Stanley is acting as financial advisor to Time Warner Inc. (“Time Warner”) in relation to its definitive agreement to be acquired by AT&amp;T, Inc., as announced on October 22, 2016. The proposed transaction is subject to regulatory approvals, and other customary closing conditions. This report and the information provided herein is not intended to (i) serve as an endorsement of the proposed transaction, or (ii) result in the procurement, withholding or revocation of a proxy or any other action by a security holder. Time Warner has agreed to pay fees to Morgan Stanley for its financial services, including transaction fees that are contingent upon the consummation of the proposed transaction. Please refer to the notes at the end of this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</si>
</sst>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41">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 #,##0.00_-;\-* #,##0.00_-;_-* &quot;-&quot;??_-;_-@_-"/>
    <numFmt numFmtId="165" formatCode="0.00%_);[Red]\(0.00%\)"/>
    <numFmt numFmtId="166" formatCode="0.0%"/>
    <numFmt numFmtId="167" formatCode="0.0\x"/>
    <numFmt numFmtId="168" formatCode="_(* #,##0_);_(* \(#,##0\);_(* &quot;-&quot;??_);_(@_)"/>
    <numFmt numFmtId="169" formatCode="0.0"/>
    <numFmt numFmtId="170" formatCode="#,##0;\(#,##0\)"/>
    <numFmt numFmtId="171" formatCode="#,##0.0_);\(#,##0.0\)"/>
    <numFmt numFmtId="172" formatCode="0.0%_);[Red]\(0.0%\)"/>
    <numFmt numFmtId="173" formatCode="0.00%;[Red]\(0.00%\)"/>
    <numFmt numFmtId="174" formatCode="#,##0.0_);[Red]\(#,##0.0\)"/>
    <numFmt numFmtId="175" formatCode="_ * #,##0_ ;_ * \-#,##0_ ;_ * &quot;-&quot;_ ;_ @_ "/>
    <numFmt numFmtId="176" formatCode="&quot;£&quot;#,##0.00;\-&quot;£&quot;#,##0.00"/>
    <numFmt numFmtId="177" formatCode="_-* #,##0_-;\-* #,##0_-;_-* &quot;-&quot;_-;_-@_-"/>
    <numFmt numFmtId="178" formatCode="\£\ #,##0_);[Red]\(\£\ #,##0\)"/>
    <numFmt numFmtId="179" formatCode="\¥\ #,##0_);[Red]\(\¥\ #,##0\)"/>
    <numFmt numFmtId="180" formatCode="_(* #,##0.0_);_(* \(#,##0.0\);_(* &quot;--- &quot;_)"/>
    <numFmt numFmtId="181" formatCode="\•\ \ @"/>
    <numFmt numFmtId="182" formatCode="#,##0.0;[Red]\(#,##0.0\)"/>
    <numFmt numFmtId="183" formatCode="&quot;$&quot;#,##0.0;[Red]\(&quot;$&quot;#,##0.0\)"/>
    <numFmt numFmtId="184" formatCode="\ \ _•\–\ \ \ \ @"/>
    <numFmt numFmtId="185" formatCode="yyyy"/>
    <numFmt numFmtId="186" formatCode="mmm\-yyyy"/>
    <numFmt numFmtId="187" formatCode="#,##0.00\x_);[Red]\(#,##0.00\x\)"/>
    <numFmt numFmtId="188" formatCode="_(* #,##0.0_);_(* \(#,##0.0\);_(* &quot;-&quot;?_);_(@_)"/>
    <numFmt numFmtId="189" formatCode="#,##0.000_);[Red]\(#,##0.000\)"/>
    <numFmt numFmtId="190" formatCode="0.00000000000000000%"/>
    <numFmt numFmtId="191" formatCode="&quot;$&quot;#,##0.000_);[Red]\(&quot;$&quot;#,##0.000\)"/>
    <numFmt numFmtId="192" formatCode="0.00\ "/>
    <numFmt numFmtId="193" formatCode="0.0%_);\(0.0%\)"/>
    <numFmt numFmtId="194" formatCode="0&quot; bps&quot;_);\(0&quot; bps&quot;\)"/>
    <numFmt numFmtId="195" formatCode="0.00%_);\(0.00%\)"/>
    <numFmt numFmtId="196" formatCode="0.0%_);\(0.0%\);&quot;–&quot;_)"/>
    <numFmt numFmtId="197" formatCode="mm/dd/yy\ hh:mm"/>
  </numFmts>
  <fonts count="153">
    <font>
      <sz val="12"/>
      <name val="Arial"/>
    </font>
    <font>
      <sz val="10"/>
      <name val="Arial"/>
      <family val="2"/>
    </font>
    <font>
      <sz val="10"/>
      <name val="Arial"/>
      <family val="2"/>
    </font>
    <font>
      <sz val="12"/>
      <name val="Arial"/>
      <family val="2"/>
    </font>
    <font>
      <sz val="10"/>
      <name val="Arial"/>
      <family val="2"/>
    </font>
    <font>
      <sz val="9"/>
      <name val="Arial"/>
      <family val="2"/>
    </font>
    <font>
      <sz val="8"/>
      <name val="Times New Roman"/>
      <family val="1"/>
    </font>
    <font>
      <sz val="10"/>
      <color indexed="9"/>
      <name val="Arial"/>
      <family val="2"/>
    </font>
    <font>
      <b/>
      <sz val="8"/>
      <color indexed="8"/>
      <name val="Tahoma"/>
      <family val="2"/>
    </font>
    <font>
      <b/>
      <sz val="10"/>
      <name val="Arial"/>
      <family val="2"/>
    </font>
    <font>
      <i/>
      <sz val="10"/>
      <name val="Arial"/>
      <family val="2"/>
    </font>
    <font>
      <sz val="8"/>
      <name val="Arial"/>
      <family val="2"/>
    </font>
    <font>
      <b/>
      <sz val="8"/>
      <name val="Arial"/>
      <family val="2"/>
    </font>
    <font>
      <sz val="8"/>
      <color indexed="8"/>
      <name val="Tahoma"/>
      <family val="2"/>
    </font>
    <font>
      <sz val="8"/>
      <color indexed="9"/>
      <name val="Arial"/>
      <family val="2"/>
    </font>
    <font>
      <b/>
      <sz val="8"/>
      <color indexed="9"/>
      <name val="Arial"/>
      <family val="2"/>
    </font>
    <font>
      <sz val="8"/>
      <color indexed="12"/>
      <name val="Arial"/>
      <family val="2"/>
    </font>
    <font>
      <b/>
      <sz val="9"/>
      <name val="Arial"/>
      <family val="2"/>
    </font>
    <font>
      <b/>
      <sz val="12"/>
      <name val="Arial"/>
      <family val="2"/>
    </font>
    <font>
      <i/>
      <sz val="8"/>
      <name val="Arial"/>
      <family val="2"/>
    </font>
    <font>
      <b/>
      <i/>
      <sz val="8"/>
      <name val="Arial"/>
      <family val="2"/>
    </font>
    <font>
      <sz val="8"/>
      <color indexed="12"/>
      <name val="Arial"/>
      <family val="2"/>
    </font>
    <font>
      <b/>
      <sz val="8"/>
      <color indexed="18"/>
      <name val="Arial"/>
      <family val="2"/>
    </font>
    <font>
      <i/>
      <sz val="8"/>
      <color indexed="10"/>
      <name val="Arial"/>
      <family val="2"/>
    </font>
    <font>
      <b/>
      <sz val="9"/>
      <color indexed="9"/>
      <name val="Arial"/>
      <family val="2"/>
    </font>
    <font>
      <b/>
      <sz val="8"/>
      <color indexed="56"/>
      <name val="Arial"/>
      <family val="2"/>
    </font>
    <font>
      <sz val="8"/>
      <name val="Verdana"/>
      <family val="2"/>
    </font>
    <font>
      <b/>
      <i/>
      <sz val="9"/>
      <name val="Arial"/>
      <family val="2"/>
    </font>
    <font>
      <b/>
      <sz val="9"/>
      <color indexed="18"/>
      <name val="Arial"/>
      <family val="2"/>
    </font>
    <font>
      <b/>
      <sz val="8"/>
      <color indexed="9"/>
      <name val="Verdana"/>
      <family val="2"/>
    </font>
    <font>
      <sz val="8"/>
      <name val="Arial"/>
      <family val="2"/>
    </font>
    <font>
      <sz val="8"/>
      <color indexed="56"/>
      <name val="Arial"/>
      <family val="2"/>
    </font>
    <font>
      <sz val="8"/>
      <color indexed="56"/>
      <name val="Verdana"/>
      <family val="2"/>
    </font>
    <font>
      <b/>
      <i/>
      <sz val="9"/>
      <color indexed="56"/>
      <name val="Arial"/>
      <family val="2"/>
    </font>
    <font>
      <b/>
      <i/>
      <sz val="8"/>
      <color indexed="56"/>
      <name val="Arial"/>
      <family val="2"/>
    </font>
    <font>
      <b/>
      <sz val="8"/>
      <name val="Verdana"/>
      <family val="2"/>
    </font>
    <font>
      <sz val="8"/>
      <color indexed="9"/>
      <name val="Verdana"/>
      <family val="2"/>
    </font>
    <font>
      <sz val="9"/>
      <color indexed="10"/>
      <name val="Arial"/>
      <family val="2"/>
    </font>
    <font>
      <i/>
      <sz val="8"/>
      <color indexed="10"/>
      <name val="Verdana"/>
      <family val="2"/>
    </font>
    <font>
      <sz val="10"/>
      <name val="Verdana"/>
      <family val="2"/>
    </font>
    <font>
      <b/>
      <vertAlign val="superscript"/>
      <sz val="9"/>
      <color indexed="56"/>
      <name val="Verdana"/>
      <family val="2"/>
    </font>
    <font>
      <u/>
      <sz val="8"/>
      <color indexed="8"/>
      <name val="Tahoma"/>
      <family val="2"/>
    </font>
    <font>
      <sz val="10"/>
      <color indexed="10"/>
      <name val="Arial"/>
      <family val="2"/>
    </font>
    <font>
      <sz val="10"/>
      <name val="Times New Roman"/>
      <family val="1"/>
    </font>
    <font>
      <sz val="10"/>
      <color indexed="12"/>
      <name val="Times New Roman"/>
      <family val="1"/>
    </font>
    <font>
      <sz val="10"/>
      <color indexed="18"/>
      <name val="Times New Roman"/>
      <family val="1"/>
    </font>
    <font>
      <b/>
      <sz val="10"/>
      <color indexed="16"/>
      <name val="Times New Roman"/>
      <family val="1"/>
    </font>
    <font>
      <sz val="11"/>
      <name val="Arial"/>
      <family val="2"/>
    </font>
    <font>
      <b/>
      <sz val="8"/>
      <color indexed="81"/>
      <name val="Tahoma"/>
      <family val="2"/>
    </font>
    <font>
      <sz val="8"/>
      <color indexed="81"/>
      <name val="Tahoma"/>
      <family val="2"/>
    </font>
    <font>
      <sz val="10"/>
      <color indexed="8"/>
      <name val="MS Sans Serif"/>
      <family val="2"/>
    </font>
    <font>
      <sz val="10"/>
      <name val="MS Sans Serif"/>
      <family val="2"/>
    </font>
    <font>
      <sz val="11"/>
      <color indexed="8"/>
      <name val="Calibri"/>
      <family val="2"/>
    </font>
    <font>
      <sz val="11"/>
      <color indexed="9"/>
      <name val="Calibri"/>
      <family val="2"/>
    </font>
    <font>
      <sz val="11"/>
      <color indexed="20"/>
      <name val="Calibri"/>
      <family val="2"/>
    </font>
    <font>
      <b/>
      <sz val="10"/>
      <color indexed="8"/>
      <name val="Times New Roman"/>
      <family val="1"/>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9"/>
      <name val="Times New Roman"/>
      <family val="1"/>
    </font>
    <font>
      <b/>
      <sz val="8"/>
      <color indexed="18"/>
      <name val="Times New Roman"/>
      <family val="1"/>
    </font>
    <font>
      <sz val="10"/>
      <color indexed="8"/>
      <name val="Times New Roman"/>
      <family val="1"/>
    </font>
    <font>
      <i/>
      <sz val="8"/>
      <name val="Times New Roman"/>
      <family val="1"/>
    </font>
    <font>
      <b/>
      <sz val="18"/>
      <color indexed="62"/>
      <name val="Cambria"/>
      <family val="2"/>
    </font>
    <font>
      <b/>
      <sz val="11"/>
      <color indexed="8"/>
      <name val="Calibri"/>
      <family val="2"/>
    </font>
    <font>
      <sz val="11"/>
      <color indexed="10"/>
      <name val="Calibri"/>
      <family val="2"/>
    </font>
    <font>
      <sz val="12"/>
      <name val="바탕체"/>
      <family val="1"/>
      <charset val="129"/>
    </font>
    <font>
      <sz val="12"/>
      <name val="Arial"/>
      <family val="2"/>
    </font>
    <font>
      <sz val="9"/>
      <color indexed="81"/>
      <name val="Tahoma"/>
      <family val="2"/>
    </font>
    <font>
      <b/>
      <sz val="9"/>
      <color indexed="81"/>
      <name val="Tahoma"/>
      <family val="2"/>
    </font>
    <font>
      <sz val="11"/>
      <color indexed="8"/>
      <name val="Calibri"/>
      <family val="2"/>
    </font>
    <font>
      <b/>
      <sz val="11"/>
      <color indexed="8"/>
      <name val="Calibri"/>
      <family val="2"/>
    </font>
    <font>
      <sz val="11"/>
      <color indexed="30"/>
      <name val="Calibri"/>
      <family val="2"/>
    </font>
    <font>
      <i/>
      <sz val="11"/>
      <color indexed="8"/>
      <name val="Calibri"/>
      <family val="2"/>
    </font>
    <font>
      <b/>
      <sz val="11"/>
      <color indexed="30"/>
      <name val="Calibri"/>
      <family val="2"/>
    </font>
    <font>
      <sz val="11"/>
      <color indexed="10"/>
      <name val="Calibri"/>
      <family val="2"/>
    </font>
    <font>
      <sz val="11"/>
      <name val="Calibri"/>
      <family val="2"/>
    </font>
    <font>
      <b/>
      <sz val="11"/>
      <name val="Calibri"/>
      <family val="2"/>
    </font>
    <font>
      <i/>
      <sz val="11"/>
      <color indexed="30"/>
      <name val="Calibri"/>
      <family val="2"/>
    </font>
    <font>
      <i/>
      <sz val="11"/>
      <name val="Calibri"/>
      <family val="2"/>
    </font>
    <font>
      <b/>
      <sz val="11"/>
      <color indexed="47"/>
      <name val="Calibri"/>
      <family val="2"/>
    </font>
    <font>
      <i/>
      <sz val="11"/>
      <color indexed="10"/>
      <name val="Calibri"/>
      <family val="2"/>
    </font>
    <font>
      <b/>
      <i/>
      <sz val="11"/>
      <color indexed="30"/>
      <name val="Calibri"/>
      <family val="2"/>
    </font>
    <font>
      <sz val="11"/>
      <color indexed="55"/>
      <name val="Calibri"/>
      <family val="2"/>
    </font>
    <font>
      <b/>
      <i/>
      <sz val="11"/>
      <color indexed="8"/>
      <name val="Calibri"/>
      <family val="2"/>
    </font>
    <font>
      <sz val="8"/>
      <color indexed="17"/>
      <name val="Times New Roman"/>
      <family val="1"/>
    </font>
    <font>
      <sz val="8"/>
      <color indexed="18"/>
      <name val="Times New Roman"/>
      <family val="1"/>
    </font>
    <font>
      <u/>
      <sz val="8.4"/>
      <color indexed="12"/>
      <name val="Arial"/>
      <family val="2"/>
    </font>
    <font>
      <sz val="12"/>
      <name val="MS ??"/>
      <family val="1"/>
      <charset val="128"/>
    </font>
    <font>
      <sz val="12"/>
      <name val="Times New Roman"/>
      <family val="1"/>
    </font>
    <font>
      <sz val="11"/>
      <name val="‚l‚r ƒSƒVƒbƒN"/>
      <charset val="128"/>
    </font>
    <font>
      <sz val="12"/>
      <name val="Arial MT"/>
    </font>
    <font>
      <sz val="9"/>
      <color indexed="12"/>
      <name val="Times New Roman"/>
      <family val="1"/>
    </font>
    <font>
      <sz val="8"/>
      <color indexed="13"/>
      <name val="Arial"/>
      <family val="2"/>
    </font>
    <font>
      <sz val="8"/>
      <color indexed="12"/>
      <name val="Tms Rmn"/>
    </font>
    <font>
      <b/>
      <sz val="12"/>
      <name val="Times New Roman"/>
      <family val="1"/>
    </font>
    <font>
      <b/>
      <sz val="8"/>
      <name val="Times New Roman"/>
      <family val="1"/>
    </font>
    <font>
      <sz val="8"/>
      <name val="Tms Rmn"/>
    </font>
    <font>
      <i/>
      <sz val="9"/>
      <name val="MS Sans Serif"/>
      <family val="2"/>
    </font>
    <font>
      <b/>
      <sz val="11"/>
      <name val="Times New Roman"/>
      <family val="1"/>
    </font>
    <font>
      <sz val="10"/>
      <color indexed="8"/>
      <name val="Arial"/>
      <family val="2"/>
    </font>
    <font>
      <sz val="14"/>
      <color indexed="32"/>
      <name val="Times New Roman"/>
      <family val="1"/>
    </font>
    <font>
      <b/>
      <sz val="10"/>
      <color indexed="17"/>
      <name val="Helvetica"/>
      <family val="2"/>
    </font>
    <font>
      <sz val="9"/>
      <name val="Futura UBS Bk"/>
      <family val="2"/>
    </font>
    <font>
      <sz val="7"/>
      <name val="Small Fonts"/>
      <family val="3"/>
      <charset val="128"/>
    </font>
    <font>
      <b/>
      <sz val="12"/>
      <name val="Tms Rmn"/>
    </font>
    <font>
      <b/>
      <sz val="13.5"/>
      <name val="MS Sans Serif"/>
      <family val="2"/>
    </font>
    <font>
      <sz val="8"/>
      <color indexed="32"/>
      <name val="Arial"/>
      <family val="2"/>
    </font>
    <font>
      <sz val="8"/>
      <color indexed="12"/>
      <name val="Helvetica"/>
      <family val="2"/>
    </font>
    <font>
      <sz val="7"/>
      <name val="Times New Roman"/>
      <family val="1"/>
    </font>
    <font>
      <sz val="7"/>
      <color indexed="17"/>
      <name val="Times New Roman"/>
      <family val="1"/>
    </font>
    <font>
      <sz val="8"/>
      <color indexed="16"/>
      <name val="Helv"/>
    </font>
    <font>
      <b/>
      <sz val="12"/>
      <color indexed="9"/>
      <name val="Arial"/>
      <family val="2"/>
    </font>
    <font>
      <sz val="12"/>
      <color indexed="17"/>
      <name val="Arial"/>
      <family val="2"/>
    </font>
    <font>
      <sz val="12"/>
      <color indexed="30"/>
      <name val="Arial"/>
      <family val="2"/>
    </font>
    <font>
      <sz val="10"/>
      <color indexed="81"/>
      <name val="Tahoma"/>
      <family val="2"/>
    </font>
    <font>
      <sz val="11"/>
      <color indexed="17"/>
      <name val="Calibri"/>
      <family val="2"/>
    </font>
    <font>
      <sz val="11"/>
      <color indexed="17"/>
      <name val="Calibri"/>
      <family val="2"/>
    </font>
    <font>
      <sz val="11"/>
      <color theme="1"/>
      <name val="Calibri"/>
      <family val="2"/>
      <scheme val="minor"/>
    </font>
    <font>
      <b/>
      <sz val="16"/>
      <name val="Arial"/>
      <family val="2"/>
    </font>
    <font>
      <sz val="12"/>
      <color rgb="FF0070C0"/>
      <name val="Arial"/>
      <family val="2"/>
    </font>
    <font>
      <b/>
      <sz val="11"/>
      <color rgb="FF00B050"/>
      <name val="Calibri"/>
      <family val="2"/>
    </font>
    <font>
      <sz val="11"/>
      <color rgb="FF0070C0"/>
      <name val="Calibri"/>
      <family val="2"/>
      <scheme val="minor"/>
    </font>
    <font>
      <sz val="11"/>
      <color rgb="FF00B050"/>
      <name val="Calibri"/>
      <family val="2"/>
    </font>
    <font>
      <sz val="11"/>
      <color rgb="FF00B050"/>
      <name val="Calibri"/>
      <family val="2"/>
      <scheme val="minor"/>
    </font>
    <font>
      <u/>
      <sz val="10"/>
      <color indexed="81"/>
      <name val="Tahoma"/>
      <family val="2"/>
    </font>
    <font>
      <sz val="11"/>
      <name val="Calibri"/>
      <family val="2"/>
      <scheme val="minor"/>
    </font>
    <font>
      <sz val="11"/>
      <color rgb="FF0070C0"/>
      <name val="Calibri"/>
      <family val="2"/>
    </font>
    <font>
      <i/>
      <sz val="11"/>
      <color rgb="FFFF0000"/>
      <name val="Calibri"/>
      <family val="2"/>
    </font>
    <font>
      <u/>
      <sz val="11"/>
      <color theme="1"/>
      <name val="Calibri"/>
      <family val="2"/>
      <scheme val="minor"/>
    </font>
    <font>
      <i/>
      <sz val="11"/>
      <color rgb="FF00B050"/>
      <name val="Calibri"/>
      <family val="2"/>
    </font>
    <font>
      <b/>
      <i/>
      <sz val="11"/>
      <color rgb="FF00B050"/>
      <name val="Calibri"/>
      <family val="2"/>
    </font>
    <font>
      <b/>
      <sz val="11"/>
      <color rgb="FFFF0000"/>
      <name val="Calibri"/>
      <family val="2"/>
    </font>
    <font>
      <sz val="8"/>
      <color rgb="FFFF0000"/>
      <name val="Arial"/>
      <family val="2"/>
    </font>
    <font>
      <sz val="11"/>
      <color rgb="FFFF0000"/>
      <name val="Calibri"/>
      <family val="2"/>
      <scheme val="minor"/>
    </font>
    <font>
      <b/>
      <sz val="11"/>
      <color theme="1"/>
      <name val="Calibri"/>
      <family val="2"/>
      <scheme val="minor"/>
    </font>
    <font>
      <sz val="11"/>
      <color rgb="FFFF0000"/>
      <name val="Calibri"/>
      <family val="2"/>
    </font>
    <font>
      <b/>
      <sz val="11"/>
      <color rgb="FF137CB1"/>
      <name val="Calibri"/>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color rgb="FF000000"/>
      <name val="Arial"/>
      <family val="2"/>
    </font>
  </fonts>
  <fills count="30">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32"/>
        <bgColor indexed="64"/>
      </patternFill>
    </fill>
    <fill>
      <patternFill patternType="solid">
        <fgColor indexed="9"/>
      </patternFill>
    </fill>
    <fill>
      <patternFill patternType="solid">
        <fgColor indexed="55"/>
      </patternFill>
    </fill>
    <fill>
      <patternFill patternType="solid">
        <fgColor indexed="35"/>
        <bgColor indexed="64"/>
      </patternFill>
    </fill>
    <fill>
      <patternFill patternType="solid">
        <fgColor indexed="42"/>
      </patternFill>
    </fill>
    <fill>
      <patternFill patternType="solid">
        <fgColor indexed="22"/>
        <bgColor indexed="64"/>
      </patternFill>
    </fill>
    <fill>
      <patternFill patternType="solid">
        <fgColor indexed="42"/>
        <bgColor indexed="64"/>
      </patternFill>
    </fill>
    <fill>
      <patternFill patternType="solid">
        <fgColor indexed="26"/>
        <bgColor indexed="64"/>
      </patternFill>
    </fill>
    <fill>
      <patternFill patternType="solid">
        <fgColor indexed="43"/>
        <bgColor indexed="64"/>
      </patternFill>
    </fill>
    <fill>
      <patternFill patternType="solid">
        <fgColor indexed="9"/>
        <bgColor indexed="64"/>
      </patternFill>
    </fill>
    <fill>
      <patternFill patternType="solid">
        <fgColor indexed="56"/>
        <bgColor indexed="64"/>
      </patternFill>
    </fill>
    <fill>
      <patternFill patternType="solid">
        <fgColor indexed="47"/>
        <bgColor indexed="64"/>
      </patternFill>
    </fill>
    <fill>
      <patternFill patternType="solid">
        <fgColor indexed="44"/>
        <bgColor indexed="64"/>
      </patternFill>
    </fill>
    <fill>
      <patternFill patternType="solid">
        <fgColor indexed="30"/>
        <bgColor indexed="64"/>
      </patternFill>
    </fill>
    <fill>
      <patternFill patternType="solid">
        <fgColor theme="0" tint="-9.9978637043366805E-2"/>
        <bgColor indexed="64"/>
      </patternFill>
    </fill>
    <fill>
      <patternFill patternType="solid">
        <fgColor rgb="FF137CB1"/>
        <bgColor indexed="64"/>
      </patternFill>
    </fill>
    <fill>
      <patternFill patternType="solid">
        <fgColor theme="9" tint="0.59999389629810485"/>
        <bgColor indexed="64"/>
      </patternFill>
    </fill>
    <fill>
      <patternFill patternType="solid">
        <fgColor indexed="65"/>
        <bgColor indexed="64"/>
      </patternFill>
    </fill>
  </fills>
  <borders count="54">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indexed="18"/>
      </bottom>
      <diagonal/>
    </border>
    <border>
      <left/>
      <right/>
      <top style="medium">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indexed="64"/>
      </top>
      <bottom/>
      <diagonal/>
    </border>
    <border>
      <left/>
      <right/>
      <top/>
      <bottom style="thin">
        <color indexed="8"/>
      </bottom>
      <diagonal/>
    </border>
    <border>
      <left/>
      <right/>
      <top style="thin">
        <color indexed="49"/>
      </top>
      <bottom style="double">
        <color indexed="49"/>
      </bottom>
      <diagonal/>
    </border>
    <border>
      <left/>
      <right/>
      <top style="thin">
        <color indexed="64"/>
      </top>
      <bottom style="medium">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44"/>
      </right>
      <top/>
      <bottom/>
      <diagonal/>
    </border>
    <border>
      <left/>
      <right/>
      <top/>
      <bottom style="thin">
        <color indexed="55"/>
      </bottom>
      <diagonal/>
    </border>
    <border>
      <left/>
      <right/>
      <top style="thin">
        <color indexed="22"/>
      </top>
      <bottom/>
      <diagonal/>
    </border>
    <border>
      <left/>
      <right/>
      <top style="thin">
        <color indexed="22"/>
      </top>
      <bottom style="thin">
        <color indexed="22"/>
      </bottom>
      <diagonal/>
    </border>
    <border>
      <left/>
      <right/>
      <top/>
      <bottom style="thin">
        <color indexed="22"/>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22"/>
      </top>
      <bottom/>
      <diagonal/>
    </border>
    <border>
      <left/>
      <right style="thin">
        <color indexed="64"/>
      </right>
      <top style="thin">
        <color indexed="22"/>
      </top>
      <bottom/>
      <diagonal/>
    </border>
    <border>
      <left style="thin">
        <color indexed="64"/>
      </left>
      <right style="thin">
        <color indexed="64"/>
      </right>
      <top style="thin">
        <color indexed="64"/>
      </top>
      <bottom/>
      <diagonal/>
    </border>
    <border>
      <left/>
      <right/>
      <top style="thin">
        <color theme="0" tint="-9.9948118533890809E-2"/>
      </top>
      <bottom/>
      <diagonal/>
    </border>
    <border>
      <left style="thin">
        <color indexed="64"/>
      </left>
      <right style="thin">
        <color indexed="64"/>
      </right>
      <top style="thin">
        <color theme="0" tint="-9.9948118533890809E-2"/>
      </top>
      <bottom/>
      <diagonal/>
    </border>
    <border>
      <left/>
      <right style="thin">
        <color indexed="64"/>
      </right>
      <top style="thin">
        <color theme="0" tint="-9.9948118533890809E-2"/>
      </top>
      <bottom/>
      <diagonal/>
    </border>
    <border>
      <left style="thin">
        <color indexed="64"/>
      </left>
      <right/>
      <top style="thin">
        <color theme="0" tint="-9.9948118533890809E-2"/>
      </top>
      <bottom/>
      <diagonal/>
    </border>
    <border>
      <left/>
      <right style="thin">
        <color indexed="64"/>
      </right>
      <top style="thin">
        <color indexed="22"/>
      </top>
      <bottom style="thin">
        <color indexed="22"/>
      </bottom>
      <diagonal/>
    </border>
    <border>
      <left/>
      <right style="thin">
        <color indexed="64"/>
      </right>
      <top style="thin">
        <color theme="0" tint="-9.9917600024414813E-2"/>
      </top>
      <bottom style="thin">
        <color theme="0" tint="-9.9948118533890809E-2"/>
      </bottom>
      <diagonal/>
    </border>
    <border>
      <left style="thin">
        <color indexed="64"/>
      </left>
      <right style="thin">
        <color indexed="64"/>
      </right>
      <top style="thin">
        <color indexed="22"/>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232">
    <xf numFmtId="0" fontId="0" fillId="0" borderId="0"/>
    <xf numFmtId="9" fontId="16" fillId="0" borderId="0">
      <alignment horizontal="right"/>
    </xf>
    <xf numFmtId="0" fontId="1" fillId="0" borderId="0"/>
    <xf numFmtId="0" fontId="1" fillId="0" borderId="0"/>
    <xf numFmtId="165" fontId="93" fillId="0" borderId="0"/>
    <xf numFmtId="173" fontId="94" fillId="0" borderId="0"/>
    <xf numFmtId="172" fontId="6" fillId="0" borderId="0"/>
    <xf numFmtId="176" fontId="1" fillId="0" borderId="0" applyFont="0" applyFill="0" applyBorder="0" applyAlignment="0" applyProtection="0"/>
    <xf numFmtId="177" fontId="2" fillId="0" borderId="0" applyFont="0" applyFill="0" applyBorder="0" applyAlignment="0" applyProtection="0"/>
    <xf numFmtId="0" fontId="95" fillId="0" borderId="0" applyNumberFormat="0" applyFill="0" applyBorder="0" applyAlignment="0" applyProtection="0">
      <alignment vertical="top"/>
      <protection locked="0"/>
    </xf>
    <xf numFmtId="0" fontId="96" fillId="0" borderId="0"/>
    <xf numFmtId="0" fontId="4" fillId="0" borderId="0" applyFill="0" applyAlignment="0">
      <protection locked="0"/>
    </xf>
    <xf numFmtId="0" fontId="4" fillId="0" borderId="0" applyNumberFormat="0" applyFill="0" applyBorder="0" applyAlignment="0" applyProtection="0"/>
    <xf numFmtId="0" fontId="4" fillId="0" borderId="0" applyNumberFormat="0" applyFill="0" applyBorder="0" applyAlignment="0" applyProtection="0"/>
    <xf numFmtId="0" fontId="2" fillId="0" borderId="0" applyFill="0" applyAlignment="0">
      <protection locked="0"/>
    </xf>
    <xf numFmtId="0" fontId="4" fillId="0" borderId="0" applyNumberFormat="0" applyFill="0" applyBorder="0" applyAlignment="0" applyProtection="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4" fillId="0" borderId="0" applyFill="0" applyAlignment="0">
      <protection locked="0"/>
    </xf>
    <xf numFmtId="178" fontId="97" fillId="0" borderId="0" applyFont="0" applyFill="0" applyBorder="0" applyAlignment="0" applyProtection="0"/>
    <xf numFmtId="179" fontId="97" fillId="0" borderId="0" applyFont="0" applyFill="0" applyBorder="0" applyAlignment="0" applyProtection="0"/>
    <xf numFmtId="0" fontId="1" fillId="0" borderId="0"/>
    <xf numFmtId="0" fontId="98" fillId="0" borderId="0"/>
    <xf numFmtId="0" fontId="43" fillId="0" borderId="0"/>
    <xf numFmtId="0" fontId="51" fillId="0" borderId="0"/>
    <xf numFmtId="9" fontId="1" fillId="0" borderId="0"/>
    <xf numFmtId="0" fontId="51" fillId="0" borderId="0"/>
    <xf numFmtId="0" fontId="51" fillId="0" borderId="0"/>
    <xf numFmtId="2" fontId="51" fillId="0" borderId="0"/>
    <xf numFmtId="1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171" fontId="1" fillId="0" borderId="0"/>
    <xf numFmtId="0" fontId="52" fillId="2"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2" borderId="0" applyNumberFormat="0" applyBorder="0" applyAlignment="0" applyProtection="0"/>
    <xf numFmtId="0" fontId="52" fillId="5" borderId="0" applyNumberFormat="0" applyBorder="0" applyAlignment="0" applyProtection="0"/>
    <xf numFmtId="0" fontId="52" fillId="4" borderId="0" applyNumberFormat="0" applyBorder="0" applyAlignment="0" applyProtection="0"/>
    <xf numFmtId="0" fontId="52" fillId="6" borderId="0" applyNumberFormat="0" applyBorder="0" applyAlignment="0" applyProtection="0"/>
    <xf numFmtId="0" fontId="52" fillId="3" borderId="0" applyNumberFormat="0" applyBorder="0" applyAlignment="0" applyProtection="0"/>
    <xf numFmtId="0" fontId="52" fillId="4" borderId="0" applyNumberFormat="0" applyBorder="0" applyAlignment="0" applyProtection="0"/>
    <xf numFmtId="0" fontId="52" fillId="6" borderId="0" applyNumberFormat="0" applyBorder="0" applyAlignment="0" applyProtection="0"/>
    <xf numFmtId="0" fontId="52" fillId="7" borderId="0" applyNumberFormat="0" applyBorder="0" applyAlignment="0" applyProtection="0"/>
    <xf numFmtId="0" fontId="52" fillId="4" borderId="0" applyNumberFormat="0" applyBorder="0" applyAlignment="0" applyProtection="0"/>
    <xf numFmtId="0" fontId="53" fillId="8" borderId="0" applyNumberFormat="0" applyBorder="0" applyAlignment="0" applyProtection="0"/>
    <xf numFmtId="0" fontId="53" fillId="3" borderId="0" applyNumberFormat="0" applyBorder="0" applyAlignment="0" applyProtection="0"/>
    <xf numFmtId="0" fontId="53" fillId="9" borderId="0" applyNumberFormat="0" applyBorder="0" applyAlignment="0" applyProtection="0"/>
    <xf numFmtId="0" fontId="53" fillId="6" borderId="0" applyNumberFormat="0" applyBorder="0" applyAlignment="0" applyProtection="0"/>
    <xf numFmtId="0" fontId="53" fillId="8" borderId="0" applyNumberFormat="0" applyBorder="0" applyAlignment="0" applyProtection="0"/>
    <xf numFmtId="0" fontId="53" fillId="4" borderId="0" applyNumberFormat="0" applyBorder="0" applyAlignment="0" applyProtection="0"/>
    <xf numFmtId="37" fontId="99" fillId="0" borderId="0">
      <alignment horizontal="center"/>
    </xf>
    <xf numFmtId="0" fontId="53" fillId="8" borderId="0" applyNumberFormat="0" applyBorder="0" applyAlignment="0" applyProtection="0"/>
    <xf numFmtId="0" fontId="53" fillId="3" borderId="0" applyNumberFormat="0" applyBorder="0" applyAlignment="0" applyProtection="0"/>
    <xf numFmtId="0" fontId="53" fillId="9" borderId="0" applyNumberFormat="0" applyBorder="0" applyAlignment="0" applyProtection="0"/>
    <xf numFmtId="0" fontId="53" fillId="10" borderId="0" applyNumberFormat="0" applyBorder="0" applyAlignment="0" applyProtection="0"/>
    <xf numFmtId="0" fontId="53" fillId="8" borderId="0" applyNumberFormat="0" applyBorder="0" applyAlignment="0" applyProtection="0"/>
    <xf numFmtId="0" fontId="53" fillId="3" borderId="0" applyNumberFormat="0" applyBorder="0" applyAlignment="0" applyProtection="0"/>
    <xf numFmtId="180" fontId="100" fillId="0" borderId="0" applyFont="0" applyFill="0" applyBorder="0" applyAlignment="0" applyProtection="0"/>
    <xf numFmtId="0" fontId="54" fillId="11" borderId="0" applyNumberFormat="0" applyBorder="0" applyAlignment="0" applyProtection="0"/>
    <xf numFmtId="165" fontId="94" fillId="0" borderId="0"/>
    <xf numFmtId="174" fontId="6" fillId="0" borderId="0" applyFont="0" applyFill="0" applyBorder="0" applyAlignment="0" applyProtection="0"/>
    <xf numFmtId="1" fontId="101" fillId="12" borderId="1" applyNumberFormat="0" applyBorder="0" applyAlignment="0">
      <alignment horizontal="center" vertical="top" wrapText="1"/>
      <protection hidden="1"/>
    </xf>
    <xf numFmtId="0" fontId="102" fillId="0" borderId="0" applyNumberFormat="0" applyFill="0" applyBorder="0" applyAlignment="0" applyProtection="0"/>
    <xf numFmtId="0" fontId="103" fillId="0" borderId="2" applyNumberFormat="0" applyFill="0" applyAlignment="0" applyProtection="0"/>
    <xf numFmtId="181" fontId="97" fillId="0" borderId="0" applyFont="0" applyFill="0" applyBorder="0" applyAlignment="0" applyProtection="0"/>
    <xf numFmtId="0" fontId="55" fillId="0" borderId="0"/>
    <xf numFmtId="0" fontId="55" fillId="0" borderId="0"/>
    <xf numFmtId="0" fontId="55" fillId="0" borderId="0"/>
    <xf numFmtId="0" fontId="55" fillId="0" borderId="0"/>
    <xf numFmtId="0" fontId="11" fillId="0" borderId="0"/>
    <xf numFmtId="0" fontId="56" fillId="13" borderId="3" applyNumberFormat="0" applyAlignment="0" applyProtection="0"/>
    <xf numFmtId="174" fontId="104" fillId="0" borderId="0" applyFont="0" applyFill="0" applyBorder="0" applyAlignment="0" applyProtection="0"/>
    <xf numFmtId="0" fontId="105" fillId="0" borderId="0">
      <alignment horizontal="right"/>
    </xf>
    <xf numFmtId="1" fontId="45" fillId="0" borderId="0"/>
    <xf numFmtId="0" fontId="57" fillId="14" borderId="4" applyNumberFormat="0" applyAlignment="0" applyProtection="0"/>
    <xf numFmtId="169" fontId="12" fillId="0" borderId="0" applyBorder="0">
      <alignment horizontal="right"/>
    </xf>
    <xf numFmtId="169" fontId="12" fillId="0" borderId="5" applyAlignment="0">
      <alignment horizontal="right"/>
    </xf>
    <xf numFmtId="43" fontId="75"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82" fontId="6" fillId="0" borderId="0"/>
    <xf numFmtId="38" fontId="67" fillId="0" borderId="0"/>
    <xf numFmtId="43" fontId="75"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164" fontId="75" fillId="0" borderId="0" applyFont="0" applyFill="0" applyBorder="0" applyAlignment="0" applyProtection="0"/>
    <xf numFmtId="0" fontId="106" fillId="0" borderId="0"/>
    <xf numFmtId="0" fontId="107" fillId="0" borderId="0" applyFill="0" applyBorder="0">
      <alignment horizontal="left"/>
    </xf>
    <xf numFmtId="183" fontId="6" fillId="0" borderId="0"/>
    <xf numFmtId="183" fontId="6" fillId="0" borderId="0"/>
    <xf numFmtId="44" fontId="2" fillId="0" borderId="0" applyFont="0" applyFill="0" applyBorder="0" applyAlignment="0" applyProtection="0"/>
    <xf numFmtId="44" fontId="1" fillId="0" borderId="0" applyFont="0" applyFill="0" applyBorder="0" applyAlignment="0" applyProtection="0"/>
    <xf numFmtId="0" fontId="2" fillId="0" borderId="0"/>
    <xf numFmtId="184" fontId="97" fillId="0" borderId="0" applyFont="0" applyFill="0" applyBorder="0" applyAlignment="0" applyProtection="0"/>
    <xf numFmtId="14" fontId="9" fillId="0" borderId="6" applyFont="0">
      <alignment horizontal="right"/>
    </xf>
    <xf numFmtId="0" fontId="43" fillId="0" borderId="0"/>
    <xf numFmtId="14" fontId="104" fillId="0" borderId="0" applyFont="0" applyFill="0" applyBorder="0" applyAlignment="0" applyProtection="0">
      <alignment horizontal="center"/>
    </xf>
    <xf numFmtId="185" fontId="104" fillId="0" borderId="0" applyFont="0" applyFill="0" applyBorder="0" applyAlignment="0" applyProtection="0">
      <alignment horizontal="center"/>
    </xf>
    <xf numFmtId="0" fontId="6" fillId="0" borderId="0"/>
    <xf numFmtId="8" fontId="6" fillId="0" borderId="0" applyFont="0" applyFill="0" applyBorder="0" applyAlignment="0" applyProtection="0"/>
    <xf numFmtId="5" fontId="108" fillId="0" borderId="0" applyFont="0" applyFill="0" applyBorder="0" applyAlignment="0" applyProtection="0">
      <protection locked="0"/>
    </xf>
    <xf numFmtId="6" fontId="6" fillId="0" borderId="0" applyFont="0" applyFill="0" applyBorder="0" applyAlignment="0" applyProtection="0"/>
    <xf numFmtId="0" fontId="5" fillId="0" borderId="0">
      <alignment wrapText="1"/>
    </xf>
    <xf numFmtId="0" fontId="2" fillId="0" borderId="0"/>
    <xf numFmtId="0" fontId="58" fillId="0" borderId="0" applyNumberFormat="0" applyFill="0" applyBorder="0" applyAlignment="0" applyProtection="0"/>
    <xf numFmtId="1" fontId="109" fillId="15" borderId="7" applyNumberFormat="0" applyBorder="0" applyAlignment="0">
      <alignment horizontal="centerContinuous" vertical="center"/>
      <protection locked="0"/>
    </xf>
    <xf numFmtId="0" fontId="105" fillId="0" borderId="0"/>
    <xf numFmtId="49" fontId="11" fillId="0" borderId="0" applyFill="0" applyBorder="0"/>
    <xf numFmtId="49" fontId="1" fillId="0" borderId="0"/>
    <xf numFmtId="49" fontId="1" fillId="0" borderId="0" applyFill="0" applyBorder="0">
      <alignment horizontal="right" vertical="center"/>
    </xf>
    <xf numFmtId="49" fontId="1" fillId="0" borderId="0" applyFill="0" applyBorder="0">
      <alignment horizontal="right" vertical="center"/>
    </xf>
    <xf numFmtId="0" fontId="59" fillId="16" borderId="0" applyNumberFormat="0" applyBorder="0" applyAlignment="0" applyProtection="0"/>
    <xf numFmtId="0" fontId="110" fillId="0" borderId="0"/>
    <xf numFmtId="38" fontId="11" fillId="17" borderId="0" applyNumberFormat="0" applyBorder="0" applyAlignment="0" applyProtection="0"/>
    <xf numFmtId="0" fontId="2" fillId="0" borderId="0"/>
    <xf numFmtId="173" fontId="93" fillId="0" borderId="0"/>
    <xf numFmtId="165" fontId="93" fillId="0" borderId="0" applyFill="0" applyBorder="0" applyAlignment="0" applyProtection="0"/>
    <xf numFmtId="166" fontId="2" fillId="18" borderId="8" applyNumberFormat="0" applyFont="0" applyBorder="0" applyAlignment="0" applyProtection="0"/>
    <xf numFmtId="171" fontId="111" fillId="18" borderId="0" applyNumberFormat="0" applyFont="0" applyAlignment="0"/>
    <xf numFmtId="174" fontId="46" fillId="0" borderId="9"/>
    <xf numFmtId="0" fontId="18" fillId="0" borderId="10" applyNumberFormat="0" applyAlignment="0" applyProtection="0">
      <alignment horizontal="left" vertical="center"/>
    </xf>
    <xf numFmtId="0" fontId="18" fillId="0" borderId="6">
      <alignment horizontal="left" vertical="center"/>
    </xf>
    <xf numFmtId="0" fontId="60" fillId="0" borderId="11" applyNumberFormat="0" applyFill="0" applyAlignment="0" applyProtection="0"/>
    <xf numFmtId="0" fontId="61" fillId="0" borderId="12" applyNumberFormat="0" applyFill="0" applyAlignment="0" applyProtection="0"/>
    <xf numFmtId="0" fontId="62" fillId="0" borderId="13" applyNumberFormat="0" applyFill="0" applyAlignment="0" applyProtection="0"/>
    <xf numFmtId="0" fontId="62" fillId="0" borderId="0" applyNumberFormat="0" applyFill="0" applyBorder="0" applyAlignment="0" applyProtection="0"/>
    <xf numFmtId="0" fontId="2" fillId="0" borderId="0"/>
    <xf numFmtId="38" fontId="6" fillId="0" borderId="0"/>
    <xf numFmtId="174" fontId="6" fillId="0" borderId="0" applyFont="0" applyFill="0" applyBorder="0" applyAlignment="0" applyProtection="0"/>
    <xf numFmtId="0" fontId="63" fillId="4" borderId="3" applyNumberFormat="0" applyAlignment="0" applyProtection="0"/>
    <xf numFmtId="10" fontId="11" fillId="19" borderId="8" applyNumberFormat="0" applyBorder="0" applyAlignment="0" applyProtection="0"/>
    <xf numFmtId="0" fontId="44" fillId="0" borderId="0" applyNumberFormat="0" applyFill="0" applyBorder="0" applyAlignment="0">
      <protection locked="0"/>
    </xf>
    <xf numFmtId="0" fontId="105" fillId="0" borderId="0"/>
    <xf numFmtId="0" fontId="64" fillId="0" borderId="14" applyNumberFormat="0" applyFill="0" applyAlignment="0" applyProtection="0"/>
    <xf numFmtId="165" fontId="94" fillId="0" borderId="0" applyFill="0" applyBorder="0" applyAlignment="0" applyProtection="0"/>
    <xf numFmtId="186" fontId="11" fillId="19" borderId="0">
      <alignment horizontal="center"/>
    </xf>
    <xf numFmtId="187" fontId="6" fillId="0" borderId="0" applyFont="0" applyFill="0" applyBorder="0" applyAlignment="0" applyProtection="0"/>
    <xf numFmtId="0" fontId="65" fillId="4" borderId="0" applyNumberFormat="0" applyBorder="0" applyAlignment="0" applyProtection="0"/>
    <xf numFmtId="0" fontId="67" fillId="0" borderId="0"/>
    <xf numFmtId="37" fontId="112" fillId="0" borderId="0"/>
    <xf numFmtId="0" fontId="2" fillId="0" borderId="0"/>
    <xf numFmtId="0" fontId="2" fillId="0" borderId="0"/>
    <xf numFmtId="0" fontId="2" fillId="0" borderId="0"/>
    <xf numFmtId="0" fontId="2" fillId="0" borderId="0"/>
    <xf numFmtId="0" fontId="2" fillId="0" borderId="0"/>
    <xf numFmtId="0" fontId="1" fillId="0" borderId="0"/>
    <xf numFmtId="0" fontId="126" fillId="0" borderId="0"/>
    <xf numFmtId="0" fontId="113" fillId="0" borderId="0"/>
    <xf numFmtId="0" fontId="2" fillId="0" borderId="0"/>
    <xf numFmtId="0" fontId="1" fillId="4" borderId="15" applyNumberFormat="0" applyFont="0" applyAlignment="0" applyProtection="0"/>
    <xf numFmtId="188" fontId="16" fillId="0" borderId="0" applyFont="0" applyFill="0" applyBorder="0" applyProtection="0">
      <alignment horizontal="right"/>
    </xf>
    <xf numFmtId="43" fontId="43" fillId="0" borderId="0" applyFont="0" applyFill="0" applyBorder="0" applyAlignment="0" applyProtection="0"/>
    <xf numFmtId="41" fontId="43" fillId="0" borderId="0" applyFont="0" applyFill="0" applyBorder="0" applyAlignment="0" applyProtection="0"/>
    <xf numFmtId="169" fontId="1" fillId="0" borderId="0"/>
    <xf numFmtId="174" fontId="6" fillId="0" borderId="0" applyFont="0" applyFill="0" applyBorder="0" applyAlignment="0" applyProtection="0"/>
    <xf numFmtId="173" fontId="94" fillId="0" borderId="0"/>
    <xf numFmtId="0" fontId="114" fillId="0" borderId="0">
      <alignment horizontal="left"/>
    </xf>
    <xf numFmtId="0" fontId="66" fillId="13" borderId="16" applyNumberFormat="0" applyAlignment="0" applyProtection="0"/>
    <xf numFmtId="0" fontId="67" fillId="0" borderId="0">
      <alignment vertical="center"/>
    </xf>
    <xf numFmtId="9" fontId="75" fillId="0" borderId="0" applyFont="0" applyFill="0" applyBorder="0" applyAlignment="0" applyProtection="0"/>
    <xf numFmtId="166" fontId="6" fillId="0" borderId="0"/>
    <xf numFmtId="10"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172" fontId="6" fillId="0" borderId="0" applyFont="0" applyFill="0" applyBorder="0" applyAlignment="0" applyProtection="0"/>
    <xf numFmtId="189" fontId="6" fillId="0" borderId="0" applyFont="0" applyFill="0" applyBorder="0" applyAlignment="0" applyProtection="0"/>
    <xf numFmtId="38" fontId="6" fillId="0" borderId="0" applyFont="0" applyFill="0" applyBorder="0" applyAlignment="0" applyProtection="0"/>
    <xf numFmtId="8" fontId="68" fillId="0" borderId="17">
      <alignment horizontal="right"/>
    </xf>
    <xf numFmtId="1" fontId="115" fillId="17" borderId="0">
      <alignment horizontal="center"/>
    </xf>
    <xf numFmtId="190" fontId="11" fillId="0" borderId="0"/>
    <xf numFmtId="0" fontId="116" fillId="0" borderId="0"/>
    <xf numFmtId="0" fontId="75" fillId="20" borderId="0" applyNumberFormat="0" applyFont="0" applyBorder="0" applyAlignment="0" applyProtection="0"/>
    <xf numFmtId="0" fontId="2" fillId="20" borderId="0" applyNumberFormat="0" applyFont="0" applyBorder="0" applyAlignment="0" applyProtection="0"/>
    <xf numFmtId="0" fontId="69" fillId="0" borderId="0"/>
    <xf numFmtId="0" fontId="69" fillId="0" borderId="0"/>
    <xf numFmtId="0" fontId="69" fillId="0" borderId="0"/>
    <xf numFmtId="0" fontId="69" fillId="0" borderId="0"/>
    <xf numFmtId="0" fontId="69" fillId="0" borderId="18">
      <alignment horizontal="centerContinuous"/>
    </xf>
    <xf numFmtId="0" fontId="69" fillId="0" borderId="18">
      <alignment horizontal="centerContinuous"/>
    </xf>
    <xf numFmtId="0" fontId="69" fillId="0" borderId="18">
      <alignment horizontal="centerContinuous"/>
    </xf>
    <xf numFmtId="0" fontId="69" fillId="0" borderId="18">
      <alignment horizontal="centerContinuous"/>
    </xf>
    <xf numFmtId="174" fontId="6" fillId="0" borderId="0" applyFont="0" applyFill="0" applyBorder="0" applyAlignment="0" applyProtection="0"/>
    <xf numFmtId="1" fontId="43" fillId="0" borderId="0" applyBorder="0">
      <alignment horizontal="left" vertical="top" wrapText="1"/>
    </xf>
    <xf numFmtId="0" fontId="70" fillId="0" borderId="18"/>
    <xf numFmtId="0" fontId="1" fillId="0" borderId="0">
      <alignment vertical="top"/>
    </xf>
    <xf numFmtId="0" fontId="3" fillId="0" borderId="0"/>
    <xf numFmtId="0" fontId="50" fillId="0" borderId="0" applyNumberFormat="0" applyFont="0" applyFill="0" applyBorder="0" applyAlignment="0" applyProtection="0"/>
    <xf numFmtId="0" fontId="3" fillId="0" borderId="0"/>
    <xf numFmtId="0" fontId="4" fillId="0" borderId="0"/>
    <xf numFmtId="0" fontId="1" fillId="0" borderId="0">
      <alignment vertical="top"/>
    </xf>
    <xf numFmtId="191" fontId="117" fillId="0" borderId="0" applyFill="0" applyBorder="0" applyAlignment="0" applyProtection="0"/>
    <xf numFmtId="165" fontId="118" fillId="0" borderId="0" applyFill="0" applyBorder="0" applyAlignment="0" applyProtection="0"/>
    <xf numFmtId="174" fontId="6" fillId="0" borderId="0" applyFill="0" applyBorder="0" applyAlignment="0" applyProtection="0">
      <protection locked="0"/>
    </xf>
    <xf numFmtId="174" fontId="117" fillId="0" borderId="0" applyFill="0" applyBorder="0" applyAlignment="0" applyProtection="0"/>
    <xf numFmtId="0" fontId="55" fillId="0" borderId="0">
      <alignment vertical="center"/>
    </xf>
    <xf numFmtId="0" fontId="71" fillId="0" borderId="0" applyNumberFormat="0" applyFill="0" applyBorder="0" applyAlignment="0" applyProtection="0"/>
    <xf numFmtId="174" fontId="46" fillId="0" borderId="9"/>
    <xf numFmtId="174" fontId="68" fillId="0" borderId="0" applyNumberFormat="0" applyFill="0" applyBorder="0" applyAlignment="0" applyProtection="0"/>
    <xf numFmtId="169" fontId="17" fillId="0" borderId="0"/>
    <xf numFmtId="0" fontId="72" fillId="0" borderId="19" applyNumberFormat="0" applyFill="0" applyAlignment="0" applyProtection="0"/>
    <xf numFmtId="0" fontId="2" fillId="0" borderId="0"/>
    <xf numFmtId="0" fontId="2" fillId="0" borderId="0"/>
    <xf numFmtId="0" fontId="2" fillId="0" borderId="0"/>
    <xf numFmtId="169" fontId="12" fillId="0" borderId="20"/>
    <xf numFmtId="192" fontId="115" fillId="17" borderId="1" applyBorder="0">
      <alignment horizontal="right" vertical="center"/>
      <protection locked="0"/>
    </xf>
    <xf numFmtId="0" fontId="119" fillId="0" borderId="0" applyNumberFormat="0"/>
    <xf numFmtId="0" fontId="73" fillId="0" borderId="0" applyNumberFormat="0" applyFill="0" applyBorder="0" applyAlignment="0" applyProtection="0"/>
    <xf numFmtId="1" fontId="6" fillId="0" borderId="0" applyFont="0" applyFill="0" applyBorder="0" applyAlignment="0" applyProtection="0"/>
    <xf numFmtId="1" fontId="1" fillId="0" borderId="0">
      <alignment horizontal="center"/>
    </xf>
    <xf numFmtId="175" fontId="74" fillId="0" borderId="0" applyFont="0" applyFill="0" applyBorder="0" applyAlignment="0" applyProtection="0"/>
    <xf numFmtId="0" fontId="74" fillId="0" borderId="0" applyFont="0" applyFill="0" applyBorder="0" applyAlignment="0" applyProtection="0"/>
    <xf numFmtId="0" fontId="146" fillId="0" borderId="0"/>
  </cellStyleXfs>
  <cellXfs count="568">
    <xf numFmtId="0" fontId="0" fillId="0" borderId="0" xfId="0"/>
    <xf numFmtId="49" fontId="0" fillId="0" borderId="0" xfId="0" applyNumberFormat="1"/>
    <xf numFmtId="0" fontId="12" fillId="0" borderId="0" xfId="0" applyFont="1"/>
    <xf numFmtId="0" fontId="11" fillId="0" borderId="0" xfId="0" applyFont="1"/>
    <xf numFmtId="0" fontId="11" fillId="17" borderId="0" xfId="0" applyFont="1" applyFill="1"/>
    <xf numFmtId="0" fontId="15" fillId="22" borderId="0" xfId="0" applyFont="1" applyFill="1" applyAlignment="1">
      <alignment horizontal="right"/>
    </xf>
    <xf numFmtId="0" fontId="12" fillId="23" borderId="0" xfId="0" applyFont="1" applyFill="1"/>
    <xf numFmtId="44" fontId="11" fillId="0" borderId="0" xfId="0" applyNumberFormat="1" applyFont="1"/>
    <xf numFmtId="0" fontId="11" fillId="0" borderId="0" xfId="0" applyFont="1" applyAlignment="1">
      <alignment horizontal="right"/>
    </xf>
    <xf numFmtId="0" fontId="11" fillId="0" borderId="1" xfId="0" applyFont="1" applyBorder="1"/>
    <xf numFmtId="0" fontId="11" fillId="0" borderId="21" xfId="0" applyFont="1" applyBorder="1"/>
    <xf numFmtId="166" fontId="11" fillId="0" borderId="1" xfId="0" applyNumberFormat="1" applyFont="1" applyBorder="1"/>
    <xf numFmtId="166" fontId="11" fillId="0" borderId="0" xfId="0" applyNumberFormat="1" applyFont="1"/>
    <xf numFmtId="41" fontId="11" fillId="0" borderId="0" xfId="0" applyNumberFormat="1" applyFont="1"/>
    <xf numFmtId="41" fontId="11" fillId="0" borderId="21" xfId="0" applyNumberFormat="1" applyFont="1" applyBorder="1"/>
    <xf numFmtId="41" fontId="11" fillId="0" borderId="1" xfId="0" applyNumberFormat="1" applyFont="1" applyBorder="1"/>
    <xf numFmtId="166" fontId="11" fillId="0" borderId="21" xfId="0" applyNumberFormat="1" applyFont="1" applyBorder="1"/>
    <xf numFmtId="168" fontId="11" fillId="0" borderId="1" xfId="91" applyNumberFormat="1" applyFont="1" applyBorder="1" applyAlignment="1">
      <alignment horizontal="right"/>
    </xf>
    <xf numFmtId="0" fontId="11" fillId="0" borderId="0" xfId="0" applyFont="1" applyAlignment="1">
      <alignment horizontal="center"/>
    </xf>
    <xf numFmtId="0" fontId="15" fillId="22" borderId="0" xfId="0" applyFont="1" applyFill="1" applyAlignment="1">
      <alignment horizontal="left"/>
    </xf>
    <xf numFmtId="3" fontId="11" fillId="0" borderId="0" xfId="0" applyNumberFormat="1" applyFont="1"/>
    <xf numFmtId="3" fontId="11" fillId="0" borderId="21" xfId="0" applyNumberFormat="1" applyFont="1" applyBorder="1"/>
    <xf numFmtId="3" fontId="11" fillId="0" borderId="1" xfId="0" applyNumberFormat="1" applyFont="1" applyBorder="1"/>
    <xf numFmtId="0" fontId="12" fillId="23" borderId="0" xfId="0" applyFont="1" applyFill="1" applyAlignment="1">
      <alignment horizontal="right"/>
    </xf>
    <xf numFmtId="37" fontId="11" fillId="0" borderId="0" xfId="0" applyNumberFormat="1" applyFont="1" applyAlignment="1">
      <alignment horizontal="right"/>
    </xf>
    <xf numFmtId="44" fontId="11" fillId="0" borderId="1" xfId="0" applyNumberFormat="1" applyFont="1" applyBorder="1"/>
    <xf numFmtId="41" fontId="11" fillId="17" borderId="0" xfId="0" applyNumberFormat="1" applyFont="1" applyFill="1"/>
    <xf numFmtId="9" fontId="11" fillId="0" borderId="0" xfId="179" applyFont="1" applyAlignment="1">
      <alignment horizontal="center"/>
    </xf>
    <xf numFmtId="166" fontId="11" fillId="0" borderId="0" xfId="179" applyNumberFormat="1" applyFont="1" applyAlignment="1">
      <alignment horizontal="center"/>
    </xf>
    <xf numFmtId="44" fontId="11" fillId="0" borderId="0" xfId="0" applyNumberFormat="1" applyFont="1" applyAlignment="1">
      <alignment horizontal="right"/>
    </xf>
    <xf numFmtId="0" fontId="0" fillId="0" borderId="1" xfId="0" applyBorder="1"/>
    <xf numFmtId="0" fontId="9" fillId="0" borderId="0" xfId="168" applyFont="1" applyBorder="1"/>
    <xf numFmtId="0" fontId="9" fillId="24" borderId="0" xfId="168" applyFont="1" applyFill="1" applyBorder="1"/>
    <xf numFmtId="0" fontId="2" fillId="0" borderId="0" xfId="168"/>
    <xf numFmtId="0" fontId="24" fillId="24" borderId="0" xfId="168" applyFont="1" applyFill="1"/>
    <xf numFmtId="0" fontId="25" fillId="24" borderId="0" xfId="168" applyFont="1" applyFill="1" applyAlignment="1">
      <alignment horizontal="center" wrapText="1"/>
    </xf>
    <xf numFmtId="0" fontId="11" fillId="0" borderId="0" xfId="168" applyFont="1"/>
    <xf numFmtId="0" fontId="11" fillId="24" borderId="0" xfId="168" applyFont="1" applyFill="1"/>
    <xf numFmtId="0" fontId="26" fillId="0" borderId="0" xfId="168" applyFont="1"/>
    <xf numFmtId="0" fontId="26" fillId="24" borderId="0" xfId="168" applyFont="1" applyFill="1"/>
    <xf numFmtId="0" fontId="27" fillId="24" borderId="0" xfId="168" applyFont="1" applyFill="1" applyBorder="1"/>
    <xf numFmtId="0" fontId="24" fillId="24" borderId="0" xfId="168" applyFont="1" applyFill="1" applyBorder="1"/>
    <xf numFmtId="0" fontId="25" fillId="24" borderId="0" xfId="168" applyFont="1" applyFill="1"/>
    <xf numFmtId="0" fontId="11" fillId="24" borderId="0" xfId="168" applyFont="1" applyFill="1" applyBorder="1"/>
    <xf numFmtId="0" fontId="26" fillId="0" borderId="0" xfId="168" applyFont="1" applyBorder="1"/>
    <xf numFmtId="0" fontId="26" fillId="24" borderId="0" xfId="168" applyFont="1" applyFill="1" applyBorder="1"/>
    <xf numFmtId="0" fontId="26" fillId="0" borderId="0" xfId="168" applyFont="1" applyAlignment="1">
      <alignment horizontal="center"/>
    </xf>
    <xf numFmtId="0" fontId="11" fillId="24" borderId="27" xfId="168" applyFont="1" applyFill="1" applyBorder="1"/>
    <xf numFmtId="0" fontId="28" fillId="17" borderId="0" xfId="168" applyFont="1" applyFill="1" applyBorder="1"/>
    <xf numFmtId="0" fontId="22" fillId="17" borderId="0" xfId="168" applyFont="1" applyFill="1" applyAlignment="1">
      <alignment horizontal="center"/>
    </xf>
    <xf numFmtId="0" fontId="15" fillId="22" borderId="0" xfId="168" applyFont="1" applyFill="1" applyAlignment="1">
      <alignment horizontal="center"/>
    </xf>
    <xf numFmtId="0" fontId="29" fillId="0" borderId="0" xfId="168" applyFont="1" applyAlignment="1">
      <alignment horizontal="center"/>
    </xf>
    <xf numFmtId="0" fontId="5" fillId="0" borderId="0" xfId="168" applyFont="1"/>
    <xf numFmtId="10" fontId="11" fillId="0" borderId="0" xfId="179" applyNumberFormat="1" applyFont="1" applyAlignment="1">
      <alignment horizontal="center"/>
    </xf>
    <xf numFmtId="10" fontId="21" fillId="0" borderId="0" xfId="179" applyNumberFormat="1" applyFont="1" applyAlignment="1">
      <alignment horizontal="center"/>
    </xf>
    <xf numFmtId="10" fontId="21" fillId="0" borderId="0" xfId="168" applyNumberFormat="1" applyFont="1" applyAlignment="1">
      <alignment horizontal="center"/>
    </xf>
    <xf numFmtId="10" fontId="31" fillId="0" borderId="0" xfId="168" applyNumberFormat="1" applyFont="1" applyAlignment="1">
      <alignment horizontal="center"/>
    </xf>
    <xf numFmtId="166" fontId="32" fillId="0" borderId="0" xfId="168" applyNumberFormat="1" applyFont="1" applyAlignment="1">
      <alignment horizontal="center"/>
    </xf>
    <xf numFmtId="10" fontId="11" fillId="0" borderId="0" xfId="168" applyNumberFormat="1" applyFont="1" applyBorder="1" applyAlignment="1">
      <alignment horizontal="center"/>
    </xf>
    <xf numFmtId="9" fontId="11" fillId="0" borderId="0" xfId="168" applyNumberFormat="1" applyFont="1" applyBorder="1" applyAlignment="1">
      <alignment horizontal="center"/>
    </xf>
    <xf numFmtId="9" fontId="31" fillId="0" borderId="0" xfId="168" applyNumberFormat="1" applyFont="1" applyAlignment="1">
      <alignment horizontal="center"/>
    </xf>
    <xf numFmtId="9" fontId="31" fillId="0" borderId="0" xfId="179" applyFont="1" applyAlignment="1">
      <alignment horizontal="center"/>
    </xf>
    <xf numFmtId="166" fontId="32" fillId="0" borderId="0" xfId="179" applyNumberFormat="1" applyFont="1" applyAlignment="1">
      <alignment horizontal="center"/>
    </xf>
    <xf numFmtId="0" fontId="12" fillId="0" borderId="0" xfId="168" applyFont="1" applyBorder="1"/>
    <xf numFmtId="37" fontId="11" fillId="0" borderId="0" xfId="91" applyNumberFormat="1" applyFont="1" applyBorder="1" applyAlignment="1">
      <alignment horizontal="center"/>
    </xf>
    <xf numFmtId="37" fontId="26" fillId="0" borderId="0" xfId="91" applyNumberFormat="1" applyFont="1" applyAlignment="1">
      <alignment horizontal="center"/>
    </xf>
    <xf numFmtId="0" fontId="33" fillId="0" borderId="0" xfId="168" applyFont="1" applyBorder="1"/>
    <xf numFmtId="0" fontId="34" fillId="0" borderId="0" xfId="168" applyFont="1" applyBorder="1"/>
    <xf numFmtId="0" fontId="11" fillId="0" borderId="0" xfId="168" applyFont="1" applyBorder="1" applyAlignment="1">
      <alignment horizontal="center"/>
    </xf>
    <xf numFmtId="37" fontId="11" fillId="0" borderId="0" xfId="91" applyNumberFormat="1" applyFont="1" applyAlignment="1">
      <alignment horizontal="center"/>
    </xf>
    <xf numFmtId="37" fontId="21" fillId="0" borderId="0" xfId="91" applyNumberFormat="1" applyFont="1" applyAlignment="1">
      <alignment horizontal="center"/>
    </xf>
    <xf numFmtId="0" fontId="20" fillId="0" borderId="0" xfId="168" applyFont="1"/>
    <xf numFmtId="37" fontId="20" fillId="0" borderId="0" xfId="91" applyNumberFormat="1" applyFont="1" applyAlignment="1">
      <alignment horizontal="center"/>
    </xf>
    <xf numFmtId="37" fontId="12" fillId="0" borderId="0" xfId="91" applyNumberFormat="1" applyFont="1" applyAlignment="1">
      <alignment horizontal="center"/>
    </xf>
    <xf numFmtId="37" fontId="35" fillId="0" borderId="0" xfId="91" applyNumberFormat="1" applyFont="1" applyAlignment="1">
      <alignment horizontal="center"/>
    </xf>
    <xf numFmtId="0" fontId="19" fillId="0" borderId="0" xfId="168" applyFont="1"/>
    <xf numFmtId="0" fontId="19" fillId="23" borderId="0" xfId="168" applyFont="1" applyFill="1"/>
    <xf numFmtId="37" fontId="11" fillId="23" borderId="0" xfId="91" applyNumberFormat="1" applyFont="1" applyFill="1" applyAlignment="1">
      <alignment horizontal="center"/>
    </xf>
    <xf numFmtId="37" fontId="19" fillId="23" borderId="0" xfId="91" applyNumberFormat="1" applyFont="1" applyFill="1" applyAlignment="1">
      <alignment horizontal="center"/>
    </xf>
    <xf numFmtId="37" fontId="36" fillId="0" borderId="0" xfId="91" applyNumberFormat="1" applyFont="1" applyAlignment="1">
      <alignment horizontal="center"/>
    </xf>
    <xf numFmtId="0" fontId="12" fillId="0" borderId="0" xfId="168" applyFont="1"/>
    <xf numFmtId="37" fontId="19" fillId="0" borderId="0" xfId="91" applyNumberFormat="1" applyFont="1" applyAlignment="1">
      <alignment horizontal="center"/>
    </xf>
    <xf numFmtId="0" fontId="12" fillId="23" borderId="0" xfId="168" applyFont="1" applyFill="1"/>
    <xf numFmtId="37" fontId="12" fillId="23" borderId="0" xfId="91" applyNumberFormat="1" applyFont="1" applyFill="1" applyAlignment="1">
      <alignment horizontal="center"/>
    </xf>
    <xf numFmtId="37" fontId="11" fillId="0" borderId="0" xfId="168" applyNumberFormat="1" applyFont="1" applyAlignment="1">
      <alignment horizontal="center"/>
    </xf>
    <xf numFmtId="0" fontId="12" fillId="24" borderId="0" xfId="168" applyFont="1" applyFill="1"/>
    <xf numFmtId="37" fontId="12" fillId="24" borderId="0" xfId="91" applyNumberFormat="1" applyFont="1" applyFill="1" applyAlignment="1">
      <alignment horizontal="center"/>
    </xf>
    <xf numFmtId="9" fontId="12" fillId="0" borderId="0" xfId="179" applyFont="1" applyAlignment="1">
      <alignment horizontal="center"/>
    </xf>
    <xf numFmtId="9" fontId="35" fillId="0" borderId="0" xfId="179" applyFont="1" applyAlignment="1">
      <alignment horizontal="center"/>
    </xf>
    <xf numFmtId="37" fontId="12" fillId="0" borderId="0" xfId="105" applyNumberFormat="1" applyFont="1" applyBorder="1" applyAlignment="1">
      <alignment horizontal="center"/>
    </xf>
    <xf numFmtId="37" fontId="35" fillId="0" borderId="0" xfId="105" applyNumberFormat="1" applyFont="1" applyAlignment="1">
      <alignment horizontal="center"/>
    </xf>
    <xf numFmtId="37" fontId="11" fillId="0" borderId="0" xfId="168" applyNumberFormat="1" applyFont="1" applyBorder="1" applyAlignment="1">
      <alignment horizontal="center"/>
    </xf>
    <xf numFmtId="37" fontId="26" fillId="0" borderId="0" xfId="168" applyNumberFormat="1" applyFont="1" applyAlignment="1">
      <alignment horizontal="center"/>
    </xf>
    <xf numFmtId="37" fontId="12" fillId="0" borderId="0" xfId="168" applyNumberFormat="1" applyFont="1" applyAlignment="1">
      <alignment horizontal="center"/>
    </xf>
    <xf numFmtId="37" fontId="35" fillId="0" borderId="0" xfId="168" applyNumberFormat="1" applyFont="1" applyAlignment="1">
      <alignment horizontal="center"/>
    </xf>
    <xf numFmtId="37" fontId="12" fillId="0" borderId="0" xfId="168" applyNumberFormat="1" applyFont="1" applyBorder="1" applyAlignment="1">
      <alignment horizontal="center"/>
    </xf>
    <xf numFmtId="0" fontId="33" fillId="21" borderId="0" xfId="168" applyFont="1" applyFill="1" applyBorder="1"/>
    <xf numFmtId="0" fontId="34" fillId="21" borderId="0" xfId="168" applyFont="1" applyFill="1" applyBorder="1"/>
    <xf numFmtId="0" fontId="11" fillId="21" borderId="0" xfId="168" applyFont="1" applyFill="1" applyBorder="1"/>
    <xf numFmtId="0" fontId="26" fillId="21" borderId="0" xfId="168" applyFont="1" applyFill="1"/>
    <xf numFmtId="0" fontId="5" fillId="21" borderId="0" xfId="168" applyFont="1" applyFill="1"/>
    <xf numFmtId="0" fontId="11" fillId="21" borderId="0" xfId="168" applyFont="1" applyFill="1"/>
    <xf numFmtId="0" fontId="11" fillId="21" borderId="28" xfId="168" applyFont="1" applyFill="1" applyBorder="1"/>
    <xf numFmtId="37" fontId="11" fillId="0" borderId="28" xfId="91" applyNumberFormat="1" applyFont="1" applyBorder="1" applyAlignment="1">
      <alignment horizontal="center"/>
    </xf>
    <xf numFmtId="0" fontId="12" fillId="21" borderId="0" xfId="168" applyFont="1" applyFill="1"/>
    <xf numFmtId="0" fontId="12" fillId="21" borderId="0" xfId="168" applyFont="1" applyFill="1" applyBorder="1"/>
    <xf numFmtId="37" fontId="12" fillId="0" borderId="0" xfId="91" applyNumberFormat="1" applyFont="1" applyBorder="1" applyAlignment="1">
      <alignment horizontal="center"/>
    </xf>
    <xf numFmtId="0" fontId="37" fillId="0" borderId="0" xfId="168" applyFont="1"/>
    <xf numFmtId="0" fontId="23" fillId="0" borderId="0" xfId="168" applyFont="1"/>
    <xf numFmtId="0" fontId="23" fillId="0" borderId="0" xfId="168" applyFont="1" applyBorder="1"/>
    <xf numFmtId="37" fontId="23" fillId="0" borderId="0" xfId="168" applyNumberFormat="1" applyFont="1" applyBorder="1" applyAlignment="1">
      <alignment horizontal="right"/>
    </xf>
    <xf numFmtId="37" fontId="23" fillId="0" borderId="0" xfId="168" applyNumberFormat="1" applyFont="1" applyBorder="1" applyAlignment="1">
      <alignment horizontal="center"/>
    </xf>
    <xf numFmtId="37" fontId="23" fillId="0" borderId="0" xfId="168" applyNumberFormat="1" applyFont="1" applyAlignment="1">
      <alignment horizontal="center"/>
    </xf>
    <xf numFmtId="37" fontId="38" fillId="0" borderId="0" xfId="168" applyNumberFormat="1" applyFont="1" applyAlignment="1">
      <alignment horizontal="center"/>
    </xf>
    <xf numFmtId="0" fontId="39" fillId="0" borderId="0" xfId="168" applyFont="1"/>
    <xf numFmtId="0" fontId="40" fillId="0" borderId="0" xfId="168" applyFont="1"/>
    <xf numFmtId="0" fontId="39" fillId="0" borderId="0" xfId="168" applyFont="1" applyBorder="1"/>
    <xf numFmtId="0" fontId="26" fillId="0" borderId="0" xfId="168" applyFont="1" applyBorder="1" applyAlignment="1">
      <alignment horizontal="right"/>
    </xf>
    <xf numFmtId="37" fontId="26" fillId="0" borderId="0" xfId="168" applyNumberFormat="1" applyFont="1" applyBorder="1" applyAlignment="1">
      <alignment horizontal="right"/>
    </xf>
    <xf numFmtId="0" fontId="17" fillId="24" borderId="0" xfId="168" applyFont="1" applyFill="1"/>
    <xf numFmtId="0" fontId="12" fillId="24" borderId="0" xfId="168" applyFont="1" applyFill="1" applyAlignment="1">
      <alignment wrapText="1"/>
    </xf>
    <xf numFmtId="0" fontId="17" fillId="24" borderId="0" xfId="168" applyFont="1" applyFill="1" applyBorder="1"/>
    <xf numFmtId="0" fontId="11" fillId="24" borderId="0" xfId="168" applyFont="1" applyFill="1" applyAlignment="1">
      <alignment horizontal="right"/>
    </xf>
    <xf numFmtId="0" fontId="4" fillId="0" borderId="0" xfId="168" applyFont="1"/>
    <xf numFmtId="10" fontId="31" fillId="0" borderId="0" xfId="179" applyNumberFormat="1" applyFont="1" applyAlignment="1">
      <alignment horizontal="center"/>
    </xf>
    <xf numFmtId="166" fontId="11" fillId="0" borderId="0" xfId="168" applyNumberFormat="1" applyFont="1" applyBorder="1" applyAlignment="1">
      <alignment horizontal="center"/>
    </xf>
    <xf numFmtId="10" fontId="21" fillId="0" borderId="0" xfId="168" applyNumberFormat="1" applyFont="1" applyBorder="1" applyAlignment="1">
      <alignment horizontal="center"/>
    </xf>
    <xf numFmtId="9" fontId="21" fillId="0" borderId="0" xfId="168" applyNumberFormat="1" applyFont="1" applyAlignment="1">
      <alignment horizontal="center"/>
    </xf>
    <xf numFmtId="166" fontId="11" fillId="0" borderId="0" xfId="168" applyNumberFormat="1" applyFont="1" applyAlignment="1">
      <alignment horizontal="center"/>
    </xf>
    <xf numFmtId="10" fontId="11" fillId="0" borderId="0" xfId="168" applyNumberFormat="1" applyFont="1" applyAlignment="1">
      <alignment horizontal="center"/>
    </xf>
    <xf numFmtId="9" fontId="21" fillId="0" borderId="0" xfId="179" applyFont="1" applyAlignment="1">
      <alignment horizontal="center"/>
    </xf>
    <xf numFmtId="0" fontId="9" fillId="0" borderId="0" xfId="168" applyFont="1"/>
    <xf numFmtId="37" fontId="14" fillId="0" borderId="0" xfId="91" applyNumberFormat="1" applyFont="1" applyAlignment="1">
      <alignment horizontal="center"/>
    </xf>
    <xf numFmtId="37" fontId="7" fillId="0" borderId="0" xfId="168" applyNumberFormat="1" applyFont="1" applyBorder="1" applyAlignment="1">
      <alignment horizontal="center"/>
    </xf>
    <xf numFmtId="37" fontId="14" fillId="0" borderId="0" xfId="168" applyNumberFormat="1" applyFont="1" applyAlignment="1">
      <alignment horizontal="center"/>
    </xf>
    <xf numFmtId="37" fontId="14" fillId="0" borderId="0" xfId="91" applyNumberFormat="1" applyFont="1" applyBorder="1" applyAlignment="1">
      <alignment horizontal="center"/>
    </xf>
    <xf numFmtId="0" fontId="4" fillId="21" borderId="0" xfId="168" applyFont="1" applyFill="1"/>
    <xf numFmtId="0" fontId="42" fillId="0" borderId="0" xfId="168" applyFont="1"/>
    <xf numFmtId="0" fontId="11" fillId="17" borderId="0" xfId="0" applyFont="1" applyFill="1" applyAlignment="1">
      <alignment horizontal="center"/>
    </xf>
    <xf numFmtId="8" fontId="11" fillId="0" borderId="1" xfId="0" applyNumberFormat="1" applyFont="1" applyBorder="1"/>
    <xf numFmtId="8" fontId="11" fillId="0" borderId="0" xfId="0" applyNumberFormat="1" applyFont="1"/>
    <xf numFmtId="8" fontId="11" fillId="0" borderId="21" xfId="0" applyNumberFormat="1" applyFont="1" applyBorder="1"/>
    <xf numFmtId="37" fontId="11" fillId="0" borderId="1" xfId="0" applyNumberFormat="1" applyFont="1" applyBorder="1" applyAlignment="1">
      <alignment horizontal="right"/>
    </xf>
    <xf numFmtId="37" fontId="11" fillId="0" borderId="21" xfId="0" applyNumberFormat="1" applyFont="1" applyBorder="1" applyAlignment="1">
      <alignment horizontal="right"/>
    </xf>
    <xf numFmtId="0" fontId="0" fillId="0" borderId="0" xfId="0" applyBorder="1"/>
    <xf numFmtId="0" fontId="30" fillId="23" borderId="0" xfId="0" applyFont="1" applyFill="1"/>
    <xf numFmtId="49" fontId="12" fillId="23" borderId="0" xfId="0" applyNumberFormat="1" applyFont="1" applyFill="1" applyAlignment="1">
      <alignment horizontal="right"/>
    </xf>
    <xf numFmtId="9" fontId="16" fillId="23" borderId="0" xfId="0" applyNumberFormat="1" applyFont="1" applyFill="1"/>
    <xf numFmtId="9" fontId="30" fillId="23" borderId="0" xfId="179" applyFont="1" applyFill="1"/>
    <xf numFmtId="9" fontId="30" fillId="23" borderId="0" xfId="0" applyNumberFormat="1" applyFont="1" applyFill="1"/>
    <xf numFmtId="0" fontId="26" fillId="23" borderId="0" xfId="168" applyFont="1" applyFill="1" applyBorder="1"/>
    <xf numFmtId="0" fontId="0" fillId="23" borderId="0" xfId="0" applyFill="1"/>
    <xf numFmtId="37" fontId="0" fillId="0" borderId="0" xfId="0" applyNumberFormat="1"/>
    <xf numFmtId="0" fontId="26" fillId="21" borderId="0" xfId="168" applyFont="1" applyFill="1" applyBorder="1"/>
    <xf numFmtId="37" fontId="126" fillId="23" borderId="0" xfId="166" applyNumberFormat="1" applyFill="1"/>
    <xf numFmtId="37" fontId="80" fillId="23" borderId="0" xfId="166" applyNumberFormat="1" applyFont="1" applyFill="1"/>
    <xf numFmtId="37" fontId="79" fillId="23" borderId="33" xfId="166" applyNumberFormat="1" applyFont="1" applyFill="1" applyBorder="1"/>
    <xf numFmtId="37" fontId="79" fillId="23" borderId="0" xfId="166" applyNumberFormat="1" applyFont="1" applyFill="1"/>
    <xf numFmtId="166" fontId="81" fillId="23" borderId="0" xfId="166" applyNumberFormat="1" applyFont="1" applyFill="1" applyAlignment="1">
      <alignment horizontal="left" indent="1"/>
    </xf>
    <xf numFmtId="166" fontId="81" fillId="23" borderId="0" xfId="166" applyNumberFormat="1" applyFont="1" applyFill="1"/>
    <xf numFmtId="37" fontId="82" fillId="23" borderId="33" xfId="166" applyNumberFormat="1" applyFont="1" applyFill="1" applyBorder="1"/>
    <xf numFmtId="0" fontId="126" fillId="23" borderId="0" xfId="166" applyFill="1"/>
    <xf numFmtId="0" fontId="79" fillId="23" borderId="0" xfId="166" applyFont="1" applyFill="1"/>
    <xf numFmtId="0" fontId="126" fillId="23" borderId="0" xfId="166" applyFill="1" applyBorder="1"/>
    <xf numFmtId="166" fontId="81" fillId="23" borderId="0" xfId="166" applyNumberFormat="1" applyFont="1" applyFill="1" applyBorder="1"/>
    <xf numFmtId="37" fontId="80" fillId="23" borderId="0" xfId="166" applyNumberFormat="1" applyFont="1" applyFill="1" applyBorder="1"/>
    <xf numFmtId="37" fontId="84" fillId="23" borderId="0" xfId="166" applyNumberFormat="1" applyFont="1" applyFill="1" applyBorder="1"/>
    <xf numFmtId="37" fontId="79" fillId="23" borderId="0" xfId="166" applyNumberFormat="1" applyFont="1" applyFill="1" applyBorder="1"/>
    <xf numFmtId="37" fontId="126" fillId="23" borderId="0" xfId="166" applyNumberFormat="1" applyFill="1" applyBorder="1"/>
    <xf numFmtId="37" fontId="85" fillId="23" borderId="33" xfId="166" applyNumberFormat="1" applyFont="1" applyFill="1" applyBorder="1"/>
    <xf numFmtId="37" fontId="84" fillId="23" borderId="0" xfId="166" applyNumberFormat="1" applyFont="1" applyFill="1"/>
    <xf numFmtId="7" fontId="79" fillId="23" borderId="0" xfId="166" applyNumberFormat="1" applyFont="1" applyFill="1" applyBorder="1"/>
    <xf numFmtId="166" fontId="86" fillId="23" borderId="0" xfId="166" applyNumberFormat="1" applyFont="1" applyFill="1"/>
    <xf numFmtId="37" fontId="85" fillId="23" borderId="0" xfId="166" applyNumberFormat="1" applyFont="1" applyFill="1" applyBorder="1"/>
    <xf numFmtId="37" fontId="82" fillId="23" borderId="0" xfId="166" applyNumberFormat="1" applyFont="1" applyFill="1"/>
    <xf numFmtId="37" fontId="85" fillId="23" borderId="0" xfId="166" applyNumberFormat="1" applyFont="1" applyFill="1"/>
    <xf numFmtId="37" fontId="78" fillId="23" borderId="0" xfId="166" applyNumberFormat="1" applyFont="1" applyFill="1"/>
    <xf numFmtId="0" fontId="126" fillId="23" borderId="0" xfId="166" applyFill="1"/>
    <xf numFmtId="37" fontId="78" fillId="23" borderId="0" xfId="166" applyNumberFormat="1" applyFont="1" applyFill="1" applyBorder="1"/>
    <xf numFmtId="166" fontId="87" fillId="23" borderId="0" xfId="166" applyNumberFormat="1" applyFont="1" applyFill="1" applyBorder="1"/>
    <xf numFmtId="166" fontId="87" fillId="23" borderId="0" xfId="166" applyNumberFormat="1" applyFont="1" applyFill="1"/>
    <xf numFmtId="166" fontId="87" fillId="23" borderId="0" xfId="166" applyNumberFormat="1" applyFont="1" applyFill="1" applyBorder="1" applyAlignment="1">
      <alignment horizontal="left" indent="1"/>
    </xf>
    <xf numFmtId="10" fontId="81" fillId="23" borderId="0" xfId="166" applyNumberFormat="1" applyFont="1" applyFill="1" applyBorder="1" applyAlignment="1">
      <alignment horizontal="left" indent="1"/>
    </xf>
    <xf numFmtId="10" fontId="86" fillId="23" borderId="0" xfId="166" applyNumberFormat="1" applyFont="1" applyFill="1" applyBorder="1"/>
    <xf numFmtId="0" fontId="81" fillId="23" borderId="0" xfId="166" applyFont="1" applyFill="1"/>
    <xf numFmtId="7" fontId="79" fillId="23" borderId="0" xfId="166" applyNumberFormat="1" applyFont="1" applyFill="1"/>
    <xf numFmtId="37" fontId="78" fillId="23" borderId="0" xfId="166" applyNumberFormat="1" applyFont="1" applyFill="1" applyBorder="1" applyAlignment="1">
      <alignment horizontal="left" indent="1"/>
    </xf>
    <xf numFmtId="37" fontId="79" fillId="23" borderId="0" xfId="166" applyNumberFormat="1" applyFont="1" applyFill="1" applyBorder="1" applyAlignment="1">
      <alignment horizontal="left" indent="1"/>
    </xf>
    <xf numFmtId="0" fontId="78" fillId="23" borderId="0" xfId="166" applyFont="1" applyFill="1" applyBorder="1"/>
    <xf numFmtId="166" fontId="81" fillId="23" borderId="0" xfId="166" applyNumberFormat="1" applyFont="1" applyFill="1" applyBorder="1" applyAlignment="1">
      <alignment horizontal="left" indent="1"/>
    </xf>
    <xf numFmtId="0" fontId="126" fillId="23" borderId="0" xfId="166" applyFill="1" applyAlignment="1">
      <alignment horizontal="right"/>
    </xf>
    <xf numFmtId="37" fontId="126" fillId="23" borderId="0" xfId="166" applyNumberFormat="1" applyFill="1" applyAlignment="1">
      <alignment horizontal="right"/>
    </xf>
    <xf numFmtId="166" fontId="81" fillId="23" borderId="0" xfId="166" applyNumberFormat="1" applyFont="1" applyFill="1" applyAlignment="1">
      <alignment horizontal="right"/>
    </xf>
    <xf numFmtId="37" fontId="78" fillId="23" borderId="0" xfId="166" applyNumberFormat="1" applyFont="1" applyFill="1" applyBorder="1" applyAlignment="1">
      <alignment horizontal="right"/>
    </xf>
    <xf numFmtId="0" fontId="88" fillId="25" borderId="32" xfId="166" applyFont="1" applyFill="1" applyBorder="1" applyAlignment="1">
      <alignment horizontal="left"/>
    </xf>
    <xf numFmtId="0" fontId="88" fillId="25" borderId="35" xfId="166" applyFont="1" applyFill="1" applyBorder="1" applyAlignment="1">
      <alignment horizontal="center"/>
    </xf>
    <xf numFmtId="0" fontId="88" fillId="25" borderId="10" xfId="166" applyFont="1" applyFill="1" applyBorder="1" applyAlignment="1">
      <alignment horizontal="center"/>
    </xf>
    <xf numFmtId="0" fontId="88" fillId="25" borderId="36" xfId="166" applyFont="1" applyFill="1" applyBorder="1" applyAlignment="1">
      <alignment horizontal="center"/>
    </xf>
    <xf numFmtId="0" fontId="88" fillId="23" borderId="0" xfId="166" applyFont="1" applyFill="1" applyAlignment="1">
      <alignment horizontal="center"/>
    </xf>
    <xf numFmtId="0" fontId="88" fillId="23" borderId="0" xfId="166" applyFont="1" applyFill="1" applyBorder="1" applyAlignment="1">
      <alignment horizontal="left"/>
    </xf>
    <xf numFmtId="37" fontId="79" fillId="23" borderId="33" xfId="166" applyNumberFormat="1" applyFont="1" applyFill="1" applyBorder="1" applyAlignment="1">
      <alignment horizontal="right"/>
    </xf>
    <xf numFmtId="37" fontId="126" fillId="23" borderId="0" xfId="166" applyNumberFormat="1" applyFill="1" applyAlignment="1">
      <alignment horizontal="left" indent="1"/>
    </xf>
    <xf numFmtId="37" fontId="81" fillId="23" borderId="0" xfId="166" applyNumberFormat="1" applyFont="1" applyFill="1" applyBorder="1" applyAlignment="1">
      <alignment horizontal="left" indent="1"/>
    </xf>
    <xf numFmtId="166" fontId="86" fillId="23" borderId="0" xfId="166" applyNumberFormat="1" applyFont="1" applyFill="1" applyBorder="1"/>
    <xf numFmtId="37" fontId="87" fillId="23" borderId="0" xfId="166" applyNumberFormat="1" applyFont="1" applyFill="1" applyBorder="1" applyAlignment="1">
      <alignment horizontal="left" indent="1"/>
    </xf>
    <xf numFmtId="37" fontId="81" fillId="23" borderId="0" xfId="166" applyNumberFormat="1" applyFont="1" applyFill="1"/>
    <xf numFmtId="37" fontId="87" fillId="23" borderId="0" xfId="166" applyNumberFormat="1" applyFont="1" applyFill="1" applyBorder="1"/>
    <xf numFmtId="37" fontId="87" fillId="23" borderId="0" xfId="166" applyNumberFormat="1" applyFont="1" applyFill="1"/>
    <xf numFmtId="37" fontId="86" fillId="23" borderId="0" xfId="166" applyNumberFormat="1" applyFont="1" applyFill="1"/>
    <xf numFmtId="37" fontId="90" fillId="17" borderId="0" xfId="166" applyNumberFormat="1" applyFont="1" applyFill="1"/>
    <xf numFmtId="166" fontId="90" fillId="17" borderId="0" xfId="166" applyNumberFormat="1" applyFont="1" applyFill="1"/>
    <xf numFmtId="37" fontId="82" fillId="17" borderId="0" xfId="166" applyNumberFormat="1" applyFont="1" applyFill="1"/>
    <xf numFmtId="7" fontId="87" fillId="23" borderId="0" xfId="166" applyNumberFormat="1" applyFont="1" applyFill="1" applyBorder="1" applyAlignment="1">
      <alignment horizontal="left" indent="1"/>
    </xf>
    <xf numFmtId="7" fontId="90" fillId="17" borderId="0" xfId="166" applyNumberFormat="1" applyFont="1" applyFill="1"/>
    <xf numFmtId="7" fontId="81" fillId="23" borderId="0" xfId="166" applyNumberFormat="1" applyFont="1" applyFill="1" applyBorder="1" applyAlignment="1"/>
    <xf numFmtId="7" fontId="90" fillId="17" borderId="0" xfId="166" applyNumberFormat="1" applyFont="1" applyFill="1" applyBorder="1" applyAlignment="1"/>
    <xf numFmtId="37" fontId="90" fillId="17" borderId="0" xfId="166" applyNumberFormat="1" applyFont="1" applyFill="1" applyBorder="1" applyAlignment="1">
      <alignment horizontal="right" indent="1"/>
    </xf>
    <xf numFmtId="37" fontId="90" fillId="17" borderId="0" xfId="166" applyNumberFormat="1" applyFont="1" applyFill="1" applyBorder="1" applyAlignment="1"/>
    <xf numFmtId="9" fontId="90" fillId="17" borderId="0" xfId="166" applyNumberFormat="1" applyFont="1" applyFill="1"/>
    <xf numFmtId="5" fontId="90" fillId="17" borderId="0" xfId="166" applyNumberFormat="1" applyFont="1" applyFill="1"/>
    <xf numFmtId="37" fontId="82" fillId="17" borderId="0" xfId="166" applyNumberFormat="1" applyFont="1" applyFill="1" applyBorder="1"/>
    <xf numFmtId="7" fontId="85" fillId="23" borderId="0" xfId="166" applyNumberFormat="1" applyFont="1" applyFill="1" applyBorder="1"/>
    <xf numFmtId="10" fontId="87" fillId="23" borderId="0" xfId="166" applyNumberFormat="1" applyFont="1" applyFill="1" applyBorder="1"/>
    <xf numFmtId="10" fontId="126" fillId="23" borderId="0" xfId="166" applyNumberFormat="1" applyFill="1" applyBorder="1"/>
    <xf numFmtId="10" fontId="126" fillId="23" borderId="0" xfId="166" applyNumberFormat="1" applyFill="1"/>
    <xf numFmtId="37" fontId="81" fillId="23" borderId="0" xfId="166" applyNumberFormat="1" applyFont="1" applyFill="1" applyBorder="1"/>
    <xf numFmtId="7" fontId="81" fillId="23" borderId="0" xfId="166" applyNumberFormat="1" applyFont="1" applyFill="1" applyBorder="1"/>
    <xf numFmtId="7" fontId="81" fillId="23" borderId="0" xfId="166" applyNumberFormat="1" applyFont="1" applyFill="1"/>
    <xf numFmtId="166" fontId="90" fillId="17" borderId="0" xfId="166" applyNumberFormat="1" applyFont="1" applyFill="1" applyAlignment="1">
      <alignment horizontal="right"/>
    </xf>
    <xf numFmtId="167" fontId="79" fillId="23" borderId="0" xfId="166" applyNumberFormat="1" applyFont="1" applyFill="1"/>
    <xf numFmtId="171" fontId="126" fillId="23" borderId="0" xfId="166" applyNumberFormat="1" applyFill="1"/>
    <xf numFmtId="171" fontId="82" fillId="17" borderId="0" xfId="166" applyNumberFormat="1" applyFont="1" applyFill="1"/>
    <xf numFmtId="0" fontId="91" fillId="23" borderId="0" xfId="166" applyFont="1" applyFill="1"/>
    <xf numFmtId="0" fontId="91" fillId="23" borderId="0" xfId="166" applyFont="1" applyFill="1" applyAlignment="1">
      <alignment horizontal="right"/>
    </xf>
    <xf numFmtId="0" fontId="84" fillId="23" borderId="0" xfId="166" applyFont="1" applyFill="1"/>
    <xf numFmtId="0" fontId="126" fillId="0" borderId="0" xfId="166" applyFill="1"/>
    <xf numFmtId="37" fontId="126" fillId="0" borderId="0" xfId="166" applyNumberFormat="1" applyFill="1"/>
    <xf numFmtId="166" fontId="78" fillId="0" borderId="0" xfId="179" applyNumberFormat="1" applyFont="1" applyFill="1"/>
    <xf numFmtId="0" fontId="78" fillId="0" borderId="0" xfId="166" applyFont="1" applyFill="1"/>
    <xf numFmtId="37" fontId="78" fillId="0" borderId="0" xfId="166" applyNumberFormat="1" applyFont="1" applyFill="1"/>
    <xf numFmtId="0" fontId="79" fillId="0" borderId="0" xfId="166" applyFont="1" applyFill="1"/>
    <xf numFmtId="0" fontId="88" fillId="0" borderId="37" xfId="166" applyFont="1" applyFill="1" applyBorder="1" applyAlignment="1">
      <alignment horizontal="left"/>
    </xf>
    <xf numFmtId="0" fontId="88" fillId="0" borderId="10" xfId="166" applyFont="1" applyFill="1" applyBorder="1" applyAlignment="1">
      <alignment horizontal="center"/>
    </xf>
    <xf numFmtId="37" fontId="81" fillId="0" borderId="0" xfId="166" applyNumberFormat="1" applyFont="1" applyFill="1" applyBorder="1" applyAlignment="1">
      <alignment horizontal="left" indent="1"/>
    </xf>
    <xf numFmtId="166" fontId="81" fillId="0" borderId="0" xfId="166" applyNumberFormat="1" applyFont="1" applyFill="1" applyAlignment="1"/>
    <xf numFmtId="166" fontId="81" fillId="0" borderId="0" xfId="166" applyNumberFormat="1" applyFont="1" applyFill="1" applyAlignment="1">
      <alignment horizontal="left" indent="1"/>
    </xf>
    <xf numFmtId="166" fontId="81" fillId="0" borderId="0" xfId="166" applyNumberFormat="1" applyFont="1" applyFill="1" applyBorder="1" applyAlignment="1">
      <alignment horizontal="left" indent="1"/>
    </xf>
    <xf numFmtId="37" fontId="79" fillId="0" borderId="0" xfId="166" applyNumberFormat="1" applyFont="1" applyFill="1" applyBorder="1"/>
    <xf numFmtId="166" fontId="81" fillId="0" borderId="0" xfId="166" applyNumberFormat="1" applyFont="1" applyFill="1"/>
    <xf numFmtId="7" fontId="81" fillId="0" borderId="0" xfId="166" applyNumberFormat="1" applyFont="1" applyFill="1" applyBorder="1" applyAlignment="1">
      <alignment horizontal="left" indent="1"/>
    </xf>
    <xf numFmtId="7" fontId="85" fillId="0" borderId="0" xfId="166" applyNumberFormat="1" applyFont="1" applyFill="1"/>
    <xf numFmtId="0" fontId="88" fillId="0" borderId="0" xfId="166" applyFont="1" applyFill="1" applyAlignment="1">
      <alignment horizontal="center"/>
    </xf>
    <xf numFmtId="37" fontId="79" fillId="0" borderId="0" xfId="166" applyNumberFormat="1" applyFont="1" applyFill="1"/>
    <xf numFmtId="7" fontId="79" fillId="0" borderId="0" xfId="166" applyNumberFormat="1" applyFont="1" applyFill="1"/>
    <xf numFmtId="37" fontId="82" fillId="0" borderId="0" xfId="166" applyNumberFormat="1" applyFont="1" applyFill="1"/>
    <xf numFmtId="37" fontId="126" fillId="0" borderId="6" xfId="166" applyNumberFormat="1" applyFill="1" applyBorder="1"/>
    <xf numFmtId="37" fontId="84" fillId="0" borderId="6" xfId="166" applyNumberFormat="1" applyFont="1" applyFill="1" applyBorder="1"/>
    <xf numFmtId="37" fontId="80" fillId="0" borderId="6" xfId="166" applyNumberFormat="1" applyFont="1" applyFill="1" applyBorder="1"/>
    <xf numFmtId="37" fontId="83" fillId="0" borderId="6" xfId="166" applyNumberFormat="1" applyFont="1" applyFill="1" applyBorder="1"/>
    <xf numFmtId="166" fontId="81" fillId="0" borderId="0" xfId="166" applyNumberFormat="1" applyFont="1" applyFill="1" applyAlignment="1">
      <alignment horizontal="right"/>
    </xf>
    <xf numFmtId="37" fontId="83" fillId="0" borderId="0" xfId="166" applyNumberFormat="1" applyFont="1" applyFill="1"/>
    <xf numFmtId="37" fontId="80" fillId="0" borderId="0" xfId="166" applyNumberFormat="1" applyFont="1" applyFill="1"/>
    <xf numFmtId="37" fontId="84" fillId="0" borderId="0" xfId="166" applyNumberFormat="1" applyFont="1" applyFill="1"/>
    <xf numFmtId="166" fontId="86" fillId="0" borderId="0" xfId="166" applyNumberFormat="1" applyFont="1" applyFill="1"/>
    <xf numFmtId="7" fontId="82" fillId="0" borderId="0" xfId="166" applyNumberFormat="1" applyFont="1" applyFill="1" applyBorder="1"/>
    <xf numFmtId="7" fontId="82" fillId="0" borderId="0" xfId="166" applyNumberFormat="1" applyFont="1" applyFill="1"/>
    <xf numFmtId="0" fontId="126" fillId="0" borderId="0" xfId="166" applyFill="1" applyBorder="1"/>
    <xf numFmtId="0" fontId="80" fillId="0" borderId="0" xfId="166" applyFont="1" applyFill="1"/>
    <xf numFmtId="0" fontId="81" fillId="0" borderId="0" xfId="166" applyFont="1" applyFill="1"/>
    <xf numFmtId="171" fontId="126" fillId="0" borderId="0" xfId="166" applyNumberFormat="1" applyFill="1"/>
    <xf numFmtId="167" fontId="79" fillId="0" borderId="0" xfId="166" applyNumberFormat="1" applyFont="1" applyFill="1"/>
    <xf numFmtId="166" fontId="87" fillId="0" borderId="0" xfId="166" applyNumberFormat="1" applyFont="1" applyFill="1"/>
    <xf numFmtId="0" fontId="91" fillId="0" borderId="0" xfId="166" applyFont="1" applyFill="1"/>
    <xf numFmtId="10" fontId="126" fillId="0" borderId="0" xfId="166" applyNumberFormat="1" applyFill="1"/>
    <xf numFmtId="37" fontId="126" fillId="0" borderId="0" xfId="166" applyNumberFormat="1" applyFill="1" applyBorder="1"/>
    <xf numFmtId="10" fontId="81" fillId="0" borderId="0" xfId="166" applyNumberFormat="1" applyFont="1" applyFill="1" applyBorder="1" applyAlignment="1">
      <alignment horizontal="left" indent="1"/>
    </xf>
    <xf numFmtId="0" fontId="88" fillId="0" borderId="0" xfId="166" applyFont="1" applyFill="1" applyBorder="1" applyAlignment="1">
      <alignment horizontal="left"/>
    </xf>
    <xf numFmtId="37" fontId="79" fillId="0" borderId="0" xfId="166" applyNumberFormat="1" applyFont="1" applyFill="1" applyAlignment="1">
      <alignment horizontal="left" indent="1"/>
    </xf>
    <xf numFmtId="37" fontId="81" fillId="0" borderId="0" xfId="166" applyNumberFormat="1" applyFont="1" applyFill="1"/>
    <xf numFmtId="171" fontId="126" fillId="0" borderId="0" xfId="166" applyNumberFormat="1" applyFill="1" applyBorder="1"/>
    <xf numFmtId="0" fontId="81" fillId="0" borderId="0" xfId="166" applyFont="1" applyFill="1" applyAlignment="1">
      <alignment horizontal="left" indent="1"/>
    </xf>
    <xf numFmtId="167" fontId="79" fillId="0" borderId="0" xfId="166" applyNumberFormat="1" applyFont="1" applyFill="1" applyBorder="1"/>
    <xf numFmtId="166" fontId="87" fillId="0" borderId="0" xfId="166" applyNumberFormat="1" applyFont="1" applyFill="1" applyBorder="1" applyAlignment="1">
      <alignment horizontal="left" indent="1"/>
    </xf>
    <xf numFmtId="166" fontId="87" fillId="0" borderId="0" xfId="166" applyNumberFormat="1" applyFont="1" applyFill="1" applyBorder="1"/>
    <xf numFmtId="7" fontId="126" fillId="0" borderId="0" xfId="166" applyNumberFormat="1" applyFill="1"/>
    <xf numFmtId="37" fontId="126" fillId="0" borderId="0" xfId="166" applyNumberFormat="1" applyFill="1" applyAlignment="1">
      <alignment horizontal="left" indent="1"/>
    </xf>
    <xf numFmtId="0" fontId="88" fillId="0" borderId="0" xfId="166" applyFont="1" applyFill="1" applyBorder="1" applyAlignment="1">
      <alignment horizontal="center"/>
    </xf>
    <xf numFmtId="169" fontId="126" fillId="0" borderId="0" xfId="166" applyNumberFormat="1" applyFill="1"/>
    <xf numFmtId="37" fontId="87" fillId="0" borderId="0" xfId="166" applyNumberFormat="1" applyFont="1" applyFill="1"/>
    <xf numFmtId="10" fontId="81" fillId="0" borderId="0" xfId="166" applyNumberFormat="1" applyFont="1" applyFill="1"/>
    <xf numFmtId="7" fontId="87" fillId="0" borderId="0" xfId="166" applyNumberFormat="1" applyFont="1" applyFill="1" applyAlignment="1"/>
    <xf numFmtId="9" fontId="81" fillId="0" borderId="0" xfId="166" applyNumberFormat="1" applyFont="1" applyFill="1"/>
    <xf numFmtId="5" fontId="81" fillId="0" borderId="0" xfId="166" applyNumberFormat="1" applyFont="1" applyFill="1"/>
    <xf numFmtId="39" fontId="126" fillId="0" borderId="0" xfId="166" applyNumberFormat="1" applyFill="1"/>
    <xf numFmtId="9" fontId="78" fillId="0" borderId="0" xfId="179" applyFont="1" applyFill="1"/>
    <xf numFmtId="37" fontId="126" fillId="0" borderId="0" xfId="166" applyNumberFormat="1" applyFill="1" applyAlignment="1">
      <alignment horizontal="right"/>
    </xf>
    <xf numFmtId="37" fontId="79" fillId="0" borderId="0" xfId="166" applyNumberFormat="1" applyFont="1" applyFill="1" applyBorder="1" applyAlignment="1">
      <alignment horizontal="left" indent="1"/>
    </xf>
    <xf numFmtId="166" fontId="90" fillId="0" borderId="0" xfId="166" applyNumberFormat="1" applyFont="1" applyFill="1" applyAlignment="1"/>
    <xf numFmtId="37" fontId="87" fillId="0" borderId="0" xfId="166" applyNumberFormat="1" applyFont="1" applyFill="1" applyBorder="1" applyAlignment="1">
      <alignment horizontal="left" indent="1"/>
    </xf>
    <xf numFmtId="37" fontId="90" fillId="0" borderId="0" xfId="166" applyNumberFormat="1" applyFont="1" applyFill="1"/>
    <xf numFmtId="0" fontId="126" fillId="0" borderId="0" xfId="166" applyFill="1" applyAlignment="1">
      <alignment horizontal="right"/>
    </xf>
    <xf numFmtId="7" fontId="79" fillId="0" borderId="0" xfId="166" applyNumberFormat="1" applyFont="1" applyFill="1" applyBorder="1"/>
    <xf numFmtId="166" fontId="87" fillId="0" borderId="0" xfId="166" applyNumberFormat="1" applyFont="1" applyFill="1" applyBorder="1" applyAlignment="1"/>
    <xf numFmtId="7" fontId="81" fillId="0" borderId="0" xfId="166" applyNumberFormat="1" applyFont="1" applyFill="1" applyBorder="1" applyAlignment="1"/>
    <xf numFmtId="7" fontId="87" fillId="0" borderId="0" xfId="166" applyNumberFormat="1" applyFont="1" applyFill="1" applyBorder="1" applyAlignment="1"/>
    <xf numFmtId="7" fontId="90" fillId="0" borderId="0" xfId="166" applyNumberFormat="1" applyFont="1" applyFill="1" applyAlignment="1"/>
    <xf numFmtId="37" fontId="79" fillId="0" borderId="0" xfId="166" applyNumberFormat="1" applyFont="1" applyFill="1" applyAlignment="1">
      <alignment horizontal="right"/>
    </xf>
    <xf numFmtId="37" fontId="78" fillId="0" borderId="0" xfId="166" applyNumberFormat="1" applyFont="1" applyFill="1" applyBorder="1" applyAlignment="1">
      <alignment horizontal="left" indent="1"/>
    </xf>
    <xf numFmtId="37" fontId="78" fillId="0" borderId="0" xfId="166" applyNumberFormat="1" applyFont="1" applyFill="1" applyBorder="1"/>
    <xf numFmtId="37" fontId="87" fillId="0" borderId="0" xfId="166" applyNumberFormat="1" applyFont="1" applyFill="1" applyBorder="1" applyAlignment="1"/>
    <xf numFmtId="10" fontId="81" fillId="0" borderId="0" xfId="166" applyNumberFormat="1" applyFont="1" applyFill="1" applyBorder="1" applyAlignment="1"/>
    <xf numFmtId="37" fontId="87" fillId="0" borderId="0" xfId="166" applyNumberFormat="1" applyFont="1" applyFill="1" applyBorder="1"/>
    <xf numFmtId="37" fontId="85" fillId="0" borderId="0" xfId="166" applyNumberFormat="1" applyFont="1" applyFill="1" applyBorder="1"/>
    <xf numFmtId="10" fontId="86" fillId="0" borderId="0" xfId="166" applyNumberFormat="1" applyFont="1" applyFill="1" applyBorder="1"/>
    <xf numFmtId="10" fontId="87" fillId="0" borderId="0" xfId="166" applyNumberFormat="1" applyFont="1" applyFill="1" applyBorder="1"/>
    <xf numFmtId="166" fontId="81" fillId="0" borderId="0" xfId="166" applyNumberFormat="1" applyFont="1" applyFill="1" applyBorder="1" applyAlignment="1"/>
    <xf numFmtId="7" fontId="87" fillId="0" borderId="0" xfId="166" applyNumberFormat="1" applyFont="1" applyFill="1" applyBorder="1" applyAlignment="1">
      <alignment horizontal="left" indent="1"/>
    </xf>
    <xf numFmtId="0" fontId="78" fillId="0" borderId="0" xfId="166" applyFont="1" applyFill="1" applyBorder="1"/>
    <xf numFmtId="0" fontId="126" fillId="0" borderId="37" xfId="166" applyFill="1" applyBorder="1"/>
    <xf numFmtId="166" fontId="81" fillId="0" borderId="0" xfId="166" applyNumberFormat="1" applyFont="1" applyFill="1" applyBorder="1"/>
    <xf numFmtId="9" fontId="81" fillId="0" borderId="0" xfId="166" applyNumberFormat="1" applyFont="1" applyFill="1" applyBorder="1"/>
    <xf numFmtId="5" fontId="81" fillId="0" borderId="0" xfId="166" applyNumberFormat="1" applyFont="1" applyFill="1" applyBorder="1"/>
    <xf numFmtId="7" fontId="85" fillId="0" borderId="0" xfId="166" applyNumberFormat="1" applyFont="1" applyFill="1" applyBorder="1"/>
    <xf numFmtId="166" fontId="86" fillId="0" borderId="0" xfId="166" applyNumberFormat="1" applyFont="1" applyFill="1" applyBorder="1"/>
    <xf numFmtId="9" fontId="81" fillId="0" borderId="0" xfId="166" applyNumberFormat="1" applyFont="1" applyFill="1" applyAlignment="1">
      <alignment horizontal="left" indent="1"/>
    </xf>
    <xf numFmtId="9" fontId="87" fillId="0" borderId="0" xfId="166" applyNumberFormat="1" applyFont="1" applyFill="1" applyBorder="1"/>
    <xf numFmtId="9" fontId="86" fillId="0" borderId="0" xfId="166" applyNumberFormat="1" applyFont="1" applyFill="1" applyBorder="1"/>
    <xf numFmtId="9" fontId="86" fillId="0" borderId="0" xfId="166" applyNumberFormat="1" applyFont="1" applyFill="1"/>
    <xf numFmtId="37" fontId="80" fillId="0" borderId="0" xfId="166" applyNumberFormat="1" applyFont="1" applyFill="1" applyBorder="1"/>
    <xf numFmtId="5" fontId="81" fillId="0" borderId="0" xfId="166" applyNumberFormat="1" applyFont="1" applyFill="1" applyAlignment="1">
      <alignment horizontal="left" indent="1"/>
    </xf>
    <xf numFmtId="5" fontId="86" fillId="0" borderId="0" xfId="166" applyNumberFormat="1" applyFont="1" applyFill="1"/>
    <xf numFmtId="7" fontId="81" fillId="0" borderId="0" xfId="166" applyNumberFormat="1" applyFont="1" applyFill="1"/>
    <xf numFmtId="7" fontId="81" fillId="0" borderId="0" xfId="166" applyNumberFormat="1" applyFont="1" applyFill="1" applyBorder="1"/>
    <xf numFmtId="37" fontId="81" fillId="0" borderId="0" xfId="166" applyNumberFormat="1" applyFont="1" applyFill="1" applyBorder="1"/>
    <xf numFmtId="10" fontId="126" fillId="0" borderId="0" xfId="166" applyNumberFormat="1" applyFill="1" applyBorder="1"/>
    <xf numFmtId="37" fontId="86" fillId="0" borderId="0" xfId="166" applyNumberFormat="1" applyFont="1" applyFill="1"/>
    <xf numFmtId="37" fontId="90" fillId="0" borderId="0" xfId="166" applyNumberFormat="1" applyFont="1" applyFill="1" applyBorder="1"/>
    <xf numFmtId="37" fontId="92" fillId="0" borderId="0" xfId="166" applyNumberFormat="1" applyFont="1" applyFill="1"/>
    <xf numFmtId="37" fontId="85" fillId="0" borderId="0" xfId="166" applyNumberFormat="1" applyFont="1" applyFill="1" applyAlignment="1">
      <alignment horizontal="right"/>
    </xf>
    <xf numFmtId="37" fontId="85" fillId="0" borderId="0" xfId="166" applyNumberFormat="1" applyFont="1" applyFill="1"/>
    <xf numFmtId="37" fontId="79" fillId="0" borderId="0" xfId="166" applyNumberFormat="1" applyFont="1" applyFill="1" applyAlignment="1">
      <alignment horizontal="right" indent="1"/>
    </xf>
    <xf numFmtId="0" fontId="78" fillId="0" borderId="0" xfId="166" applyFont="1" applyFill="1" applyAlignment="1">
      <alignment horizontal="right"/>
    </xf>
    <xf numFmtId="0" fontId="81" fillId="0" borderId="0" xfId="166" applyFont="1" applyFill="1" applyBorder="1"/>
    <xf numFmtId="0" fontId="81" fillId="0" borderId="0" xfId="166" applyFont="1" applyFill="1" applyAlignment="1">
      <alignment horizontal="right"/>
    </xf>
    <xf numFmtId="37" fontId="81" fillId="0" borderId="0" xfId="166" applyNumberFormat="1" applyFont="1" applyFill="1" applyAlignment="1">
      <alignment horizontal="right"/>
    </xf>
    <xf numFmtId="37" fontId="89" fillId="0" borderId="0" xfId="166" applyNumberFormat="1" applyFont="1" applyFill="1"/>
    <xf numFmtId="166" fontId="81" fillId="0" borderId="0" xfId="166" applyNumberFormat="1" applyFont="1" applyFill="1" applyAlignment="1">
      <alignment horizontal="right" indent="1"/>
    </xf>
    <xf numFmtId="37" fontId="79" fillId="0" borderId="33" xfId="166" applyNumberFormat="1" applyFont="1" applyFill="1" applyBorder="1"/>
    <xf numFmtId="37" fontId="79" fillId="0" borderId="33" xfId="166" applyNumberFormat="1" applyFont="1" applyFill="1" applyBorder="1" applyAlignment="1">
      <alignment horizontal="right"/>
    </xf>
    <xf numFmtId="37" fontId="82" fillId="0" borderId="33" xfId="166" applyNumberFormat="1" applyFont="1" applyFill="1" applyBorder="1"/>
    <xf numFmtId="37" fontId="79" fillId="0" borderId="0" xfId="166" applyNumberFormat="1" applyFont="1" applyFill="1" applyBorder="1" applyAlignment="1">
      <alignment horizontal="right"/>
    </xf>
    <xf numFmtId="37" fontId="82" fillId="0" borderId="0" xfId="166" applyNumberFormat="1" applyFont="1" applyFill="1" applyBorder="1"/>
    <xf numFmtId="37" fontId="91" fillId="0" borderId="0" xfId="166" applyNumberFormat="1" applyFont="1" applyFill="1"/>
    <xf numFmtId="0" fontId="79" fillId="0" borderId="0" xfId="166" applyFont="1" applyFill="1" applyBorder="1" applyAlignment="1">
      <alignment horizontal="left"/>
    </xf>
    <xf numFmtId="37" fontId="85" fillId="0" borderId="33" xfId="166" applyNumberFormat="1" applyFont="1" applyFill="1" applyBorder="1"/>
    <xf numFmtId="166" fontId="126" fillId="0" borderId="0" xfId="166" applyNumberFormat="1" applyFill="1" applyBorder="1"/>
    <xf numFmtId="7" fontId="78" fillId="0" borderId="0" xfId="166" applyNumberFormat="1" applyFont="1" applyFill="1" applyBorder="1"/>
    <xf numFmtId="37" fontId="78" fillId="0" borderId="0" xfId="166" applyNumberFormat="1" applyFont="1" applyFill="1" applyBorder="1" applyAlignment="1">
      <alignment horizontal="right"/>
    </xf>
    <xf numFmtId="37" fontId="84" fillId="0" borderId="0" xfId="166" applyNumberFormat="1" applyFont="1" applyFill="1" applyBorder="1"/>
    <xf numFmtId="0" fontId="0" fillId="0" borderId="0" xfId="0" applyFill="1"/>
    <xf numFmtId="193" fontId="0" fillId="0" borderId="0" xfId="0" applyNumberFormat="1"/>
    <xf numFmtId="7" fontId="121" fillId="0" borderId="0" xfId="0" applyNumberFormat="1" applyFont="1"/>
    <xf numFmtId="193" fontId="121" fillId="0" borderId="0" xfId="0" applyNumberFormat="1" applyFont="1"/>
    <xf numFmtId="0" fontId="18" fillId="0" borderId="0" xfId="0" applyFont="1" applyFill="1" applyAlignment="1">
      <alignment horizontal="center"/>
    </xf>
    <xf numFmtId="0" fontId="3" fillId="0" borderId="0" xfId="0" applyFont="1" applyFill="1"/>
    <xf numFmtId="0" fontId="18" fillId="0" borderId="1" xfId="0" applyFont="1" applyFill="1" applyBorder="1" applyAlignment="1">
      <alignment horizontal="center"/>
    </xf>
    <xf numFmtId="0" fontId="18" fillId="0" borderId="0" xfId="0" applyFont="1" applyFill="1" applyBorder="1" applyAlignment="1">
      <alignment horizontal="center"/>
    </xf>
    <xf numFmtId="0" fontId="18" fillId="0" borderId="21" xfId="0" applyFont="1" applyFill="1" applyBorder="1" applyAlignment="1">
      <alignment horizontal="center"/>
    </xf>
    <xf numFmtId="7" fontId="121" fillId="0" borderId="0" xfId="0" applyNumberFormat="1" applyFont="1" applyBorder="1"/>
    <xf numFmtId="37" fontId="0" fillId="0" borderId="0" xfId="0" applyNumberFormat="1" applyBorder="1"/>
    <xf numFmtId="37" fontId="121" fillId="0" borderId="0" xfId="0" applyNumberFormat="1" applyFont="1" applyBorder="1"/>
    <xf numFmtId="37" fontId="122" fillId="0" borderId="0" xfId="0" applyNumberFormat="1" applyFont="1" applyBorder="1"/>
    <xf numFmtId="193" fontId="0" fillId="0" borderId="0" xfId="0" applyNumberFormat="1" applyBorder="1"/>
    <xf numFmtId="193" fontId="121" fillId="0" borderId="0" xfId="0" applyNumberFormat="1" applyFont="1" applyBorder="1"/>
    <xf numFmtId="193" fontId="0" fillId="0" borderId="21" xfId="0" applyNumberFormat="1" applyBorder="1"/>
    <xf numFmtId="0" fontId="0" fillId="0" borderId="29" xfId="0" applyBorder="1"/>
    <xf numFmtId="37" fontId="121" fillId="0" borderId="29" xfId="0" applyNumberFormat="1" applyFont="1" applyBorder="1"/>
    <xf numFmtId="0" fontId="0" fillId="0" borderId="0" xfId="0" applyAlignment="1">
      <alignment horizontal="center"/>
    </xf>
    <xf numFmtId="7" fontId="121" fillId="0" borderId="21" xfId="0" applyNumberFormat="1" applyFont="1" applyBorder="1"/>
    <xf numFmtId="193" fontId="121" fillId="0" borderId="21" xfId="0" applyNumberFormat="1" applyFont="1" applyBorder="1"/>
    <xf numFmtId="37" fontId="121" fillId="0" borderId="21" xfId="0" applyNumberFormat="1" applyFont="1" applyBorder="1"/>
    <xf numFmtId="0" fontId="18" fillId="0" borderId="25" xfId="0" applyFont="1" applyFill="1" applyBorder="1" applyAlignment="1">
      <alignment horizontal="center"/>
    </xf>
    <xf numFmtId="7" fontId="0" fillId="0" borderId="21" xfId="0" applyNumberFormat="1" applyBorder="1" applyAlignment="1">
      <alignment horizontal="right"/>
    </xf>
    <xf numFmtId="194" fontId="0" fillId="0" borderId="21" xfId="0" applyNumberFormat="1" applyBorder="1" applyAlignment="1">
      <alignment horizontal="right"/>
    </xf>
    <xf numFmtId="37" fontId="0" fillId="0" borderId="21" xfId="0" applyNumberFormat="1" applyBorder="1" applyAlignment="1">
      <alignment horizontal="right"/>
    </xf>
    <xf numFmtId="37" fontId="0" fillId="0" borderId="0" xfId="0" applyNumberFormat="1" applyFill="1"/>
    <xf numFmtId="37" fontId="72" fillId="0" borderId="0" xfId="166" applyNumberFormat="1" applyFont="1" applyFill="1"/>
    <xf numFmtId="166" fontId="81" fillId="0" borderId="0" xfId="166" applyNumberFormat="1" applyFont="1" applyFill="1" applyAlignment="1">
      <alignment horizontal="left" indent="2"/>
    </xf>
    <xf numFmtId="37" fontId="124" fillId="0" borderId="0" xfId="166" applyNumberFormat="1" applyFont="1" applyFill="1"/>
    <xf numFmtId="37" fontId="125" fillId="0" borderId="0" xfId="166" applyNumberFormat="1" applyFont="1" applyFill="1"/>
    <xf numFmtId="0" fontId="18" fillId="0" borderId="7" xfId="0" applyFont="1" applyFill="1" applyBorder="1" applyAlignment="1">
      <alignment horizontal="center"/>
    </xf>
    <xf numFmtId="0" fontId="18" fillId="0" borderId="24" xfId="0" applyFont="1" applyFill="1" applyBorder="1" applyAlignment="1">
      <alignment horizontal="center"/>
    </xf>
    <xf numFmtId="0" fontId="18" fillId="0" borderId="26" xfId="0" applyFont="1" applyFill="1" applyBorder="1" applyAlignment="1">
      <alignment horizontal="center"/>
    </xf>
    <xf numFmtId="0" fontId="0" fillId="0" borderId="38" xfId="0" applyBorder="1"/>
    <xf numFmtId="37" fontId="121" fillId="0" borderId="39" xfId="0" applyNumberFormat="1" applyFont="1" applyBorder="1"/>
    <xf numFmtId="37" fontId="122" fillId="0" borderId="29" xfId="0" applyNumberFormat="1" applyFont="1" applyBorder="1"/>
    <xf numFmtId="37" fontId="0" fillId="0" borderId="39" xfId="0" applyNumberFormat="1" applyBorder="1" applyAlignment="1">
      <alignment horizontal="right"/>
    </xf>
    <xf numFmtId="7" fontId="121" fillId="0" borderId="29" xfId="0" applyNumberFormat="1" applyFont="1" applyBorder="1"/>
    <xf numFmtId="7" fontId="121" fillId="0" borderId="39" xfId="0" applyNumberFormat="1" applyFont="1" applyBorder="1"/>
    <xf numFmtId="0" fontId="18" fillId="0" borderId="40" xfId="0" applyFont="1" applyBorder="1" applyAlignment="1">
      <alignment horizontal="center"/>
    </xf>
    <xf numFmtId="193" fontId="121" fillId="0" borderId="22" xfId="0" applyNumberFormat="1" applyFont="1" applyBorder="1"/>
    <xf numFmtId="7" fontId="3" fillId="0" borderId="0" xfId="0" applyNumberFormat="1" applyFont="1"/>
    <xf numFmtId="37" fontId="3" fillId="0" borderId="29" xfId="0" applyNumberFormat="1" applyFont="1" applyBorder="1"/>
    <xf numFmtId="193" fontId="3" fillId="0" borderId="0" xfId="0" applyNumberFormat="1" applyFont="1"/>
    <xf numFmtId="0" fontId="127" fillId="0" borderId="25" xfId="0" applyFont="1" applyFill="1" applyBorder="1" applyAlignment="1">
      <alignment horizontal="center"/>
    </xf>
    <xf numFmtId="0" fontId="127" fillId="0" borderId="21" xfId="0" applyFont="1" applyBorder="1" applyAlignment="1">
      <alignment horizontal="center" vertical="center"/>
    </xf>
    <xf numFmtId="0" fontId="127" fillId="0" borderId="43" xfId="0" applyFont="1" applyBorder="1" applyAlignment="1">
      <alignment horizontal="center" vertical="center"/>
    </xf>
    <xf numFmtId="0" fontId="0" fillId="0" borderId="23" xfId="0" applyBorder="1"/>
    <xf numFmtId="193" fontId="121" fillId="0" borderId="2" xfId="0" applyNumberFormat="1" applyFont="1" applyBorder="1"/>
    <xf numFmtId="193" fontId="0" fillId="0" borderId="2" xfId="0" applyNumberFormat="1" applyBorder="1"/>
    <xf numFmtId="194" fontId="0" fillId="0" borderId="22" xfId="0" applyNumberFormat="1" applyBorder="1" applyAlignment="1">
      <alignment horizontal="right"/>
    </xf>
    <xf numFmtId="7" fontId="128" fillId="0" borderId="0" xfId="0" applyNumberFormat="1" applyFont="1"/>
    <xf numFmtId="37" fontId="128" fillId="0" borderId="29" xfId="0" applyNumberFormat="1" applyFont="1" applyBorder="1"/>
    <xf numFmtId="0" fontId="3" fillId="0" borderId="0" xfId="0" applyFont="1" applyBorder="1"/>
    <xf numFmtId="0" fontId="0" fillId="0" borderId="0" xfId="0"/>
    <xf numFmtId="0" fontId="127" fillId="0" borderId="42" xfId="0" applyFont="1" applyBorder="1" applyAlignment="1">
      <alignment horizontal="center" vertical="center"/>
    </xf>
    <xf numFmtId="7" fontId="0" fillId="0" borderId="43" xfId="0" applyNumberFormat="1" applyBorder="1"/>
    <xf numFmtId="37" fontId="122" fillId="0" borderId="29" xfId="0" applyNumberFormat="1" applyFont="1" applyFill="1" applyBorder="1"/>
    <xf numFmtId="0" fontId="0" fillId="0" borderId="44" xfId="0" applyBorder="1"/>
    <xf numFmtId="10" fontId="128" fillId="0" borderId="41" xfId="0" applyNumberFormat="1" applyFont="1" applyBorder="1"/>
    <xf numFmtId="10" fontId="0" fillId="0" borderId="43" xfId="0" applyNumberFormat="1" applyBorder="1" applyAlignment="1">
      <alignment horizontal="right"/>
    </xf>
    <xf numFmtId="37" fontId="129" fillId="0" borderId="0" xfId="166" applyNumberFormat="1" applyFont="1" applyFill="1"/>
    <xf numFmtId="37" fontId="80" fillId="26" borderId="0" xfId="166" applyNumberFormat="1" applyFont="1" applyFill="1"/>
    <xf numFmtId="37" fontId="130" fillId="0" borderId="0" xfId="166" applyNumberFormat="1" applyFont="1" applyFill="1"/>
    <xf numFmtId="37" fontId="131" fillId="0" borderId="0" xfId="166" applyNumberFormat="1" applyFont="1" applyFill="1"/>
    <xf numFmtId="37" fontId="132" fillId="0" borderId="0" xfId="166" applyNumberFormat="1" applyFont="1" applyFill="1"/>
    <xf numFmtId="0" fontId="120" fillId="27" borderId="1" xfId="0" applyFont="1" applyFill="1" applyBorder="1" applyAlignment="1">
      <alignment horizontal="left"/>
    </xf>
    <xf numFmtId="0" fontId="120" fillId="27" borderId="0" xfId="0" applyFont="1" applyFill="1" applyBorder="1" applyAlignment="1">
      <alignment horizontal="center"/>
    </xf>
    <xf numFmtId="0" fontId="120" fillId="27" borderId="21" xfId="0" applyFont="1" applyFill="1" applyBorder="1" applyAlignment="1">
      <alignment horizontal="center"/>
    </xf>
    <xf numFmtId="0" fontId="120" fillId="27" borderId="25" xfId="0" applyFont="1" applyFill="1" applyBorder="1" applyAlignment="1">
      <alignment horizontal="center"/>
    </xf>
    <xf numFmtId="0" fontId="120" fillId="27" borderId="0" xfId="0" applyFont="1" applyFill="1" applyBorder="1" applyAlignment="1">
      <alignment horizontal="left"/>
    </xf>
    <xf numFmtId="0" fontId="0" fillId="0" borderId="0" xfId="0"/>
    <xf numFmtId="166" fontId="126" fillId="0" borderId="0" xfId="166" applyNumberFormat="1" applyFill="1"/>
    <xf numFmtId="0" fontId="0" fillId="0" borderId="0" xfId="0"/>
    <xf numFmtId="37" fontId="128" fillId="0" borderId="29" xfId="0" applyNumberFormat="1" applyFont="1" applyFill="1" applyBorder="1"/>
    <xf numFmtId="37" fontId="129" fillId="23" borderId="0" xfId="166" applyNumberFormat="1" applyFont="1" applyFill="1"/>
    <xf numFmtId="7" fontId="129" fillId="23" borderId="0" xfId="166" applyNumberFormat="1" applyFont="1" applyFill="1" applyBorder="1"/>
    <xf numFmtId="0" fontId="0" fillId="0" borderId="0" xfId="0"/>
    <xf numFmtId="37" fontId="132" fillId="0" borderId="0" xfId="166" applyNumberFormat="1" applyFont="1" applyFill="1" applyBorder="1"/>
    <xf numFmtId="37" fontId="52" fillId="0" borderId="0" xfId="166" applyNumberFormat="1" applyFont="1" applyFill="1" applyBorder="1" applyAlignment="1">
      <alignment horizontal="left" indent="1"/>
    </xf>
    <xf numFmtId="0" fontId="0" fillId="0" borderId="0" xfId="0"/>
    <xf numFmtId="0" fontId="0" fillId="0" borderId="0" xfId="0"/>
    <xf numFmtId="7" fontId="122" fillId="0" borderId="0" xfId="0" applyNumberFormat="1" applyFont="1" applyFill="1" applyBorder="1"/>
    <xf numFmtId="0" fontId="0" fillId="0" borderId="0" xfId="0"/>
    <xf numFmtId="0" fontId="0" fillId="0" borderId="0" xfId="0"/>
    <xf numFmtId="0" fontId="0" fillId="0" borderId="0" xfId="0"/>
    <xf numFmtId="0" fontId="3" fillId="0" borderId="24" xfId="0" applyFont="1" applyBorder="1"/>
    <xf numFmtId="0" fontId="3" fillId="0" borderId="29" xfId="0" applyFont="1" applyBorder="1"/>
    <xf numFmtId="7" fontId="0" fillId="0" borderId="0" xfId="0" applyNumberFormat="1"/>
    <xf numFmtId="37" fontId="134" fillId="0" borderId="0" xfId="166" applyNumberFormat="1" applyFont="1" applyFill="1"/>
    <xf numFmtId="0" fontId="0" fillId="0" borderId="0" xfId="0"/>
    <xf numFmtId="0" fontId="72" fillId="0" borderId="0" xfId="166" applyFont="1" applyFill="1"/>
    <xf numFmtId="0" fontId="0" fillId="0" borderId="0" xfId="0"/>
    <xf numFmtId="0" fontId="127" fillId="0" borderId="43" xfId="0" applyFont="1" applyBorder="1" applyAlignment="1">
      <alignment horizontal="center" vertical="center"/>
    </xf>
    <xf numFmtId="195" fontId="121" fillId="0" borderId="30" xfId="0" applyNumberFormat="1" applyFont="1" applyBorder="1"/>
    <xf numFmtId="195" fontId="121" fillId="0" borderId="45" xfId="0" applyNumberFormat="1" applyFont="1" applyBorder="1"/>
    <xf numFmtId="0" fontId="0" fillId="0" borderId="0" xfId="0"/>
    <xf numFmtId="193" fontId="121" fillId="0" borderId="30" xfId="0" applyNumberFormat="1" applyFont="1" applyBorder="1"/>
    <xf numFmtId="193" fontId="121" fillId="0" borderId="45" xfId="0" applyNumberFormat="1" applyFont="1" applyBorder="1"/>
    <xf numFmtId="194" fontId="0" fillId="0" borderId="43" xfId="0" applyNumberFormat="1" applyBorder="1" applyAlignment="1">
      <alignment horizontal="right"/>
    </xf>
    <xf numFmtId="194" fontId="0" fillId="0" borderId="46" xfId="0" applyNumberFormat="1" applyBorder="1" applyAlignment="1">
      <alignment horizontal="right"/>
    </xf>
    <xf numFmtId="7" fontId="122" fillId="0" borderId="25" xfId="0" applyNumberFormat="1" applyFont="1" applyBorder="1"/>
    <xf numFmtId="37" fontId="122" fillId="0" borderId="47" xfId="0" applyNumberFormat="1" applyFont="1" applyBorder="1"/>
    <xf numFmtId="193" fontId="0" fillId="0" borderId="25" xfId="0" applyNumberFormat="1" applyBorder="1"/>
    <xf numFmtId="37" fontId="122" fillId="0" borderId="25" xfId="0" applyNumberFormat="1" applyFont="1" applyBorder="1"/>
    <xf numFmtId="166" fontId="128" fillId="0" borderId="42" xfId="0" applyNumberFormat="1" applyFont="1" applyBorder="1"/>
    <xf numFmtId="10" fontId="128" fillId="0" borderId="42" xfId="0" applyNumberFormat="1" applyFont="1" applyBorder="1"/>
    <xf numFmtId="7" fontId="128" fillId="0" borderId="47" xfId="0" applyNumberFormat="1" applyFont="1" applyBorder="1"/>
    <xf numFmtId="37" fontId="3" fillId="0" borderId="47" xfId="0" applyNumberFormat="1" applyFont="1" applyBorder="1"/>
    <xf numFmtId="37" fontId="128" fillId="0" borderId="25" xfId="0" applyNumberFormat="1" applyFont="1" applyBorder="1"/>
    <xf numFmtId="193" fontId="0" fillId="0" borderId="34" xfId="0" applyNumberFormat="1" applyBorder="1"/>
    <xf numFmtId="37" fontId="135" fillId="0" borderId="0" xfId="166" applyNumberFormat="1" applyFont="1" applyFill="1"/>
    <xf numFmtId="166" fontId="128" fillId="0" borderId="41" xfId="0" applyNumberFormat="1" applyFont="1" applyFill="1" applyBorder="1"/>
    <xf numFmtId="1" fontId="12" fillId="23" borderId="0" xfId="0" applyNumberFormat="1" applyFont="1" applyFill="1" applyAlignment="1">
      <alignment horizontal="right"/>
    </xf>
    <xf numFmtId="0" fontId="0" fillId="0" borderId="0" xfId="0"/>
    <xf numFmtId="0" fontId="0" fillId="0" borderId="0" xfId="0"/>
    <xf numFmtId="0" fontId="128" fillId="0" borderId="41" xfId="0" applyFont="1" applyFill="1" applyBorder="1"/>
    <xf numFmtId="193" fontId="0" fillId="0" borderId="0" xfId="0" applyNumberFormat="1" applyFill="1" applyBorder="1"/>
    <xf numFmtId="166" fontId="136" fillId="0" borderId="0" xfId="166" applyNumberFormat="1" applyFont="1" applyFill="1"/>
    <xf numFmtId="0" fontId="137" fillId="0" borderId="0" xfId="166" applyFont="1" applyFill="1" applyAlignment="1">
      <alignment horizontal="center"/>
    </xf>
    <xf numFmtId="0" fontId="3" fillId="0" borderId="1" xfId="0" applyFont="1" applyBorder="1"/>
    <xf numFmtId="37" fontId="72" fillId="0" borderId="33" xfId="166" applyNumberFormat="1" applyFont="1" applyFill="1" applyBorder="1"/>
    <xf numFmtId="166" fontId="52" fillId="0" borderId="0" xfId="166" applyNumberFormat="1" applyFont="1" applyFill="1" applyAlignment="1">
      <alignment horizontal="left" indent="1"/>
    </xf>
    <xf numFmtId="37" fontId="126" fillId="28" borderId="0" xfId="166" applyNumberFormat="1" applyFill="1"/>
    <xf numFmtId="37" fontId="132" fillId="0" borderId="0" xfId="166" applyNumberFormat="1" applyFont="1" applyFill="1" applyAlignment="1">
      <alignment horizontal="right"/>
    </xf>
    <xf numFmtId="166" fontId="138" fillId="0" borderId="0" xfId="166" applyNumberFormat="1" applyFont="1" applyFill="1" applyBorder="1" applyAlignment="1">
      <alignment horizontal="left" indent="1"/>
    </xf>
    <xf numFmtId="0" fontId="132" fillId="0" borderId="0" xfId="166" applyFont="1" applyFill="1" applyBorder="1"/>
    <xf numFmtId="37" fontId="131" fillId="0" borderId="0" xfId="166" applyNumberFormat="1" applyFont="1" applyFill="1" applyAlignment="1">
      <alignment horizontal="right"/>
    </xf>
    <xf numFmtId="37" fontId="129" fillId="17" borderId="0" xfId="166" applyNumberFormat="1" applyFont="1" applyFill="1"/>
    <xf numFmtId="7" fontId="129" fillId="0" borderId="0" xfId="166" applyNumberFormat="1" applyFont="1" applyFill="1" applyAlignment="1">
      <alignment horizontal="right"/>
    </xf>
    <xf numFmtId="7" fontId="131" fillId="0" borderId="0" xfId="166" applyNumberFormat="1" applyFont="1" applyFill="1"/>
    <xf numFmtId="7" fontId="129" fillId="0" borderId="0" xfId="166" applyNumberFormat="1" applyFont="1" applyFill="1"/>
    <xf numFmtId="37" fontId="129" fillId="0" borderId="0" xfId="166" applyNumberFormat="1" applyFont="1" applyFill="1" applyBorder="1"/>
    <xf numFmtId="37" fontId="131" fillId="23" borderId="0" xfId="166" applyNumberFormat="1" applyFont="1" applyFill="1"/>
    <xf numFmtId="37" fontId="131" fillId="0" borderId="0" xfId="166" applyNumberFormat="1" applyFont="1" applyFill="1" applyBorder="1"/>
    <xf numFmtId="10" fontId="138" fillId="0" borderId="0" xfId="166" applyNumberFormat="1" applyFont="1" applyFill="1" applyBorder="1" applyAlignment="1">
      <alignment horizontal="left" indent="1"/>
    </xf>
    <xf numFmtId="37" fontId="129" fillId="0" borderId="0" xfId="166" applyNumberFormat="1" applyFont="1" applyFill="1" applyBorder="1" applyAlignment="1">
      <alignment horizontal="right"/>
    </xf>
    <xf numFmtId="37" fontId="129" fillId="23" borderId="0" xfId="166" applyNumberFormat="1" applyFont="1" applyFill="1" applyBorder="1"/>
    <xf numFmtId="37" fontId="132" fillId="28" borderId="0" xfId="166" applyNumberFormat="1" applyFont="1" applyFill="1"/>
    <xf numFmtId="37" fontId="125" fillId="28" borderId="0" xfId="166" applyNumberFormat="1" applyFont="1" applyFill="1"/>
    <xf numFmtId="0" fontId="126" fillId="28" borderId="0" xfId="166" applyFill="1"/>
    <xf numFmtId="0" fontId="0" fillId="0" borderId="0" xfId="0"/>
    <xf numFmtId="7" fontId="79" fillId="0" borderId="33" xfId="166" applyNumberFormat="1" applyFont="1" applyFill="1" applyBorder="1"/>
    <xf numFmtId="0" fontId="0" fillId="0" borderId="0" xfId="0"/>
    <xf numFmtId="0" fontId="0" fillId="0" borderId="0" xfId="0"/>
    <xf numFmtId="166" fontId="139" fillId="17" borderId="0" xfId="166" applyNumberFormat="1" applyFont="1" applyFill="1" applyAlignment="1">
      <alignment horizontal="right"/>
    </xf>
    <xf numFmtId="166" fontId="139" fillId="17" borderId="0" xfId="166" applyNumberFormat="1" applyFont="1" applyFill="1"/>
    <xf numFmtId="37" fontId="129" fillId="0" borderId="33" xfId="166" applyNumberFormat="1" applyFont="1" applyFill="1" applyBorder="1" applyAlignment="1">
      <alignment horizontal="right"/>
    </xf>
    <xf numFmtId="37" fontId="129" fillId="0" borderId="33" xfId="166" applyNumberFormat="1" applyFont="1" applyFill="1" applyBorder="1"/>
    <xf numFmtId="37" fontId="129" fillId="0" borderId="0" xfId="166" applyNumberFormat="1" applyFont="1" applyFill="1" applyBorder="1" applyAlignment="1">
      <alignment horizontal="left" indent="1"/>
    </xf>
    <xf numFmtId="7" fontId="140" fillId="0" borderId="0" xfId="166" applyNumberFormat="1" applyFont="1" applyFill="1"/>
    <xf numFmtId="37" fontId="140" fillId="17" borderId="0" xfId="166" applyNumberFormat="1" applyFont="1" applyFill="1"/>
    <xf numFmtId="0" fontId="0" fillId="0" borderId="0" xfId="0"/>
    <xf numFmtId="14" fontId="120" fillId="27" borderId="0" xfId="0" applyNumberFormat="1" applyFont="1" applyFill="1" applyBorder="1" applyAlignment="1">
      <alignment horizontal="center"/>
    </xf>
    <xf numFmtId="4" fontId="126" fillId="0" borderId="0" xfId="166" applyNumberFormat="1" applyFill="1"/>
    <xf numFmtId="4" fontId="81" fillId="0" borderId="0" xfId="166" applyNumberFormat="1" applyFont="1" applyFill="1"/>
    <xf numFmtId="4" fontId="79" fillId="0" borderId="0" xfId="166" applyNumberFormat="1" applyFont="1" applyFill="1"/>
    <xf numFmtId="10" fontId="141" fillId="0" borderId="0" xfId="168" applyNumberFormat="1" applyFont="1" applyAlignment="1">
      <alignment horizontal="center"/>
    </xf>
    <xf numFmtId="166" fontId="84" fillId="0" borderId="0" xfId="166" applyNumberFormat="1" applyFont="1" applyFill="1" applyBorder="1" applyAlignment="1">
      <alignment horizontal="left" indent="1"/>
    </xf>
    <xf numFmtId="0" fontId="137" fillId="0" borderId="0" xfId="166" applyFont="1" applyFill="1"/>
    <xf numFmtId="196" fontId="126" fillId="0" borderId="0" xfId="166" applyNumberFormat="1" applyFont="1" applyFill="1"/>
    <xf numFmtId="196" fontId="130" fillId="0" borderId="0" xfId="166" applyNumberFormat="1" applyFont="1" applyFill="1"/>
    <xf numFmtId="0" fontId="126" fillId="0" borderId="0" xfId="166" applyFont="1" applyFill="1"/>
    <xf numFmtId="37" fontId="142" fillId="0" borderId="0" xfId="166" applyNumberFormat="1" applyFont="1" applyFill="1"/>
    <xf numFmtId="0" fontId="143" fillId="0" borderId="0" xfId="166" applyFont="1" applyFill="1"/>
    <xf numFmtId="37" fontId="144" fillId="0" borderId="0" xfId="166" applyNumberFormat="1" applyFont="1" applyFill="1"/>
    <xf numFmtId="37" fontId="121" fillId="0" borderId="31" xfId="0" applyNumberFormat="1" applyFont="1" applyBorder="1"/>
    <xf numFmtId="37" fontId="145" fillId="0" borderId="0" xfId="166" applyNumberFormat="1" applyFont="1" applyFill="1" applyBorder="1"/>
    <xf numFmtId="0" fontId="1" fillId="0" borderId="0" xfId="165"/>
    <xf numFmtId="0" fontId="1" fillId="29" borderId="0" xfId="231" applyFont="1" applyFill="1" applyAlignment="1">
      <alignment vertical="top"/>
    </xf>
    <xf numFmtId="0" fontId="1" fillId="29" borderId="0" xfId="165" applyFill="1" applyAlignment="1">
      <alignment vertical="top"/>
    </xf>
    <xf numFmtId="0" fontId="1" fillId="29" borderId="0" xfId="165" applyFill="1"/>
    <xf numFmtId="0" fontId="47" fillId="29" borderId="0" xfId="231" applyFont="1" applyFill="1" applyAlignment="1">
      <alignment horizontal="left" vertical="top"/>
    </xf>
    <xf numFmtId="0" fontId="1" fillId="29" borderId="0" xfId="165" applyFont="1" applyFill="1" applyAlignment="1">
      <alignment vertical="top"/>
    </xf>
    <xf numFmtId="0" fontId="10" fillId="29" borderId="0" xfId="231" applyFont="1" applyFill="1" applyAlignment="1">
      <alignment vertical="top"/>
    </xf>
    <xf numFmtId="0" fontId="0" fillId="29" borderId="0" xfId="0" applyFill="1" applyAlignment="1">
      <alignment vertical="top"/>
    </xf>
    <xf numFmtId="0" fontId="147" fillId="29" borderId="0" xfId="0" applyFont="1" applyFill="1" applyAlignment="1">
      <alignment vertical="top"/>
    </xf>
    <xf numFmtId="0" fontId="148" fillId="29" borderId="0" xfId="0" applyFont="1" applyFill="1" applyAlignment="1">
      <alignment vertical="top"/>
    </xf>
    <xf numFmtId="0" fontId="147" fillId="29" borderId="48" xfId="0" applyFont="1" applyFill="1" applyBorder="1" applyAlignment="1">
      <alignment vertical="top"/>
    </xf>
    <xf numFmtId="9" fontId="147" fillId="29" borderId="48" xfId="0" applyNumberFormat="1" applyFont="1" applyFill="1" applyBorder="1" applyAlignment="1">
      <alignment vertical="top"/>
    </xf>
    <xf numFmtId="3" fontId="147" fillId="29" borderId="48" xfId="0" applyNumberFormat="1" applyFont="1" applyFill="1" applyBorder="1" applyAlignment="1">
      <alignment vertical="top"/>
    </xf>
    <xf numFmtId="2" fontId="1" fillId="0" borderId="0" xfId="165" applyNumberFormat="1" applyAlignment="1">
      <alignment horizontal="left"/>
    </xf>
    <xf numFmtId="0" fontId="1" fillId="0" borderId="0" xfId="165" applyNumberFormat="1" applyAlignment="1">
      <alignment horizontal="left"/>
    </xf>
    <xf numFmtId="1" fontId="1" fillId="0" borderId="0" xfId="165" applyNumberFormat="1" applyAlignment="1">
      <alignment horizontal="left"/>
    </xf>
    <xf numFmtId="0" fontId="1" fillId="0" borderId="0" xfId="165" applyFont="1"/>
    <xf numFmtId="197" fontId="1" fillId="0" borderId="0" xfId="165" applyNumberFormat="1" applyAlignment="1">
      <alignment horizontal="left"/>
    </xf>
    <xf numFmtId="49" fontId="1" fillId="0" borderId="0" xfId="165" applyNumberFormat="1"/>
    <xf numFmtId="0" fontId="149" fillId="0" borderId="0" xfId="165" applyFont="1" applyAlignment="1">
      <alignment wrapText="1"/>
    </xf>
    <xf numFmtId="0" fontId="149" fillId="0" borderId="0" xfId="165" applyFont="1" applyAlignment="1">
      <alignment horizontal="left" wrapText="1" indent="3"/>
    </xf>
    <xf numFmtId="0" fontId="149" fillId="0" borderId="0" xfId="165" applyFont="1" applyAlignment="1">
      <alignment horizontal="left" wrapText="1" indent="1"/>
    </xf>
    <xf numFmtId="0" fontId="151" fillId="0" borderId="0" xfId="165" applyFont="1" applyAlignment="1">
      <alignment wrapText="1"/>
    </xf>
    <xf numFmtId="0" fontId="1" fillId="29" borderId="0" xfId="165" applyFill="1" applyAlignment="1">
      <alignment vertical="top" wrapText="1"/>
    </xf>
    <xf numFmtId="0" fontId="1" fillId="29" borderId="0" xfId="165" applyFill="1" applyAlignment="1">
      <alignment wrapText="1"/>
    </xf>
    <xf numFmtId="0" fontId="10" fillId="29" borderId="0" xfId="165" applyFont="1" applyFill="1" applyAlignment="1">
      <alignment vertical="top" wrapText="1"/>
    </xf>
    <xf numFmtId="0" fontId="127" fillId="0" borderId="21" xfId="0" applyFont="1" applyBorder="1" applyAlignment="1">
      <alignment horizontal="center" vertical="center"/>
    </xf>
    <xf numFmtId="0" fontId="127" fillId="0" borderId="42" xfId="0" applyFont="1" applyBorder="1" applyAlignment="1">
      <alignment horizontal="center" vertical="center"/>
    </xf>
    <xf numFmtId="0" fontId="127" fillId="0" borderId="34" xfId="0" applyFont="1" applyBorder="1" applyAlignment="1">
      <alignment horizontal="center" vertical="center"/>
    </xf>
    <xf numFmtId="0" fontId="127" fillId="0" borderId="25" xfId="0" applyFont="1" applyBorder="1" applyAlignment="1">
      <alignment horizontal="center" vertical="center"/>
    </xf>
    <xf numFmtId="0" fontId="127" fillId="0" borderId="43" xfId="0" applyFont="1" applyBorder="1" applyAlignment="1">
      <alignment horizontal="center" vertical="center"/>
    </xf>
    <xf numFmtId="0" fontId="0" fillId="0" borderId="25" xfId="0" applyBorder="1" applyAlignment="1">
      <alignment horizontal="center" vertical="center"/>
    </xf>
    <xf numFmtId="0" fontId="147" fillId="29" borderId="0" xfId="0" applyFont="1" applyFill="1" applyAlignment="1">
      <alignment vertical="top"/>
    </xf>
    <xf numFmtId="0" fontId="0" fillId="29" borderId="52" xfId="0" applyFill="1" applyBorder="1" applyAlignment="1">
      <alignment vertical="top"/>
    </xf>
    <xf numFmtId="0" fontId="148" fillId="29" borderId="0" xfId="0" applyFont="1" applyFill="1" applyAlignment="1">
      <alignment vertical="top"/>
    </xf>
    <xf numFmtId="0" fontId="0" fillId="29" borderId="0" xfId="0" applyFill="1" applyAlignment="1">
      <alignment vertical="top"/>
    </xf>
    <xf numFmtId="0" fontId="0" fillId="29" borderId="53" xfId="0" applyFill="1" applyBorder="1" applyAlignment="1">
      <alignment vertical="top"/>
    </xf>
    <xf numFmtId="0" fontId="147" fillId="29" borderId="49" xfId="0" applyFont="1" applyFill="1" applyBorder="1" applyAlignment="1">
      <alignment vertical="top"/>
    </xf>
    <xf numFmtId="0" fontId="147" fillId="29" borderId="50" xfId="0" applyFont="1" applyFill="1" applyBorder="1" applyAlignment="1">
      <alignment vertical="top"/>
    </xf>
    <xf numFmtId="0" fontId="147" fillId="29" borderId="51" xfId="0" applyFont="1" applyFill="1" applyBorder="1" applyAlignment="1">
      <alignment vertical="top"/>
    </xf>
  </cellXfs>
  <cellStyles count="232">
    <cellStyle name="-" xfId="1"/>
    <cellStyle name=" 1" xfId="2"/>
    <cellStyle name="%" xfId="3"/>
    <cellStyle name="% Growth" xfId="4"/>
    <cellStyle name="% of Revenues" xfId="5"/>
    <cellStyle name="% Presentation" xfId="6"/>
    <cellStyle name="?? [0.00]_??????cula" xfId="7"/>
    <cellStyle name="?? [0]_VERA" xfId="8"/>
    <cellStyle name="?????_VERA" xfId="9"/>
    <cellStyle name="??_??????_???" xfId="10"/>
    <cellStyle name="_Bonus Depreciation 2014E" xfId="11"/>
    <cellStyle name="_FTR" xfId="12"/>
    <cellStyle name="_FTR Morgan Stanley" xfId="13"/>
    <cellStyle name="_LMDIA" xfId="14"/>
    <cellStyle name="_Pension Analyzer_VZ" xfId="15"/>
    <cellStyle name="_RRS1" xfId="16"/>
    <cellStyle name="_RRS2" xfId="17"/>
    <cellStyle name="_RRS3" xfId="18"/>
    <cellStyle name="_RRS4" xfId="19"/>
    <cellStyle name="_SUMMARY " xfId="20"/>
    <cellStyle name="_SUMMARY _RRS1" xfId="21"/>
    <cellStyle name="_SUMMARY _RRS3" xfId="22"/>
    <cellStyle name="_SUMMARY _RRS4" xfId="23"/>
    <cellStyle name="_VZ_Pending" xfId="24"/>
    <cellStyle name="_WIN_Pending" xfId="25"/>
    <cellStyle name="£ BP" xfId="26"/>
    <cellStyle name="¥ JY" xfId="27"/>
    <cellStyle name="=C:\WINNT35\SYSTEM32\COMMAND.COM" xfId="28"/>
    <cellStyle name="•W€_Comparables" xfId="29"/>
    <cellStyle name="•W_GE 3 MINIMUM" xfId="30"/>
    <cellStyle name="0" xfId="31"/>
    <cellStyle name="0%" xfId="32"/>
    <cellStyle name="0.0" xfId="33"/>
    <cellStyle name="0.0%" xfId="34"/>
    <cellStyle name="0.00" xfId="35"/>
    <cellStyle name="0.00%" xfId="36"/>
    <cellStyle name="0_Capex &amp; Depreciation " xfId="37"/>
    <cellStyle name="0_Capex &amp; Depreciation _RRS1" xfId="38"/>
    <cellStyle name="0_Capex &amp; Depreciation _RRS3" xfId="39"/>
    <cellStyle name="0_Capex &amp; Depreciation _RRS4" xfId="40"/>
    <cellStyle name="0_Valuing BP " xfId="41"/>
    <cellStyle name="0_Valuing BP _RRS1" xfId="42"/>
    <cellStyle name="0_Valuing BP _RRS3" xfId="43"/>
    <cellStyle name="0_Valuing BP _RRS4" xfId="44"/>
    <cellStyle name="1,comma" xfId="45"/>
    <cellStyle name="20% - Accent1" xfId="46" builtinId="30" customBuiltin="1"/>
    <cellStyle name="20% - Accent2" xfId="47" builtinId="34" customBuiltin="1"/>
    <cellStyle name="20% - Accent3" xfId="48" builtinId="38" customBuiltin="1"/>
    <cellStyle name="20% - Accent4" xfId="49" builtinId="42" customBuiltin="1"/>
    <cellStyle name="20% - Accent5" xfId="50" builtinId="46" customBuiltin="1"/>
    <cellStyle name="20% - Accent6" xfId="51" builtinId="50" customBuiltin="1"/>
    <cellStyle name="40% - Accent1" xfId="52" builtinId="31" customBuiltin="1"/>
    <cellStyle name="40% - Accent2" xfId="53" builtinId="35" customBuiltin="1"/>
    <cellStyle name="40% - Accent3" xfId="54" builtinId="39" customBuiltin="1"/>
    <cellStyle name="40% - Accent4" xfId="55" builtinId="43" customBuiltin="1"/>
    <cellStyle name="40% - Accent5" xfId="56" builtinId="47" customBuiltin="1"/>
    <cellStyle name="40% - Accent6" xfId="57" builtinId="51" customBuiltin="1"/>
    <cellStyle name="60% - Accent1" xfId="58" builtinId="32" customBuiltin="1"/>
    <cellStyle name="60% - Accent2" xfId="59" builtinId="36" customBuiltin="1"/>
    <cellStyle name="60% - Accent3" xfId="60" builtinId="40" customBuiltin="1"/>
    <cellStyle name="60% - Accent4" xfId="61" builtinId="44" customBuiltin="1"/>
    <cellStyle name="60% - Accent5" xfId="62" builtinId="48" customBuiltin="1"/>
    <cellStyle name="60% - Accent6" xfId="63" builtinId="52" customBuiltin="1"/>
    <cellStyle name="752131" xfId="64"/>
    <cellStyle name="Accent1" xfId="65" builtinId="29" customBuiltin="1"/>
    <cellStyle name="Accent2" xfId="66" builtinId="33" customBuiltin="1"/>
    <cellStyle name="Accent3" xfId="67" builtinId="37" customBuiltin="1"/>
    <cellStyle name="Accent4" xfId="68" builtinId="41" customBuiltin="1"/>
    <cellStyle name="Accent5" xfId="69" builtinId="45" customBuiltin="1"/>
    <cellStyle name="Accent6" xfId="70" builtinId="49" customBuiltin="1"/>
    <cellStyle name="Acctg" xfId="71"/>
    <cellStyle name="Bad" xfId="72" builtinId="27" customBuiltin="1"/>
    <cellStyle name="Balance Sheet" xfId="73"/>
    <cellStyle name="BalanceSheet" xfId="74"/>
    <cellStyle name="Band 2" xfId="75"/>
    <cellStyle name="Blue" xfId="76"/>
    <cellStyle name="Bold/Border" xfId="77"/>
    <cellStyle name="Bullet" xfId="78"/>
    <cellStyle name="c_HardInc " xfId="79"/>
    <cellStyle name="c_HardInc _RRS1" xfId="80"/>
    <cellStyle name="c_HardInc _RRS3" xfId="81"/>
    <cellStyle name="c_HardInc _RRS4" xfId="82"/>
    <cellStyle name="C05_Style E Text" xfId="83"/>
    <cellStyle name="Calculation" xfId="84" builtinId="22" customBuiltin="1"/>
    <cellStyle name="CashFlow" xfId="85"/>
    <cellStyle name="Cents" xfId="86"/>
    <cellStyle name="Changeable" xfId="87"/>
    <cellStyle name="Check Cell" xfId="88" builtinId="23" customBuiltin="1"/>
    <cellStyle name="ColumnHeadings" xfId="89"/>
    <cellStyle name="ColumnHeadings2" xfId="90"/>
    <cellStyle name="Comma" xfId="91" builtinId="3"/>
    <cellStyle name="Comma  - Style1" xfId="92"/>
    <cellStyle name="Comma  - Style2" xfId="93"/>
    <cellStyle name="Comma  - Style3" xfId="94"/>
    <cellStyle name="Comma  - Style4" xfId="95"/>
    <cellStyle name="Comma  - Style5" xfId="96"/>
    <cellStyle name="Comma  - Style6" xfId="97"/>
    <cellStyle name="Comma  - Style7" xfId="98"/>
    <cellStyle name="Comma  - Style8" xfId="99"/>
    <cellStyle name="comma (1)" xfId="100"/>
    <cellStyle name="Comma [2]" xfId="101"/>
    <cellStyle name="Comma 2" xfId="102"/>
    <cellStyle name="Comma 3" xfId="103"/>
    <cellStyle name="Comma 4" xfId="104"/>
    <cellStyle name="Comma_Pensions Module Europe FAS87" xfId="105"/>
    <cellStyle name="Comment" xfId="106"/>
    <cellStyle name="CompanyName" xfId="107"/>
    <cellStyle name="Currency (1)" xfId="108"/>
    <cellStyle name="Currency [1]" xfId="109"/>
    <cellStyle name="Currency 2" xfId="110"/>
    <cellStyle name="Currency 3" xfId="111"/>
    <cellStyle name="cutVar" xfId="112"/>
    <cellStyle name="Dash" xfId="113"/>
    <cellStyle name="Date" xfId="114"/>
    <cellStyle name="Date2" xfId="115"/>
    <cellStyle name="Dates" xfId="116"/>
    <cellStyle name="DateYear" xfId="117"/>
    <cellStyle name="Decimal" xfId="118"/>
    <cellStyle name="Dollar" xfId="119"/>
    <cellStyle name="Dollars" xfId="120"/>
    <cellStyle name="DollarWhole" xfId="121"/>
    <cellStyle name="Double Line 25.5" xfId="122"/>
    <cellStyle name="empty" xfId="123"/>
    <cellStyle name="Explanatory Text" xfId="124" builtinId="53" customBuiltin="1"/>
    <cellStyle name="FieldName" xfId="125"/>
    <cellStyle name="Fixed" xfId="126"/>
    <cellStyle name="G02 Table Text" xfId="127"/>
    <cellStyle name="G04_Main head" xfId="128"/>
    <cellStyle name="G05 Tab Head Bold" xfId="129"/>
    <cellStyle name="G05 Tab Head Light" xfId="130"/>
    <cellStyle name="Good" xfId="131" builtinId="26" customBuiltin="1"/>
    <cellStyle name="Green" xfId="132"/>
    <cellStyle name="Grey" xfId="133"/>
    <cellStyle name="group dataVarLabelCell" xfId="134"/>
    <cellStyle name="Growth%" xfId="135"/>
    <cellStyle name="GrowthRate" xfId="136"/>
    <cellStyle name="hard no" xfId="137"/>
    <cellStyle name="hardno" xfId="138"/>
    <cellStyle name="Header" xfId="139"/>
    <cellStyle name="Header1" xfId="140"/>
    <cellStyle name="Header2" xfId="141"/>
    <cellStyle name="Heading 1" xfId="142" builtinId="16" customBuiltin="1"/>
    <cellStyle name="Heading 2" xfId="143" builtinId="17" customBuiltin="1"/>
    <cellStyle name="Heading 3" xfId="144" builtinId="18" customBuiltin="1"/>
    <cellStyle name="Heading 4" xfId="145" builtinId="19" customBuiltin="1"/>
    <cellStyle name="headRow" xfId="146"/>
    <cellStyle name="Income Statement" xfId="147"/>
    <cellStyle name="IncomeStatement" xfId="148"/>
    <cellStyle name="Input" xfId="149" builtinId="20" customBuiltin="1"/>
    <cellStyle name="Input [yellow]" xfId="150"/>
    <cellStyle name="InputBlueFont" xfId="151"/>
    <cellStyle name="Integer" xfId="152"/>
    <cellStyle name="Linked Cell" xfId="153" builtinId="24" customBuiltin="1"/>
    <cellStyle name="Margins" xfId="154"/>
    <cellStyle name="MonthYears" xfId="155"/>
    <cellStyle name="Multiple" xfId="156"/>
    <cellStyle name="Neutral" xfId="157" builtinId="28" customBuiltin="1"/>
    <cellStyle name="No Commas" xfId="158"/>
    <cellStyle name="no dec" xfId="159"/>
    <cellStyle name="nonsignificant" xfId="160"/>
    <cellStyle name="nonsignificant " xfId="161"/>
    <cellStyle name="nonsignificant_T_DTV" xfId="162"/>
    <cellStyle name="Normal" xfId="0" builtinId="0"/>
    <cellStyle name="Normal - Style1" xfId="163"/>
    <cellStyle name="Normal 2" xfId="164"/>
    <cellStyle name="Normal 3" xfId="165"/>
    <cellStyle name="Normal 4" xfId="166"/>
    <cellStyle name="Normal Bold" xfId="167"/>
    <cellStyle name="Normal_DisclaimerSheet Samples" xfId="231"/>
    <cellStyle name="Normal_Pension Analyzer_T" xfId="168"/>
    <cellStyle name="Note" xfId="169" builtinId="10" customBuiltin="1"/>
    <cellStyle name="number" xfId="170"/>
    <cellStyle name="Œ…‹æØ‚è [0.00]_GE 3 MINIMUM" xfId="171"/>
    <cellStyle name="Œ…‹æØ‚è_GE 3 MINIMUM" xfId="172"/>
    <cellStyle name="Onedec_FT Valuation " xfId="173"/>
    <cellStyle name="OneDecimal" xfId="174"/>
    <cellStyle name="Other%" xfId="175"/>
    <cellStyle name="outh America" xfId="176"/>
    <cellStyle name="Output" xfId="177" builtinId="21" customBuiltin="1"/>
    <cellStyle name="p " xfId="178"/>
    <cellStyle name="Percent" xfId="179" builtinId="5"/>
    <cellStyle name="Percent (1)" xfId="180"/>
    <cellStyle name="Percent [2]" xfId="181"/>
    <cellStyle name="Percent 2" xfId="182"/>
    <cellStyle name="Percent 3" xfId="183"/>
    <cellStyle name="PercentPresentation" xfId="184"/>
    <cellStyle name="POPS" xfId="185"/>
    <cellStyle name="PresentationZero" xfId="186"/>
    <cellStyle name="Price" xfId="187"/>
    <cellStyle name="ProtectedDates" xfId="188"/>
    <cellStyle name="RED" xfId="189"/>
    <cellStyle name="Restruct" xfId="190"/>
    <cellStyle name="RRSInstruction" xfId="191"/>
    <cellStyle name="RRSInstruction 2" xfId="192"/>
    <cellStyle name="s_HardInc " xfId="193"/>
    <cellStyle name="s_HardInc _RRS1" xfId="194"/>
    <cellStyle name="s_HardInc _RRS3" xfId="195"/>
    <cellStyle name="s_HardInc _RRS4" xfId="196"/>
    <cellStyle name="s_Valuation " xfId="197"/>
    <cellStyle name="s_Valuation _RRS1" xfId="198"/>
    <cellStyle name="s_Valuation _RRS3" xfId="199"/>
    <cellStyle name="s_Valuation _RRS4" xfId="200"/>
    <cellStyle name="Shares" xfId="201"/>
    <cellStyle name="SPOl" xfId="202"/>
    <cellStyle name="ssp " xfId="203"/>
    <cellStyle name="Style 1" xfId="204"/>
    <cellStyle name="Style 2" xfId="205"/>
    <cellStyle name="Style 3" xfId="206"/>
    <cellStyle name="Style 4" xfId="207"/>
    <cellStyle name="Style 5" xfId="208"/>
    <cellStyle name="Style 6" xfId="209"/>
    <cellStyle name="SubDollar" xfId="210"/>
    <cellStyle name="SubGrowthRate" xfId="211"/>
    <cellStyle name="Subscribers" xfId="212"/>
    <cellStyle name="SubVariable" xfId="213"/>
    <cellStyle name="textbold" xfId="214"/>
    <cellStyle name="Title" xfId="215" builtinId="15" customBuiltin="1"/>
    <cellStyle name="Title2" xfId="216"/>
    <cellStyle name="TitleII" xfId="217"/>
    <cellStyle name="Titles" xfId="218"/>
    <cellStyle name="Total" xfId="219" builtinId="25" customBuiltin="1"/>
    <cellStyle name="totalCell" xfId="220"/>
    <cellStyle name="totalCell " xfId="221"/>
    <cellStyle name="totalCell_T_DTV" xfId="222"/>
    <cellStyle name="Totals" xfId="223"/>
    <cellStyle name="UnProtectedCalc" xfId="224"/>
    <cellStyle name="Upload Only" xfId="225"/>
    <cellStyle name="Warning Text" xfId="226" builtinId="11" customBuiltin="1"/>
    <cellStyle name="WholeNumber" xfId="227"/>
    <cellStyle name="Year" xfId="228"/>
    <cellStyle name="콤마 [0]_#3이설 견적_준공내역총괄표 " xfId="229"/>
    <cellStyle name="콤마_#3이설 견적_준공내역총괄표 " xfId="230"/>
  </cellStyles>
  <dxfs count="14">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137CB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externalLinks/externalLink1.xml" Type="http://schemas.openxmlformats.org/officeDocument/2006/relationships/externalLink"/>
<Relationship Id="rId18" Target="externalLinks/externalLink2.xml" Type="http://schemas.openxmlformats.org/officeDocument/2006/relationships/externalLink"/>
<Relationship Id="rId19" Target="externalLinks/externalLink3.xml" Type="http://schemas.openxmlformats.org/officeDocument/2006/relationships/externalLink"/>
<Relationship Id="rId2" Target="worksheets/sheet2.xml" Type="http://schemas.openxmlformats.org/officeDocument/2006/relationships/worksheet"/>
<Relationship Id="rId20" Target="externalLinks/externalLink4.xml" Type="http://schemas.openxmlformats.org/officeDocument/2006/relationships/externalLink"/>
<Relationship Id="rId21" Target="externalLinks/externalLink5.xml" Type="http://schemas.openxmlformats.org/officeDocument/2006/relationships/externalLink"/>
<Relationship Id="rId22" Target="externalLinks/externalLink6.xml" Type="http://schemas.openxmlformats.org/officeDocument/2006/relationships/externalLink"/>
<Relationship Id="rId23" Target="externalLinks/externalLink7.xml" Type="http://schemas.openxmlformats.org/officeDocument/2006/relationships/externalLink"/>
<Relationship Id="rId24" Target="externalLinks/externalLink8.xml" Type="http://schemas.openxmlformats.org/officeDocument/2006/relationships/externalLink"/>
<Relationship Id="rId25" Target="externalLinks/externalLink9.xml" Type="http://schemas.openxmlformats.org/officeDocument/2006/relationships/externalLink"/>
<Relationship Id="rId26" Target="externalLinks/externalLink10.xml" Type="http://schemas.openxmlformats.org/officeDocument/2006/relationships/externalLink"/>
<Relationship Id="rId27" Target="externalLinks/externalLink11.xml" Type="http://schemas.openxmlformats.org/officeDocument/2006/relationships/externalLink"/>
<Relationship Id="rId28" Target="externalLinks/externalLink12.xml" Type="http://schemas.openxmlformats.org/officeDocument/2006/relationships/externalLink"/>
<Relationship Id="rId29" Target="externalLinks/externalLink13.xml" Type="http://schemas.openxmlformats.org/officeDocument/2006/relationships/externalLink"/>
<Relationship Id="rId3" Target="worksheets/sheet3.xml" Type="http://schemas.openxmlformats.org/officeDocument/2006/relationships/worksheet"/>
<Relationship Id="rId30" Target="externalLinks/externalLink14.xml" Type="http://schemas.openxmlformats.org/officeDocument/2006/relationships/externalLink"/>
<Relationship Id="rId31" Target="externalLinks/externalLink15.xml" Type="http://schemas.openxmlformats.org/officeDocument/2006/relationships/externalLink"/>
<Relationship Id="rId32" Target="externalLinks/externalLink16.xml" Type="http://schemas.openxmlformats.org/officeDocument/2006/relationships/externalLink"/>
<Relationship Id="rId33" Target="externalLinks/externalLink17.xml" Type="http://schemas.openxmlformats.org/officeDocument/2006/relationships/externalLink"/>
<Relationship Id="rId34" Target="externalLinks/externalLink18.xml" Type="http://schemas.openxmlformats.org/officeDocument/2006/relationships/externalLink"/>
<Relationship Id="rId35" Target="externalLinks/externalLink19.xml" Type="http://schemas.openxmlformats.org/officeDocument/2006/relationships/externalLink"/>
<Relationship Id="rId36" Target="externalLinks/externalLink20.xml" Type="http://schemas.openxmlformats.org/officeDocument/2006/relationships/externalLink"/>
<Relationship Id="rId37" Target="externalLinks/externalLink21.xml" Type="http://schemas.openxmlformats.org/officeDocument/2006/relationships/externalLink"/>
<Relationship Id="rId38" Target="externalLinks/externalLink22.xml" Type="http://schemas.openxmlformats.org/officeDocument/2006/relationships/externalLink"/>
<Relationship Id="rId39" Target="externalLinks/externalLink23.xml" Type="http://schemas.openxmlformats.org/officeDocument/2006/relationships/externalLink"/>
<Relationship Id="rId4" Target="worksheets/sheet4.xml" Type="http://schemas.openxmlformats.org/officeDocument/2006/relationships/worksheet"/>
<Relationship Id="rId40" Target="externalLinks/externalLink24.xml" Type="http://schemas.openxmlformats.org/officeDocument/2006/relationships/externalLink"/>
<Relationship Id="rId41" Target="externalLinks/externalLink25.xml" Type="http://schemas.openxmlformats.org/officeDocument/2006/relationships/externalLink"/>
<Relationship Id="rId42" Target="externalLinks/externalLink26.xml" Type="http://schemas.openxmlformats.org/officeDocument/2006/relationships/externalLink"/>
<Relationship Id="rId43" Target="externalLinks/externalLink27.xml" Type="http://schemas.openxmlformats.org/officeDocument/2006/relationships/externalLink"/>
<Relationship Id="rId44" Target="externalLinks/externalLink28.xml" Type="http://schemas.openxmlformats.org/officeDocument/2006/relationships/externalLink"/>
<Relationship Id="rId45" Target="externalLinks/externalLink29.xml" Type="http://schemas.openxmlformats.org/officeDocument/2006/relationships/externalLink"/>
<Relationship Id="rId46" Target="theme/theme1.xml" Type="http://schemas.openxmlformats.org/officeDocument/2006/relationships/theme"/>
<Relationship Id="rId47" Target="styles.xml" Type="http://schemas.openxmlformats.org/officeDocument/2006/relationships/styles"/>
<Relationship Id="rId48" Target="sharedStrings.xml" Type="http://schemas.openxmlformats.org/officeDocument/2006/relationships/sharedStrings"/>
<Relationship Id="rId49" Target="calcChain.xml" Type="http://schemas.openxmlformats.org/officeDocument/2006/relationships/calcChain"/>
<Relationship Id="rId5" Target="worksheets/sheet5.xml" Type="http://schemas.openxmlformats.org/officeDocument/2006/relationships/worksheet"/>
<Relationship Id="rId50" Target="../customXml/item1.xml" Type="http://schemas.openxmlformats.org/officeDocument/2006/relationships/customXml"/>
<Relationship Id="rId51" Target="../customXml/item2.xml" Type="http://schemas.openxmlformats.org/officeDocument/2006/relationships/customXml"/>
<Relationship Id="rId52" Target="vbaProject.bin" Type="http://schemas.microsoft.com/office/2006/relationships/vbaProjec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0</xdr:col>
      <xdr:colOff>2238375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185</xdr:row>
      <xdr:rowOff>0</xdr:rowOff>
    </xdr:from>
    <xdr:to>
      <xdr:col>1</xdr:col>
      <xdr:colOff>733425</xdr:colOff>
      <xdr:row>205</xdr:row>
      <xdr:rowOff>19050</xdr:rowOff>
    </xdr:to>
    <xdr:pic>
      <xdr:nvPicPr>
        <xdr:cNvPr id="4903937" name="Picture 1" descr="C:\Users\laml\AppData\Local\Temp\MercuryPriceRatingHistoryChart\T.N_2018_04_03_18_41_40.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91750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4904961" name="Button 1" hidden="1">
              <a:extLst>
                <a:ext uri="{63B3BB69-23CF-44E3-9099-C40C66FF867C}">
                  <a14:compatExt spid="_x0000_s4904961"/>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4904962" name="Button 2" hidden="1">
              <a:extLst>
                <a:ext uri="{63B3BB69-23CF-44E3-9099-C40C66FF867C}">
                  <a14:compatExt spid="_x0000_s4904962"/>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895350</xdr:colOff>
      <xdr:row>57</xdr:row>
      <xdr:rowOff>0</xdr:rowOff>
    </xdr:from>
    <xdr:to>
      <xdr:col>2</xdr:col>
      <xdr:colOff>1257300</xdr:colOff>
      <xdr:row>57</xdr:row>
      <xdr:rowOff>0</xdr:rowOff>
    </xdr:to>
    <xdr:sp macro="" textlink="">
      <xdr:nvSpPr>
        <xdr:cNvPr id="375809" name="Text Box 1"/>
        <xdr:cNvSpPr txBox="1">
          <a:spLocks noChangeArrowheads="1"/>
        </xdr:cNvSpPr>
      </xdr:nvSpPr>
      <xdr:spPr bwMode="auto">
        <a:xfrm>
          <a:off x="1095375" y="10248900"/>
          <a:ext cx="361950" cy="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1500" b="0" i="0" u="none" strike="noStrike" baseline="0">
              <a:solidFill>
                <a:srgbClr val="0000FF"/>
              </a:solidFill>
              <a:latin typeface="Arial"/>
              <a:cs typeface="Arial"/>
            </a:rPr>
            <a:t>+</a:t>
          </a:r>
          <a:endParaRPr lang="en-US" sz="2000" b="0" i="0" u="none" strike="noStrike" baseline="0">
            <a:solidFill>
              <a:srgbClr val="000080"/>
            </a:solidFill>
            <a:latin typeface="Arial"/>
            <a:cs typeface="Arial"/>
          </a:endParaRPr>
        </a:p>
        <a:p>
          <a:pPr algn="l" rtl="0">
            <a:defRPr sz="1000"/>
          </a:pPr>
          <a:endParaRPr lang="en-US" sz="2000" b="0" i="0" u="none" strike="noStrike" baseline="0">
            <a:solidFill>
              <a:srgbClr val="000080"/>
            </a:solidFill>
            <a:latin typeface="Arial"/>
            <a:cs typeface="Arial"/>
          </a:endParaRPr>
        </a:p>
      </xdr:txBody>
    </xdr:sp>
    <xdr:clientData/>
  </xdr:twoCellAnchor>
  <xdr:twoCellAnchor>
    <xdr:from>
      <xdr:col>2</xdr:col>
      <xdr:colOff>876300</xdr:colOff>
      <xdr:row>57</xdr:row>
      <xdr:rowOff>0</xdr:rowOff>
    </xdr:from>
    <xdr:to>
      <xdr:col>2</xdr:col>
      <xdr:colOff>1247775</xdr:colOff>
      <xdr:row>57</xdr:row>
      <xdr:rowOff>0</xdr:rowOff>
    </xdr:to>
    <xdr:sp macro="" textlink="">
      <xdr:nvSpPr>
        <xdr:cNvPr id="375810" name="Text Box 2"/>
        <xdr:cNvSpPr txBox="1">
          <a:spLocks noChangeArrowheads="1"/>
        </xdr:cNvSpPr>
      </xdr:nvSpPr>
      <xdr:spPr bwMode="auto">
        <a:xfrm>
          <a:off x="1076325" y="10248900"/>
          <a:ext cx="371475" cy="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91440" tIns="45720" rIns="91440" bIns="45720" anchor="t" upright="1"/>
        <a:lstStyle/>
        <a:p>
          <a:pPr algn="l" rtl="0">
            <a:defRPr sz="1000"/>
          </a:pPr>
          <a:r>
            <a:rPr lang="en-US" sz="1500" b="0" i="0" u="none" strike="noStrike" baseline="0">
              <a:solidFill>
                <a:srgbClr val="0000FF"/>
              </a:solidFill>
              <a:latin typeface="Arial"/>
              <a:cs typeface="Arial"/>
            </a:rPr>
            <a:t>+</a:t>
          </a:r>
          <a:endParaRPr lang="en-US" sz="2000" b="0" i="0" u="none" strike="noStrike" baseline="0">
            <a:solidFill>
              <a:srgbClr val="000080"/>
            </a:solidFill>
            <a:latin typeface="Arial"/>
            <a:cs typeface="Arial"/>
          </a:endParaRPr>
        </a:p>
        <a:p>
          <a:pPr algn="l" rtl="0">
            <a:defRPr sz="1000"/>
          </a:pPr>
          <a:endParaRPr lang="en-US" sz="2000" b="0" i="0" u="none" strike="noStrike" baseline="0">
            <a:solidFill>
              <a:srgbClr val="000080"/>
            </a:solidFill>
            <a:latin typeface="Arial"/>
            <a:cs typeface="Arial"/>
          </a:endParaRPr>
        </a:p>
      </xdr:txBody>
    </xdr:sp>
    <xdr:clientData/>
  </xdr:twoCellAnchor>
  <xdr:twoCellAnchor>
    <xdr:from>
      <xdr:col>7</xdr:col>
      <xdr:colOff>95250</xdr:colOff>
      <xdr:row>57</xdr:row>
      <xdr:rowOff>0</xdr:rowOff>
    </xdr:from>
    <xdr:to>
      <xdr:col>26</xdr:col>
      <xdr:colOff>0</xdr:colOff>
      <xdr:row>57</xdr:row>
      <xdr:rowOff>0</xdr:rowOff>
    </xdr:to>
    <xdr:sp macro="" textlink="">
      <xdr:nvSpPr>
        <xdr:cNvPr id="375811" name="Text Box 3"/>
        <xdr:cNvSpPr txBox="1">
          <a:spLocks noChangeArrowheads="1"/>
        </xdr:cNvSpPr>
      </xdr:nvSpPr>
      <xdr:spPr bwMode="gray">
        <a:xfrm>
          <a:off x="3076575" y="10248900"/>
          <a:ext cx="3619500" cy="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0">
              <a:solidFill>
                <a:srgbClr val="003366"/>
              </a:solidFill>
              <a:latin typeface="Verdana"/>
              <a:ea typeface="Verdana"/>
              <a:cs typeface="Verdana"/>
            </a:rPr>
            <a:t>Reduces equity value dollar for dollar as a debt-like liability</a:t>
          </a:r>
          <a:endParaRPr lang="en-US" sz="1200" b="0" i="0" u="none" strike="noStrike" baseline="0">
            <a:solidFill>
              <a:srgbClr val="003366"/>
            </a:solidFill>
            <a:latin typeface="Arial"/>
            <a:ea typeface="Verdana"/>
            <a:cs typeface="Arial"/>
          </a:endParaRPr>
        </a:p>
        <a:p>
          <a:pPr algn="l" rtl="0">
            <a:defRPr sz="1000"/>
          </a:pPr>
          <a:endParaRPr lang="en-US" sz="1200" b="0" i="0" u="none" strike="noStrike" baseline="0">
            <a:solidFill>
              <a:srgbClr val="003366"/>
            </a:solidFill>
            <a:latin typeface="Arial"/>
            <a:cs typeface="Arial"/>
          </a:endParaRPr>
        </a:p>
      </xdr:txBody>
    </xdr:sp>
    <xdr:clientData/>
  </xdr:twoCellAnchor>
  <xdr:twoCellAnchor>
    <xdr:from>
      <xdr:col>7</xdr:col>
      <xdr:colOff>95250</xdr:colOff>
      <xdr:row>57</xdr:row>
      <xdr:rowOff>0</xdr:rowOff>
    </xdr:from>
    <xdr:to>
      <xdr:col>26</xdr:col>
      <xdr:colOff>0</xdr:colOff>
      <xdr:row>57</xdr:row>
      <xdr:rowOff>0</xdr:rowOff>
    </xdr:to>
    <xdr:sp macro="" textlink="">
      <xdr:nvSpPr>
        <xdr:cNvPr id="375812" name="Text Box 4"/>
        <xdr:cNvSpPr txBox="1">
          <a:spLocks noChangeArrowheads="1"/>
        </xdr:cNvSpPr>
      </xdr:nvSpPr>
      <xdr:spPr bwMode="gray">
        <a:xfrm>
          <a:off x="3076575" y="10248900"/>
          <a:ext cx="3619500" cy="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0">
              <a:solidFill>
                <a:srgbClr val="003366"/>
              </a:solidFill>
              <a:latin typeface="Verdana"/>
              <a:ea typeface="Verdana"/>
              <a:cs typeface="Verdana"/>
            </a:rPr>
            <a:t>Use in projections of earnings and operating cash flow as a proxy for contributions</a:t>
          </a:r>
          <a:r>
            <a:rPr lang="en-US" sz="900" b="1" i="0" u="none" strike="noStrike" baseline="30000">
              <a:solidFill>
                <a:srgbClr val="003366"/>
              </a:solidFill>
              <a:latin typeface="Verdana"/>
              <a:ea typeface="Verdana"/>
              <a:cs typeface="Verdana"/>
            </a:rPr>
            <a:t>(1)</a:t>
          </a:r>
          <a:endParaRPr lang="en-US" sz="1200" b="0" i="0" u="none" strike="noStrike" baseline="0">
            <a:solidFill>
              <a:srgbClr val="003366"/>
            </a:solidFill>
            <a:latin typeface="Arial"/>
            <a:ea typeface="Verdana"/>
            <a:cs typeface="Arial"/>
          </a:endParaRPr>
        </a:p>
        <a:p>
          <a:pPr algn="l" rtl="0">
            <a:defRPr sz="1000"/>
          </a:pPr>
          <a:endParaRPr lang="en-US" sz="1200" b="0" i="0" u="none" strike="noStrike" baseline="0">
            <a:solidFill>
              <a:srgbClr val="003366"/>
            </a:solidFill>
            <a:latin typeface="Arial"/>
            <a:cs typeface="Arial"/>
          </a:endParaRPr>
        </a:p>
      </xdr:txBody>
    </xdr:sp>
    <xdr:clientData/>
  </xdr:twoCellAnchor>
  <xdr:twoCellAnchor>
    <xdr:from>
      <xdr:col>1</xdr:col>
      <xdr:colOff>257175</xdr:colOff>
      <xdr:row>57</xdr:row>
      <xdr:rowOff>0</xdr:rowOff>
    </xdr:from>
    <xdr:to>
      <xdr:col>26</xdr:col>
      <xdr:colOff>0</xdr:colOff>
      <xdr:row>57</xdr:row>
      <xdr:rowOff>0</xdr:rowOff>
    </xdr:to>
    <xdr:sp macro="" textlink="">
      <xdr:nvSpPr>
        <xdr:cNvPr id="375813" name="Text Box 5"/>
        <xdr:cNvSpPr txBox="1">
          <a:spLocks noChangeArrowheads="1"/>
        </xdr:cNvSpPr>
      </xdr:nvSpPr>
      <xdr:spPr bwMode="gray">
        <a:xfrm>
          <a:off x="200025" y="10248900"/>
          <a:ext cx="6496050" cy="0"/>
        </a:xfrm>
        <a:prstGeom prst="rect">
          <a:avLst/>
        </a:prstGeom>
        <a:noFill/>
        <a:ln>
          <a:noFill/>
        </a:ln>
        <a:effectLst/>
        <a:extLst>
          <a:ext uri="{909E8E84-426E-40DD-AFC4-6F175D3DCCD1}">
            <a14:hiddenFill xmlns:a14="http://schemas.microsoft.com/office/drawing/2010/main">
              <a:solidFill>
                <a:srgbClr val="2270AB"/>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969696"/>
                </a:outerShdw>
              </a:effectLst>
            </a14:hiddenEffects>
          </a:ext>
        </a:extLst>
      </xdr:spPr>
      <xdr:txBody>
        <a:bodyPr vertOverflow="clip" wrap="square" lIns="45720" tIns="45720" rIns="45720" bIns="45720" anchor="t" upright="1"/>
        <a:lstStyle/>
        <a:p>
          <a:pPr algn="l" rtl="0">
            <a:defRPr sz="1000"/>
          </a:pPr>
          <a:r>
            <a:rPr lang="en-US" sz="900" b="1" i="0" u="none" strike="noStrike" baseline="30000">
              <a:solidFill>
                <a:srgbClr val="003366"/>
              </a:solidFill>
              <a:latin typeface="Verdana"/>
              <a:ea typeface="Verdana"/>
              <a:cs typeface="Verdana"/>
            </a:rPr>
            <a:t>(1)</a:t>
          </a:r>
          <a:r>
            <a:rPr lang="en-US" sz="900" b="1" i="0" u="none" strike="noStrike" baseline="0">
              <a:solidFill>
                <a:srgbClr val="003366"/>
              </a:solidFill>
              <a:latin typeface="Verdana"/>
              <a:ea typeface="Verdana"/>
              <a:cs typeface="Verdana"/>
            </a:rPr>
            <a:t>Projections of pension contributions are relevant only if large cash outflows would constrain business activities</a:t>
          </a:r>
        </a:p>
      </xdr:txBody>
    </xdr:sp>
    <xdr:clientData/>
  </xdr:twoCellAnchor>
</xdr:wsDr>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MEDIA/BILOTTI/Ent/Cos/LMC/Copy%20of%20LMG%20break%20up%20charts%20vs1.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ER13/Independent_Rural%20Telcos/WIN/Models/WIN_Pending.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DOCUME~1/davgober/LOCALS~1/Application%20Data/Research/ModelPublishing/SubmittedModels/LCAPA.O.txt"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DOCUME~1/davgober/LOCALS~1/Application%20Data/Research/ModelPublishing/SubmittedModels/LINTA.O.txt"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https://ny.matrix.ms.com/ER13/wireless/Towers/MODEL/AMT%20Morgan%20Stanley.xls" TargetMode="External" Type="http://schemas.openxmlformats.org/officeDocument/2006/relationships/externalLinkPath"/>
</Relationships>

</file>

<file path=xl/externalLinks/_rels/externalLink8.xml.rels><?xml version="1.0" encoding="UTF-8" standalone="yes"?>
<Relationships xmlns="http://schemas.openxmlformats.org/package/2006/relationships">
<Relationship Id="rId1" Target="ER13/wireless/Towers/MODEL/CCI%20Morgan%20Stanley_Pending.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file:///Q:/Documents%20and%20Settings/warjohn/Local%20Settings/Temporary%20Internet%20Files/OLK1DA/Funded%20status%20Chart.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MEDIA/Bilotti/Ent/Cos/NWS%20Fox/Model%20Archives.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ER13/Large%20Cap%20Telco/Client%20Models/WIN%20Morgan%20Stanley.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MEDIA/BILOTTI/Cable/CMCS/Comcast%20Archive/2005%20FMV.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MEDIA/Bilotti/Ent/Cos/Disney/Dis%20Archive.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MEDIA/BILOTTI/Ent/Cos/LMC/LMC_Consolidated.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MEDIA/Bilotti/Ent/Cos/Disney/Dis%20Model%20Archive.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Documents%20and%20Settings/agarwalp/Desktop/SBC%20Estimates%20Table.xls" TargetMode="External" Type="http://schemas.openxmlformats.org/officeDocument/2006/relationships/externalLinkPath"/>
</Relationships>

</file>

<file path=xl/externalLinks/_rels/externalLink17.xml.rels><?xml version="1.0" encoding="UTF-8" standalone="yes"?>
<Relationships xmlns="http://schemas.openxmlformats.org/package/2006/relationships">
<Relationship Id="rId1" Target="ER13/Large%20Cap%20Telco/Cingular/Models/Cingular%20Estimates%20Table.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ER13/Large%20Cap%20Telco/Client%20Models/VZ%20Morgan%20Stanley.xls" TargetMode="External" Type="http://schemas.microsoft.com/office/2006/relationships/xlExternalLinkPath/xlAlternateStartup"/>
</Relationships>

</file>

<file path=xl/externalLinks/_rels/externalLink19.xml.rels><?xml version="1.0" encoding="UTF-8" standalone="yes"?>
<Relationships xmlns="http://schemas.openxmlformats.org/package/2006/relationships">
<Relationship Id="rId1" Target="MEDIA/BILOTTI/Ent/Cos/Bbi.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21.xml.rels><?xml version="1.0" encoding="UTF-8" standalone="yes"?>
<Relationships xmlns="http://schemas.openxmlformats.org/package/2006/relationships">
<Relationship Id="rId1" Target="MEDIA/BILOTTI/Cable/UCOMA/UPC%20misc.%20sheets.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er13/Large%20Cap%20Telco/AIT/MODELS/AIT.xls" TargetMode="External" Type="http://schemas.microsoft.com/office/2006/relationships/xlExternalLinkPath/xlStartup"/>
</Relationships>

</file>

<file path=xl/externalLinks/_rels/externalLink23.xml.rels><?xml version="1.0" encoding="UTF-8" standalone="yes"?>
<Relationships xmlns="http://schemas.openxmlformats.org/package/2006/relationships">
<Relationship Id="rId1" Target="Documents%20and%20Settings/catheloh/Local%20Settings/Temporary%20Internet%20Files/OLK30/Deferred%20tax%20analysis4.xls" TargetMode="External" Type="http://schemas.microsoft.com/office/2006/relationships/xlExternalLinkPath/xlAlternateStartup"/>
</Relationships>

</file>

<file path=xl/externalLinks/_rels/externalLink24.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25.xml.rels><?xml version="1.0" encoding="UTF-8" standalone="yes"?>
<Relationships xmlns="http://schemas.openxmlformats.org/package/2006/relationships">
<Relationship Id="rId1" Target="er13/Large%20Cap%20Telco/FON/MODELS/AITDATA.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er13/Large%20Cap%20Telco/FON/MODELS/GTEDATA.XLS" TargetMode="External" Type="http://schemas.microsoft.com/office/2006/relationships/xlExternalLinkPath/xlStartup"/>
</Relationships>

</file>

<file path=xl/externalLinks/_rels/externalLink27.xml.rels><?xml version="1.0" encoding="UTF-8" standalone="yes"?>
<Relationships xmlns="http://schemas.openxmlformats.org/package/2006/relationships">
<Relationship Id="rId1" Target="file:///h:/FINANCIAL/2002/1q2002/SBC%2010-Q/Financial%20Statements/August%202+1.xls" TargetMode="External" Type="http://schemas.openxmlformats.org/officeDocument/2006/relationships/externalLinkPath"/>
</Relationships>

</file>

<file path=xl/externalLinks/_rels/externalLink28.xml.rels><?xml version="1.0" encoding="UTF-8" standalone="yes"?>
<Relationships xmlns="http://schemas.openxmlformats.org/package/2006/relationships">
<Relationship Id="rId1" Target="ER13/Large%20Cap%20Telco/AT&amp;T%20formerly%20SBC/MODELS/T_pendingPENSION.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er13/Wireless/Industry/Initiation/ROIC/Telephony%20Rev_v3.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Good 12-00 (2)"/>
      <sheetName val="Good 11-36"/>
      <sheetName val="Good 11-50"/>
      <sheetName val="Sheet3 (5)"/>
      <sheetName val="WACC"/>
      <sheetName val="Sheet1"/>
      <sheetName val="Fixed Line Mkt"/>
      <sheetName val="Cash Flow"/>
      <sheetName val="upside_downside"/>
      <sheetName val="Income Statement"/>
      <sheetName val="Balance Sheet"/>
      <sheetName val="Valsum"/>
      <sheetName val="Risk-Reward_View_Chart"/>
      <sheetName val="variables"/>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Total_Production"/>
      <sheetName val="RFS"/>
      <sheetName val="Corn_Uses"/>
      <sheetName val="US_Production"/>
      <sheetName val="IS Quarterly"/>
      <sheetName val="Sheet1 (2)"/>
      <sheetName val="1Q11 Preview"/>
      <sheetName val="2Q11 Preview"/>
      <sheetName val="Model"/>
      <sheetName val="Intrinsic Value"/>
      <sheetName val="Rev by Geo"/>
      <sheetName val="Exclusion List"/>
      <sheetName val="fin"/>
      <sheetName val="Report template"/>
      <sheetName val="Model (WIP)"/>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FX"/>
      <sheetName val="Risk-Reward_View_Chart"/>
      <sheetName val="Valsum"/>
      <sheetName val="Interims"/>
      <sheetName val="Financial Statements"/>
      <sheetName val="Inputs"/>
      <sheetName val="Good 12-00 (2)"/>
      <sheetName val="Good 11-36"/>
      <sheetName val="Good 11-50"/>
      <sheetName val="Sheet3 (5)"/>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CAPA Repurchases Summary"/>
      <sheetName val="LCAPA Repurchases"/>
      <sheetName val="QVC International Trends"/>
      <sheetName val="QVC Domestic Trends"/>
      <sheetName val="IACI sale"/>
      <sheetName val="__FDSCACHE__"/>
      <sheetName val="L's remaining portfolio"/>
      <sheetName val="Debt Capacity"/>
      <sheetName val="Asset Values"/>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B2" t="str">
            <v>Target 2006 Values</v>
          </cell>
        </row>
        <row r="3">
          <cell r="B3" t="str">
            <v>Gross Assets</v>
          </cell>
          <cell r="C3" t="str">
            <v>Debt</v>
          </cell>
          <cell r="D3" t="str">
            <v>Derivative Liabilities</v>
          </cell>
          <cell r="E3" t="str">
            <v>Borrowed Shares</v>
          </cell>
          <cell r="F3" t="str">
            <v>Net Assets</v>
          </cell>
          <cell r="G3" t="str">
            <v>% of Gross Asset Value</v>
          </cell>
          <cell r="H3" t="str">
            <v>% of Net Asset Value</v>
          </cell>
        </row>
        <row r="4">
          <cell r="A4" t="str">
            <v>Consolidated Businesses</v>
          </cell>
        </row>
        <row r="5">
          <cell r="A5" t="str">
            <v>News Corp. (Class A &amp; B)</v>
          </cell>
          <cell r="B5">
            <v>11980.099999999999</v>
          </cell>
          <cell r="F5">
            <v>11980.099999999999</v>
          </cell>
          <cell r="G5">
            <v>0.54576067403043627</v>
          </cell>
          <cell r="H5">
            <v>0.69968795635846937</v>
          </cell>
        </row>
        <row r="6">
          <cell r="A6" t="str">
            <v xml:space="preserve">Time Warner  </v>
          </cell>
          <cell r="B6">
            <v>3235.2409127439723</v>
          </cell>
          <cell r="C6">
            <v>-1635.9408520027155</v>
          </cell>
          <cell r="D6">
            <v>-114.05914799728453</v>
          </cell>
          <cell r="E6">
            <v>-190.29869346733668</v>
          </cell>
          <cell r="F6">
            <v>1294.9422192766356</v>
          </cell>
          <cell r="G6">
            <v>0.14738334915317855</v>
          </cell>
          <cell r="H6">
            <v>7.5630042738205047E-2</v>
          </cell>
        </row>
        <row r="7">
          <cell r="A7" t="str">
            <v xml:space="preserve">Sprint </v>
          </cell>
          <cell r="B7">
            <v>1836.9225888200001</v>
          </cell>
          <cell r="C7">
            <v>-487.73440578101884</v>
          </cell>
          <cell r="D7">
            <v>-3.6137389558232371</v>
          </cell>
          <cell r="E7">
            <v>-107.88269565217391</v>
          </cell>
          <cell r="F7">
            <v>1237.691748430984</v>
          </cell>
          <cell r="G7">
            <v>8.3682115359315634E-2</v>
          </cell>
          <cell r="H7">
            <v>7.2286375744894965E-2</v>
          </cell>
        </row>
        <row r="8">
          <cell r="A8" t="str">
            <v xml:space="preserve">Motorola </v>
          </cell>
          <cell r="B8">
            <v>1699.04</v>
          </cell>
          <cell r="C8">
            <v>-239.43290043290045</v>
          </cell>
          <cell r="D8">
            <v>-267.9830995670996</v>
          </cell>
          <cell r="E8">
            <v>-1192.2124833997345</v>
          </cell>
          <cell r="F8">
            <v>-0.58848339973451402</v>
          </cell>
          <cell r="G8">
            <v>7.740079094537379E-2</v>
          </cell>
          <cell r="H8">
            <v>-3.4369892347403308E-5</v>
          </cell>
        </row>
        <row r="9">
          <cell r="A9" t="str">
            <v>Starz Encore Group</v>
          </cell>
          <cell r="B9">
            <v>334.03552511554591</v>
          </cell>
          <cell r="C9">
            <v>-35</v>
          </cell>
          <cell r="F9">
            <v>299.03552511554591</v>
          </cell>
          <cell r="G9">
            <v>1.5217189617546686E-2</v>
          </cell>
          <cell r="H9">
            <v>1.7464925622213346E-2</v>
          </cell>
        </row>
        <row r="10">
          <cell r="A10" t="str">
            <v xml:space="preserve">Court TV </v>
          </cell>
          <cell r="B10">
            <v>463.53235169473692</v>
          </cell>
          <cell r="F10">
            <v>463.53235169473692</v>
          </cell>
          <cell r="G10">
            <v>2.1116495579822613E-2</v>
          </cell>
          <cell r="H10">
            <v>2.7072228434097029E-2</v>
          </cell>
        </row>
        <row r="11">
          <cell r="A11" t="str">
            <v>On Command</v>
          </cell>
          <cell r="B11">
            <v>300</v>
          </cell>
          <cell r="F11">
            <v>300</v>
          </cell>
          <cell r="G11">
            <v>1.3666680763026259E-2</v>
          </cell>
          <cell r="H11">
            <v>1.752125499015374E-2</v>
          </cell>
        </row>
        <row r="12">
          <cell r="A12" t="str">
            <v>Cash</v>
          </cell>
          <cell r="B12">
            <v>870.05249441848082</v>
          </cell>
          <cell r="E12">
            <v>-156</v>
          </cell>
          <cell r="F12">
            <v>714.05249441848082</v>
          </cell>
          <cell r="G12">
            <v>3.9635765627640214E-2</v>
          </cell>
          <cell r="H12">
            <v>4.1703652770205116E-2</v>
          </cell>
        </row>
        <row r="13">
          <cell r="A13" t="str">
            <v>Other</v>
          </cell>
          <cell r="B13">
            <v>1232.2729980391284</v>
          </cell>
          <cell r="C13">
            <v>-117.79884628102985</v>
          </cell>
          <cell r="D13">
            <v>-281.17882111897018</v>
          </cell>
          <cell r="E13">
            <v>0</v>
          </cell>
          <cell r="F13">
            <v>833.29533063912834</v>
          </cell>
          <cell r="G13">
            <v>5.6136938923660173E-2</v>
          </cell>
          <cell r="H13">
            <v>4.8667933234108798E-2</v>
          </cell>
        </row>
        <row r="15">
          <cell r="A15" t="str">
            <v xml:space="preserve">OpenTV </v>
          </cell>
          <cell r="B15">
            <v>113.47199999999999</v>
          </cell>
          <cell r="F15">
            <v>113.47199999999999</v>
          </cell>
          <cell r="G15">
            <v>5.1692853318070523E-3</v>
          </cell>
          <cell r="H15">
            <v>6.6272394874757508E-3</v>
          </cell>
        </row>
        <row r="16">
          <cell r="A16" t="str">
            <v xml:space="preserve">Viacom  </v>
          </cell>
          <cell r="B16">
            <v>230.17942350000001</v>
          </cell>
          <cell r="C16">
            <v>-58.899423140514926</v>
          </cell>
          <cell r="D16">
            <v>-140.58941055948509</v>
          </cell>
          <cell r="F16">
            <v>30.690589799999998</v>
          </cell>
          <cell r="G16">
            <v>1.048596233063975E-2</v>
          </cell>
          <cell r="H16">
            <v>1.7924588322800383E-3</v>
          </cell>
        </row>
        <row r="17">
          <cell r="A17" t="str">
            <v>CBS</v>
          </cell>
          <cell r="B17">
            <v>168.79824390000002</v>
          </cell>
          <cell r="C17">
            <v>-58.899423140514926</v>
          </cell>
          <cell r="D17">
            <v>-140.58941055948509</v>
          </cell>
          <cell r="F17">
            <v>-30.690589799999998</v>
          </cell>
          <cell r="G17">
            <v>7.6897057091358158E-3</v>
          </cell>
          <cell r="H17">
            <v>-1.7924588322800383E-3</v>
          </cell>
        </row>
        <row r="18">
          <cell r="A18" t="str">
            <v>Game Show Network</v>
          </cell>
          <cell r="B18">
            <v>185.39436563912454</v>
          </cell>
          <cell r="F18">
            <v>185.39436563912454</v>
          </cell>
          <cell r="G18">
            <v>8.4457520348455994E-3</v>
          </cell>
          <cell r="H18">
            <v>1.0827806513669661E-2</v>
          </cell>
        </row>
        <row r="19">
          <cell r="A19" t="str">
            <v>Crown Media Holdings</v>
          </cell>
          <cell r="B19">
            <v>111.108</v>
          </cell>
          <cell r="F19">
            <v>111.108</v>
          </cell>
          <cell r="G19">
            <v>5.0615918873944052E-3</v>
          </cell>
          <cell r="H19">
            <v>6.4891719981533405E-3</v>
          </cell>
        </row>
        <row r="20">
          <cell r="A20" t="str">
            <v>TruePosition</v>
          </cell>
          <cell r="B20">
            <v>200</v>
          </cell>
          <cell r="F20">
            <v>200</v>
          </cell>
          <cell r="G20">
            <v>9.1111205086841732E-3</v>
          </cell>
          <cell r="H20">
            <v>1.1680836660102495E-2</v>
          </cell>
        </row>
        <row r="21">
          <cell r="A21" t="str">
            <v>IDT Corporation</v>
          </cell>
          <cell r="B21">
            <v>109.60000000000001</v>
          </cell>
          <cell r="F21">
            <v>109.60000000000001</v>
          </cell>
          <cell r="G21">
            <v>4.9928940387589269E-3</v>
          </cell>
          <cell r="H21">
            <v>6.4010984897361674E-3</v>
          </cell>
        </row>
        <row r="22">
          <cell r="A22" t="str">
            <v>Other</v>
          </cell>
          <cell r="B22">
            <v>113.72096500000384</v>
          </cell>
          <cell r="F22">
            <v>113.72096500000384</v>
          </cell>
          <cell r="G22">
            <v>5.1806270823944499E-3</v>
          </cell>
          <cell r="H22">
            <v>6.6417800849713883E-3</v>
          </cell>
        </row>
        <row r="23">
          <cell r="A23" t="str">
            <v>Total Estimated Asset Value</v>
          </cell>
          <cell r="B23">
            <v>21951.19687083186</v>
          </cell>
          <cell r="C23">
            <v>-2515.9070044976647</v>
          </cell>
          <cell r="D23">
            <v>-666.8348076391776</v>
          </cell>
          <cell r="E23">
            <v>-1646.3938725192452</v>
          </cell>
          <cell r="F23">
            <v>17122.061186175775</v>
          </cell>
          <cell r="G23">
            <v>1.0000000000000002</v>
          </cell>
          <cell r="H23">
            <v>1.0000000000000002</v>
          </cell>
        </row>
        <row r="25">
          <cell r="B25" t="str">
            <v>Current Values</v>
          </cell>
        </row>
        <row r="26">
          <cell r="B26" t="str">
            <v>Gross Assets</v>
          </cell>
          <cell r="C26" t="str">
            <v>Debt</v>
          </cell>
          <cell r="D26" t="str">
            <v>Derivative Liabilities</v>
          </cell>
          <cell r="E26" t="str">
            <v>Borrowed Shares</v>
          </cell>
          <cell r="F26" t="str">
            <v>Net Assets</v>
          </cell>
          <cell r="G26" t="str">
            <v>% of Gross Asset Value</v>
          </cell>
          <cell r="H26" t="str">
            <v>% of Net Asset Value</v>
          </cell>
        </row>
        <row r="27">
          <cell r="A27" t="str">
            <v>Consolidated Businesses</v>
          </cell>
        </row>
        <row r="28">
          <cell r="A28" t="str">
            <v>News Corp. (Class A &amp; B)</v>
          </cell>
          <cell r="B28">
            <v>8784.25</v>
          </cell>
          <cell r="F28">
            <v>8784.25</v>
          </cell>
          <cell r="G28">
            <v>0.47899380923675189</v>
          </cell>
          <cell r="H28">
            <v>0.64243399452879724</v>
          </cell>
        </row>
        <row r="29">
          <cell r="A29" t="str">
            <v xml:space="preserve">Time Warner  </v>
          </cell>
          <cell r="B29">
            <v>2893.0264999999999</v>
          </cell>
          <cell r="C29">
            <v>-1635.9408520027155</v>
          </cell>
          <cell r="D29">
            <v>-61.820342027134984</v>
          </cell>
          <cell r="E29">
            <v>-153.14513902847571</v>
          </cell>
          <cell r="F29">
            <v>1042.1201669416737</v>
          </cell>
          <cell r="G29">
            <v>0.15775299922678293</v>
          </cell>
          <cell r="H29">
            <v>7.6215205808959949E-2</v>
          </cell>
        </row>
        <row r="30">
          <cell r="A30" t="str">
            <v xml:space="preserve">Sprint </v>
          </cell>
          <cell r="B30">
            <v>1836.9225888200001</v>
          </cell>
          <cell r="C30">
            <v>-487.73440578101884</v>
          </cell>
          <cell r="D30">
            <v>-3.6137389558232371</v>
          </cell>
          <cell r="E30">
            <v>-107.88269565217391</v>
          </cell>
          <cell r="F30">
            <v>1237.691748430984</v>
          </cell>
          <cell r="G30">
            <v>0.10016501671650141</v>
          </cell>
          <cell r="H30">
            <v>9.0518286016432623E-2</v>
          </cell>
        </row>
        <row r="31">
          <cell r="A31" t="str">
            <v>Starz Encore Group</v>
          </cell>
          <cell r="B31">
            <v>334.03552511554591</v>
          </cell>
          <cell r="C31">
            <v>-35</v>
          </cell>
          <cell r="F31">
            <v>299.03552511554591</v>
          </cell>
          <cell r="G31">
            <v>1.8214525838346363E-2</v>
          </cell>
          <cell r="H31">
            <v>2.1869890645871488E-2</v>
          </cell>
        </row>
        <row r="32">
          <cell r="A32" t="str">
            <v>On Command</v>
          </cell>
          <cell r="B32">
            <v>300</v>
          </cell>
          <cell r="F32">
            <v>300</v>
          </cell>
          <cell r="G32">
            <v>1.6358612604493901E-2</v>
          </cell>
          <cell r="H32">
            <v>2.1940427282766219E-2</v>
          </cell>
        </row>
        <row r="33">
          <cell r="A33" t="str">
            <v xml:space="preserve">Court TV </v>
          </cell>
          <cell r="B33">
            <v>463.53235169473692</v>
          </cell>
          <cell r="F33">
            <v>463.53235169473692</v>
          </cell>
          <cell r="G33">
            <v>2.5275820570080747E-2</v>
          </cell>
          <cell r="H33">
            <v>3.3900326185226641E-2</v>
          </cell>
        </row>
        <row r="34">
          <cell r="A34" t="str">
            <v>Game Show Network</v>
          </cell>
          <cell r="B34">
            <v>185.39436563912454</v>
          </cell>
          <cell r="F34">
            <v>185.39436563912454</v>
          </cell>
          <cell r="G34">
            <v>1.0109315355154446E-2</v>
          </cell>
          <cell r="H34">
            <v>1.3558771993132615E-2</v>
          </cell>
        </row>
        <row r="35">
          <cell r="A35" t="str">
            <v>Cash</v>
          </cell>
          <cell r="B35">
            <v>870.05249441848082</v>
          </cell>
          <cell r="E35">
            <v>-156</v>
          </cell>
          <cell r="F35">
            <v>714.05249441848082</v>
          </cell>
          <cell r="G35">
            <v>4.7442839005885071E-2</v>
          </cell>
          <cell r="H35">
            <v>5.2222056099555034E-2</v>
          </cell>
        </row>
        <row r="36">
          <cell r="A36" t="str">
            <v>Other</v>
          </cell>
          <cell r="B36">
            <v>2671.7497070499976</v>
          </cell>
          <cell r="C36">
            <v>-357.23174671393031</v>
          </cell>
          <cell r="D36">
            <v>-474.99299533606978</v>
          </cell>
          <cell r="F36">
            <v>1839.5249649999978</v>
          </cell>
          <cell r="G36">
            <v>0.14568706144600327</v>
          </cell>
          <cell r="H36">
            <v>0.13453321243138508</v>
          </cell>
        </row>
        <row r="38">
          <cell r="A38" t="str">
            <v xml:space="preserve">OpenTV </v>
          </cell>
          <cell r="B38">
            <v>113.47199999999999</v>
          </cell>
          <cell r="F38">
            <v>113.47199999999999</v>
          </cell>
          <cell r="G38">
            <v>6.1874816315237733E-3</v>
          </cell>
          <cell r="H38">
            <v>8.2987472154334944E-3</v>
          </cell>
        </row>
        <row r="39">
          <cell r="A39" t="str">
            <v xml:space="preserve">Motorola </v>
          </cell>
          <cell r="B39">
            <v>1699.04</v>
          </cell>
          <cell r="C39">
            <v>-239.43290043290045</v>
          </cell>
          <cell r="D39">
            <v>-267.9830995670996</v>
          </cell>
          <cell r="E39">
            <v>-1192.2124833997345</v>
          </cell>
          <cell r="F39">
            <v>-0.58848339973451402</v>
          </cell>
          <cell r="G39">
            <v>9.2646457198464399E-2</v>
          </cell>
          <cell r="H39">
            <v>-4.3038590796633834E-5</v>
          </cell>
        </row>
        <row r="40">
          <cell r="A40" t="str">
            <v xml:space="preserve">Viacom  </v>
          </cell>
          <cell r="B40">
            <v>199.48883370000001</v>
          </cell>
          <cell r="C40">
            <v>-58.899423140514926</v>
          </cell>
          <cell r="D40">
            <v>-103.50494788448509</v>
          </cell>
          <cell r="F40">
            <v>37.084462674999997</v>
          </cell>
          <cell r="G40">
            <v>1.0877868498068695E-2</v>
          </cell>
          <cell r="H40">
            <v>2.7121631888043182E-3</v>
          </cell>
        </row>
        <row r="41">
          <cell r="A41" t="str">
            <v>CBS</v>
          </cell>
          <cell r="B41">
            <v>125.31990835000002</v>
          </cell>
          <cell r="C41">
            <v>-58.899423140514926</v>
          </cell>
          <cell r="D41">
            <v>-103.50494788448509</v>
          </cell>
          <cell r="F41">
            <v>-37.084462674999997</v>
          </cell>
          <cell r="G41">
            <v>6.83353277442777E-3</v>
          </cell>
          <cell r="H41">
            <v>-2.7121631888043182E-3</v>
          </cell>
        </row>
        <row r="42">
          <cell r="A42" t="str">
            <v>Crown Media Holdings</v>
          </cell>
          <cell r="B42">
            <v>111.108</v>
          </cell>
          <cell r="F42">
            <v>111.108</v>
          </cell>
          <cell r="G42">
            <v>6.0585757642003619E-3</v>
          </cell>
          <cell r="H42">
            <v>8.1258566484452982E-3</v>
          </cell>
        </row>
        <row r="43">
          <cell r="A43" t="str">
            <v>TruePosition</v>
          </cell>
          <cell r="B43">
            <v>200</v>
          </cell>
          <cell r="F43">
            <v>200</v>
          </cell>
          <cell r="G43">
            <v>1.0905741736329268E-2</v>
          </cell>
          <cell r="H43">
            <v>1.4626951521844147E-2</v>
          </cell>
        </row>
        <row r="44">
          <cell r="A44" t="str">
            <v>IDT Corporation</v>
          </cell>
          <cell r="B44">
            <v>109.60000000000001</v>
          </cell>
          <cell r="F44">
            <v>109.60000000000001</v>
          </cell>
          <cell r="G44">
            <v>5.9763464715084395E-3</v>
          </cell>
          <cell r="H44">
            <v>8.0155694339705923E-3</v>
          </cell>
        </row>
        <row r="45">
          <cell r="A45" t="str">
            <v>Other</v>
          </cell>
          <cell r="B45">
            <v>113.72096499999755</v>
          </cell>
          <cell r="F45">
            <v>113.72096499999755</v>
          </cell>
          <cell r="G45">
            <v>6.2010573714805662E-3</v>
          </cell>
          <cell r="H45">
            <v>8.3169552103614947E-3</v>
          </cell>
        </row>
        <row r="46">
          <cell r="A46" t="str">
            <v>Total Estimated Asset Value</v>
          </cell>
          <cell r="B46">
            <v>18338.963532737886</v>
          </cell>
          <cell r="C46">
            <v>-2515.9070044976643</v>
          </cell>
          <cell r="D46">
            <v>-540.42707631902795</v>
          </cell>
          <cell r="E46">
            <v>-1609.2403180803842</v>
          </cell>
          <cell r="F46">
            <v>13673.389133840807</v>
          </cell>
          <cell r="G46">
            <v>0.40877523626596712</v>
          </cell>
          <cell r="H46">
            <v>0.32536572607719544</v>
          </cell>
        </row>
      </sheetData>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W-Cache"/>
      <sheetName val="__FDSCACHE__"/>
      <sheetName val="Valuation"/>
      <sheetName val="IS"/>
      <sheetName val="CFS"/>
      <sheetName val="BS"/>
      <sheetName val="Segments"/>
      <sheetName val="Segments (OLD)"/>
      <sheetName val="Segments OLD"/>
      <sheetName val="Value"/>
      <sheetName val="Deal Impact"/>
      <sheetName val="Global links"/>
      <sheetName val="As Reported 06"/>
      <sheetName val="Old Links"/>
      <sheetName val="Segments bef CT"/>
      <sheetName val="Valor IS"/>
      <sheetName val="OLD Segments"/>
      <sheetName val="AT Comm Sppt Svs"/>
      <sheetName val="AT Wireline"/>
      <sheetName val="VCG Wireline"/>
      <sheetName val="Pension"/>
      <sheetName val="OPEB"/>
      <sheetName val="Cash Taxes"/>
      <sheetName val="Sheet1"/>
      <sheetName val="Charts"/>
      <sheetName val="Links"/>
      <sheetName val="Inputs"/>
      <sheetName val="MW Valuation"/>
      <sheetName val="mwareDates"/>
      <sheetName val="MWA RR"/>
      <sheetName val="mwareSettings"/>
      <sheetName val="IS (PF for REIT)"/>
      <sheetName val="ImportantDisclosures"/>
      <sheetName val="IndexInformation"/>
      <sheetName val="ModPubIndex"/>
      <sheetName val="WIN_Pending"/>
      <sheetName val="IS (2)"/>
    </sheetNames>
    <sheetDataSet>
      <sheetData sheetId="0">
        <row r="2">
          <cell r="A2" t="str">
            <v>K</v>
          </cell>
        </row>
        <row r="23">
          <cell r="E23" t="str">
            <v xml:space="preserve">US Telecom Services: Rural Local Exchange Carriers </v>
          </cell>
        </row>
        <row r="26">
          <cell r="E26" t="str">
            <v>Simon Flannery</v>
          </cell>
          <cell r="H26" t="str">
            <v>(212) 761 - 6432</v>
          </cell>
          <cell r="J26" t="str">
            <v>simon.flannery@morganstanley.com</v>
          </cell>
        </row>
        <row r="27">
          <cell r="E27" t="str">
            <v>Spencer Gantsoudes</v>
          </cell>
          <cell r="H27" t="str">
            <v>(212) 761 - 5374</v>
          </cell>
          <cell r="J27" t="str">
            <v>spencer.gantsoudes@morganstanley.com</v>
          </cell>
        </row>
      </sheetData>
      <sheetData sheetId="1"/>
      <sheetData sheetId="2"/>
      <sheetData sheetId="3"/>
      <sheetData sheetId="4">
        <row r="1">
          <cell r="A1" t="str">
            <v>Windstream Communications</v>
          </cell>
          <cell r="BV1" t="str">
            <v>ElementName</v>
          </cell>
          <cell r="BW1" t="str">
            <v>ScaleOverride</v>
          </cell>
          <cell r="BX1" t="str">
            <v>UnitOverride</v>
          </cell>
          <cell r="BY1" t="str">
            <v>ReverseSign</v>
          </cell>
          <cell r="BZ1" t="str">
            <v>IsDrivingAssumption</v>
          </cell>
          <cell r="CA1" t="str">
            <v>SegmentID</v>
          </cell>
        </row>
        <row r="2">
          <cell r="A2" t="str">
            <v>Morgan Stanley</v>
          </cell>
          <cell r="O2">
            <v>0.46184738955823296</v>
          </cell>
        </row>
        <row r="3">
          <cell r="A3" t="str">
            <v>Simon Flannery (212) 761-6432</v>
          </cell>
          <cell r="O3">
            <v>-99600</v>
          </cell>
        </row>
        <row r="4">
          <cell r="L4" t="str">
            <v>Pf for PAETEC</v>
          </cell>
          <cell r="N4" t="str">
            <v>Pf PAETEC</v>
          </cell>
          <cell r="O4">
            <v>-46000</v>
          </cell>
        </row>
        <row r="5">
          <cell r="A5" t="str">
            <v>Income Statement</v>
          </cell>
          <cell r="E5">
            <v>2002</v>
          </cell>
          <cell r="F5">
            <v>2003</v>
          </cell>
          <cell r="G5">
            <v>2004</v>
          </cell>
          <cell r="H5">
            <v>2005</v>
          </cell>
          <cell r="I5">
            <v>2006</v>
          </cell>
          <cell r="J5">
            <v>2007</v>
          </cell>
          <cell r="K5">
            <v>2008</v>
          </cell>
          <cell r="L5">
            <v>2009</v>
          </cell>
          <cell r="M5">
            <v>2010</v>
          </cell>
          <cell r="N5">
            <v>2011</v>
          </cell>
          <cell r="O5">
            <v>2012</v>
          </cell>
          <cell r="P5">
            <v>2013</v>
          </cell>
          <cell r="Q5">
            <v>2014</v>
          </cell>
          <cell r="R5">
            <v>2015</v>
          </cell>
          <cell r="S5">
            <v>2016</v>
          </cell>
          <cell r="T5">
            <v>2017</v>
          </cell>
          <cell r="U5">
            <v>2018</v>
          </cell>
          <cell r="V5">
            <v>2019</v>
          </cell>
          <cell r="W5" t="str">
            <v>CAGR
 '13 -18</v>
          </cell>
          <cell r="Y5" t="str">
            <v>1Q04</v>
          </cell>
          <cell r="Z5" t="str">
            <v>2Q04</v>
          </cell>
          <cell r="AA5" t="str">
            <v>3Q04</v>
          </cell>
          <cell r="AB5" t="str">
            <v>4Q04</v>
          </cell>
          <cell r="AC5" t="str">
            <v>1Q05</v>
          </cell>
          <cell r="AD5" t="str">
            <v>2Q05</v>
          </cell>
          <cell r="AE5" t="str">
            <v>3Q05</v>
          </cell>
          <cell r="AF5" t="str">
            <v>4Q05</v>
          </cell>
          <cell r="AG5" t="str">
            <v>1Q06</v>
          </cell>
          <cell r="AH5" t="str">
            <v>2Q06</v>
          </cell>
          <cell r="AI5" t="str">
            <v>3Q06</v>
          </cell>
          <cell r="AJ5" t="str">
            <v>4Q06</v>
          </cell>
          <cell r="AK5" t="str">
            <v>1Q07</v>
          </cell>
          <cell r="AL5" t="str">
            <v>2Q07</v>
          </cell>
          <cell r="AM5" t="str">
            <v>3Q07</v>
          </cell>
          <cell r="AN5" t="str">
            <v>4Q07</v>
          </cell>
          <cell r="AO5" t="str">
            <v>1Q08</v>
          </cell>
          <cell r="AP5" t="str">
            <v>2Q08</v>
          </cell>
          <cell r="AQ5" t="str">
            <v>3Q08</v>
          </cell>
          <cell r="AR5" t="str">
            <v>4Q08</v>
          </cell>
          <cell r="AS5" t="str">
            <v>1Q09</v>
          </cell>
          <cell r="AT5" t="str">
            <v>2Q09</v>
          </cell>
          <cell r="AU5" t="str">
            <v>3Q09</v>
          </cell>
          <cell r="AV5" t="str">
            <v>4Q09</v>
          </cell>
          <cell r="AW5" t="str">
            <v>1Q10</v>
          </cell>
          <cell r="AX5" t="str">
            <v>2Q10</v>
          </cell>
          <cell r="AY5" t="str">
            <v>3Q10</v>
          </cell>
          <cell r="AZ5" t="str">
            <v>4Q10</v>
          </cell>
          <cell r="BA5" t="str">
            <v>1Q11</v>
          </cell>
          <cell r="BB5" t="str">
            <v>2Q11</v>
          </cell>
          <cell r="BC5" t="str">
            <v>3Q11</v>
          </cell>
          <cell r="BD5" t="str">
            <v>4Q11</v>
          </cell>
          <cell r="BE5" t="str">
            <v>1Q12</v>
          </cell>
          <cell r="BF5" t="str">
            <v>2Q12</v>
          </cell>
          <cell r="BG5" t="str">
            <v>3Q12</v>
          </cell>
          <cell r="BH5" t="str">
            <v>4Q12</v>
          </cell>
          <cell r="BI5" t="str">
            <v>1Q13</v>
          </cell>
          <cell r="BJ5" t="str">
            <v>2Q13</v>
          </cell>
          <cell r="BK5" t="str">
            <v>3Q13</v>
          </cell>
          <cell r="BL5" t="str">
            <v>4Q13</v>
          </cell>
          <cell r="BM5" t="str">
            <v>1Q14</v>
          </cell>
          <cell r="BN5" t="str">
            <v>2Q14</v>
          </cell>
          <cell r="BO5" t="str">
            <v>3Q14</v>
          </cell>
          <cell r="BP5" t="str">
            <v>4Q14</v>
          </cell>
          <cell r="BQ5" t="str">
            <v>1Q15</v>
          </cell>
          <cell r="BR5" t="str">
            <v>2Q15</v>
          </cell>
          <cell r="BS5" t="str">
            <v>3Q15</v>
          </cell>
          <cell r="BT5" t="str">
            <v>4Q15E</v>
          </cell>
        </row>
        <row r="6">
          <cell r="A6" t="str">
            <v>EPS (Proforma)</v>
          </cell>
          <cell r="J6">
            <v>1.0072356964787699</v>
          </cell>
          <cell r="K6">
            <v>6.6793466270683064</v>
          </cell>
          <cell r="L6">
            <v>5.497793381417055</v>
          </cell>
          <cell r="M6">
            <v>4.3993691714412932</v>
          </cell>
          <cell r="N6">
            <v>3.3216832383016821</v>
          </cell>
          <cell r="O6">
            <v>1.9683937603604369</v>
          </cell>
          <cell r="P6">
            <v>2.465606863487257</v>
          </cell>
          <cell r="Q6">
            <v>-0.29812539316418535</v>
          </cell>
          <cell r="R6">
            <v>-2.300829053486483</v>
          </cell>
          <cell r="S6">
            <v>-4.2474116883273805</v>
          </cell>
          <cell r="T6">
            <v>-4.6778681947079965</v>
          </cell>
          <cell r="U6">
            <v>-5.0752577459528876</v>
          </cell>
          <cell r="V6">
            <v>-5.2812976327107606</v>
          </cell>
          <cell r="AG6">
            <v>-0.63324427089274737</v>
          </cell>
          <cell r="AH6">
            <v>-0.80935606694277107</v>
          </cell>
          <cell r="AI6">
            <v>0.17434151623484007</v>
          </cell>
          <cell r="AJ6">
            <v>0.2586414778893506</v>
          </cell>
          <cell r="AK6">
            <v>0.22965697429414242</v>
          </cell>
          <cell r="AL6">
            <v>0.23967586352148273</v>
          </cell>
          <cell r="AM6">
            <v>0.24871551905664349</v>
          </cell>
          <cell r="AN6">
            <v>0.28918733960650128</v>
          </cell>
          <cell r="AO6">
            <v>0.30160932297447279</v>
          </cell>
          <cell r="AP6">
            <v>0.30693628558517849</v>
          </cell>
          <cell r="AQ6">
            <v>0.28907822506861847</v>
          </cell>
          <cell r="AR6">
            <v>0.28978265843056511</v>
          </cell>
          <cell r="AS6">
            <v>1.2979165828249815</v>
          </cell>
          <cell r="AT6">
            <v>1.2322043327241408</v>
          </cell>
          <cell r="AU6">
            <v>1.2677844388106798</v>
          </cell>
          <cell r="AV6">
            <v>1.3412313911241467</v>
          </cell>
          <cell r="AW6">
            <v>1.160526570103056</v>
          </cell>
          <cell r="AX6">
            <v>1.1222992232192406</v>
          </cell>
          <cell r="AY6">
            <v>1.1840126525022627</v>
          </cell>
          <cell r="AZ6">
            <v>0.93253072561673356</v>
          </cell>
          <cell r="BA6">
            <v>1.2712790928983491</v>
          </cell>
          <cell r="BB6">
            <v>1.1893882352941176</v>
          </cell>
          <cell r="BC6">
            <v>1.3197192435172547</v>
          </cell>
          <cell r="BD6">
            <v>-0.31267407840842598</v>
          </cell>
          <cell r="BE6">
            <v>0.70798569725864113</v>
          </cell>
          <cell r="BF6">
            <v>0.58959537572254328</v>
          </cell>
          <cell r="BG6">
            <v>0.49991498044550242</v>
          </cell>
          <cell r="BH6">
            <v>0.15363427697016066</v>
          </cell>
          <cell r="BI6">
            <v>0.48654416123295796</v>
          </cell>
          <cell r="BJ6">
            <v>0.43323492197385072</v>
          </cell>
          <cell r="BK6">
            <v>0.28140297754226595</v>
          </cell>
          <cell r="BL6">
            <v>1.2653191310911682</v>
          </cell>
          <cell r="BM6">
            <v>0.15794478271749102</v>
          </cell>
          <cell r="BN6">
            <v>0.17262319561971129</v>
          </cell>
          <cell r="BO6">
            <v>0.12506845904904157</v>
          </cell>
          <cell r="BP6">
            <v>-0.75691070531077231</v>
          </cell>
          <cell r="BQ6">
            <v>0.10873015873015873</v>
          </cell>
          <cell r="BR6">
            <v>-0.77868525896414342</v>
          </cell>
          <cell r="BS6">
            <v>-7.5125881168177241E-2</v>
          </cell>
          <cell r="BT6">
            <v>-1.5495388566308343</v>
          </cell>
        </row>
        <row r="7">
          <cell r="A7" t="str">
            <v>y/y growth %</v>
          </cell>
          <cell r="K7">
            <v>5.6313640892780761</v>
          </cell>
          <cell r="L7" t="str">
            <v>na</v>
          </cell>
          <cell r="M7">
            <v>-0.199793650610537</v>
          </cell>
          <cell r="N7">
            <v>-0.24496374165083912</v>
          </cell>
          <cell r="O7">
            <v>-0.40741075558822948</v>
          </cell>
          <cell r="P7">
            <v>0.25259839425409192</v>
          </cell>
          <cell r="Q7">
            <v>-1.1209135963965191</v>
          </cell>
          <cell r="R7">
            <v>6.717655410249999</v>
          </cell>
          <cell r="S7">
            <v>0.84603531578811109</v>
          </cell>
          <cell r="T7">
            <v>0.10134560479823151</v>
          </cell>
          <cell r="U7">
            <v>8.49509936373265E-2</v>
          </cell>
          <cell r="V7">
            <v>4.0596930652866403E-2</v>
          </cell>
          <cell r="AM7">
            <v>0.42659949522075258</v>
          </cell>
          <cell r="AN7">
            <v>0.11810117219566196</v>
          </cell>
          <cell r="AO7">
            <v>0.31330356459444819</v>
          </cell>
          <cell r="AP7">
            <v>0.28063076972148693</v>
          </cell>
          <cell r="AQ7">
            <v>0.16228463010698824</v>
          </cell>
          <cell r="AR7">
            <v>2.0585922774969401E-3</v>
          </cell>
          <cell r="AS7" t="str">
            <v>na</v>
          </cell>
          <cell r="AT7" t="str">
            <v>na</v>
          </cell>
          <cell r="AU7" t="str">
            <v>na</v>
          </cell>
          <cell r="AV7" t="str">
            <v>na</v>
          </cell>
          <cell r="AW7">
            <v>-0.10585427025124305</v>
          </cell>
          <cell r="AX7">
            <v>-8.9193899571772706E-2</v>
          </cell>
          <cell r="AY7">
            <v>-6.6077310735099593E-2</v>
          </cell>
          <cell r="AZ7">
            <v>-0.30472047419413784</v>
          </cell>
          <cell r="BA7">
            <v>9.5432991926637234E-2</v>
          </cell>
          <cell r="BB7">
            <v>5.9778186322215099E-2</v>
          </cell>
          <cell r="BC7">
            <v>0.11461582841044216</v>
          </cell>
          <cell r="BD7">
            <v>-1.3352962747706114</v>
          </cell>
          <cell r="BE7">
            <v>-0.44309184252804246</v>
          </cell>
          <cell r="BF7">
            <v>-0.50428686090312191</v>
          </cell>
          <cell r="BG7">
            <v>-0.62119596050357484</v>
          </cell>
          <cell r="BH7">
            <v>-1.4913559760124346</v>
          </cell>
          <cell r="BI7">
            <v>-0.31277684970631014</v>
          </cell>
          <cell r="BJ7">
            <v>-0.26519959312278252</v>
          </cell>
          <cell r="BK7">
            <v>-0.43709832961698425</v>
          </cell>
          <cell r="BL7">
            <v>7.2359168542637295</v>
          </cell>
          <cell r="BM7">
            <v>-0.67537420998488384</v>
          </cell>
          <cell r="BN7">
            <v>-0.60154828970567031</v>
          </cell>
          <cell r="BO7">
            <v>-0.55555388879900303</v>
          </cell>
          <cell r="BP7">
            <v>-1.5981974718567942</v>
          </cell>
          <cell r="BQ7">
            <v>-0.31159385666673367</v>
          </cell>
          <cell r="BR7">
            <v>-5.5108958629151221</v>
          </cell>
          <cell r="BS7">
            <v>-1.600678074547309</v>
          </cell>
          <cell r="BT7">
            <v>1.0471884540127161</v>
          </cell>
        </row>
        <row r="8">
          <cell r="A8" t="str">
            <v>Total Revenues</v>
          </cell>
          <cell r="F8">
            <v>3500634</v>
          </cell>
          <cell r="G8">
            <v>3440810</v>
          </cell>
          <cell r="H8">
            <v>3190602</v>
          </cell>
          <cell r="I8">
            <v>3192327</v>
          </cell>
          <cell r="J8">
            <v>3334100</v>
          </cell>
          <cell r="K8">
            <v>3839600</v>
          </cell>
          <cell r="L8">
            <v>4231400</v>
          </cell>
          <cell r="M8">
            <v>6259300</v>
          </cell>
          <cell r="N8">
            <v>6239100</v>
          </cell>
          <cell r="O8">
            <v>6139500</v>
          </cell>
          <cell r="P8">
            <v>5988100</v>
          </cell>
          <cell r="Q8">
            <v>5786200</v>
          </cell>
          <cell r="R8">
            <v>5751406.4809081526</v>
          </cell>
          <cell r="S8">
            <v>5547497.5854155282</v>
          </cell>
          <cell r="T8">
            <v>5487461.105066184</v>
          </cell>
          <cell r="U8">
            <v>5457242.6235365784</v>
          </cell>
          <cell r="V8">
            <v>5443551.8176453412</v>
          </cell>
          <cell r="W8">
            <v>-1.7514827769437802E-2</v>
          </cell>
          <cell r="Y8">
            <v>838033.71959195728</v>
          </cell>
          <cell r="Z8">
            <v>867599.23579886509</v>
          </cell>
          <cell r="AA8">
            <v>852857.31507855805</v>
          </cell>
          <cell r="AB8">
            <v>882319.72953061957</v>
          </cell>
          <cell r="AC8">
            <v>784217</v>
          </cell>
          <cell r="AD8">
            <v>806592</v>
          </cell>
          <cell r="AE8">
            <v>796963</v>
          </cell>
          <cell r="AF8">
            <v>802830</v>
          </cell>
          <cell r="AG8">
            <v>773535</v>
          </cell>
          <cell r="AH8">
            <v>796418</v>
          </cell>
          <cell r="AI8">
            <v>794766</v>
          </cell>
          <cell r="AJ8">
            <v>827608</v>
          </cell>
          <cell r="AK8">
            <v>824800</v>
          </cell>
          <cell r="AL8">
            <v>844500</v>
          </cell>
          <cell r="AM8">
            <v>839700</v>
          </cell>
          <cell r="AN8">
            <v>825100</v>
          </cell>
          <cell r="AO8">
            <v>968200</v>
          </cell>
          <cell r="AP8">
            <v>965700</v>
          </cell>
          <cell r="AQ8">
            <v>957000</v>
          </cell>
          <cell r="AR8">
            <v>948700</v>
          </cell>
          <cell r="AS8">
            <v>1069600</v>
          </cell>
          <cell r="AT8">
            <v>1057600</v>
          </cell>
          <cell r="AU8">
            <v>1050800</v>
          </cell>
          <cell r="AV8">
            <v>1053400</v>
          </cell>
          <cell r="AW8">
            <v>1570200</v>
          </cell>
          <cell r="AX8">
            <v>1559600</v>
          </cell>
          <cell r="AY8">
            <v>1571100</v>
          </cell>
          <cell r="AZ8">
            <v>1558400</v>
          </cell>
          <cell r="BA8">
            <v>1553200</v>
          </cell>
          <cell r="BB8">
            <v>1556300</v>
          </cell>
          <cell r="BC8">
            <v>1565200</v>
          </cell>
          <cell r="BD8">
            <v>1564400</v>
          </cell>
          <cell r="BE8">
            <v>1534100</v>
          </cell>
          <cell r="BF8">
            <v>1530300</v>
          </cell>
          <cell r="BG8">
            <v>1541000</v>
          </cell>
          <cell r="BH8">
            <v>1534100</v>
          </cell>
          <cell r="BI8">
            <v>1496500</v>
          </cell>
          <cell r="BJ8">
            <v>1501700</v>
          </cell>
          <cell r="BK8">
            <v>1498600</v>
          </cell>
          <cell r="BL8">
            <v>1491300</v>
          </cell>
          <cell r="BM8">
            <v>1453300</v>
          </cell>
          <cell r="BN8">
            <v>1454900</v>
          </cell>
          <cell r="BO8">
            <v>1444900</v>
          </cell>
          <cell r="BP8">
            <v>1433100</v>
          </cell>
          <cell r="BQ8">
            <v>1409100</v>
          </cell>
          <cell r="BR8">
            <v>1418800</v>
          </cell>
          <cell r="BS8">
            <v>1498600</v>
          </cell>
          <cell r="BT8">
            <v>1424906.4809081526</v>
          </cell>
          <cell r="BV8" t="str">
            <v>mstag:revenueNet</v>
          </cell>
          <cell r="BW8">
            <v>3</v>
          </cell>
          <cell r="BX8" t="str">
            <v>ISO4217:USD</v>
          </cell>
          <cell r="BY8" t="b">
            <v>0</v>
          </cell>
          <cell r="BZ8" t="b">
            <v>0</v>
          </cell>
        </row>
        <row r="9">
          <cell r="A9" t="str">
            <v xml:space="preserve">  % y/y growth</v>
          </cell>
          <cell r="G9">
            <v>-1.7089475792099407E-2</v>
          </cell>
          <cell r="H9">
            <v>-7.271776122482787E-2</v>
          </cell>
          <cell r="I9">
            <v>5.4065032241568112E-4</v>
          </cell>
          <cell r="J9">
            <v>4.4410550673536831E-2</v>
          </cell>
          <cell r="K9">
            <v>0.15161512852044035</v>
          </cell>
          <cell r="L9" t="str">
            <v>na</v>
          </cell>
          <cell r="M9">
            <v>0.47925036630902307</v>
          </cell>
          <cell r="N9">
            <v>-3.2271979294808961E-3</v>
          </cell>
          <cell r="O9">
            <v>-1.5963840938596929E-2</v>
          </cell>
          <cell r="P9">
            <v>-2.4659988598420113E-2</v>
          </cell>
          <cell r="Q9">
            <v>-3.3716871795728243E-2</v>
          </cell>
          <cell r="R9">
            <v>-6.0131898468506195E-3</v>
          </cell>
          <cell r="S9">
            <v>-3.5453744430949508E-2</v>
          </cell>
          <cell r="T9">
            <v>-1.0822263448510783E-2</v>
          </cell>
          <cell r="U9">
            <v>-5.5068238208936249E-3</v>
          </cell>
          <cell r="V9">
            <v>-2.5087405555673792E-3</v>
          </cell>
          <cell r="AC9">
            <v>-6.4217845098358262E-2</v>
          </cell>
          <cell r="AD9">
            <v>-7.0317300063883814E-2</v>
          </cell>
          <cell r="AE9">
            <v>-6.5537709638346153E-2</v>
          </cell>
          <cell r="AF9">
            <v>-9.0091751176080925E-2</v>
          </cell>
          <cell r="AG9">
            <v>-1.3621229838169824E-2</v>
          </cell>
          <cell r="AH9">
            <v>-1.2613564230738672E-2</v>
          </cell>
          <cell r="AI9">
            <v>-2.7567151800020895E-3</v>
          </cell>
          <cell r="AJ9">
            <v>3.0863321001955546E-2</v>
          </cell>
          <cell r="AK9">
            <v>6.6273665703555862E-2</v>
          </cell>
          <cell r="AL9">
            <v>6.0372819298408542E-2</v>
          </cell>
          <cell r="AM9">
            <v>5.6537395912759303E-2</v>
          </cell>
          <cell r="AN9">
            <v>-3.0304201989347357E-3</v>
          </cell>
          <cell r="AO9">
            <v>0.17386032977691568</v>
          </cell>
          <cell r="AP9">
            <v>0.14351687388987577</v>
          </cell>
          <cell r="AQ9">
            <v>0.13969274740978932</v>
          </cell>
          <cell r="AR9">
            <v>0.14980002423948613</v>
          </cell>
          <cell r="AS9" t="str">
            <v>na</v>
          </cell>
          <cell r="AT9" t="str">
            <v>na</v>
          </cell>
          <cell r="AU9" t="str">
            <v>na</v>
          </cell>
          <cell r="AV9" t="str">
            <v>na</v>
          </cell>
          <cell r="AW9">
            <v>0.46802543006731478</v>
          </cell>
          <cell r="AX9">
            <v>0.47465960665658091</v>
          </cell>
          <cell r="AY9">
            <v>0.49514655500570992</v>
          </cell>
          <cell r="AZ9">
            <v>0.47940003797228026</v>
          </cell>
          <cell r="BA9">
            <v>-1.0826646287097175E-2</v>
          </cell>
          <cell r="BB9">
            <v>-2.115927160810438E-3</v>
          </cell>
          <cell r="BC9">
            <v>-3.7553306600470737E-3</v>
          </cell>
          <cell r="BD9">
            <v>3.8501026694044427E-3</v>
          </cell>
          <cell r="BE9">
            <v>-1.2297192892093745E-2</v>
          </cell>
          <cell r="BF9">
            <v>-1.6706290560945858E-2</v>
          </cell>
          <cell r="BG9">
            <v>-1.5461282903143414E-2</v>
          </cell>
          <cell r="BH9">
            <v>-1.9368447967271774E-2</v>
          </cell>
          <cell r="BI9">
            <v>-2.4509484388240632E-2</v>
          </cell>
          <cell r="BJ9">
            <v>-1.8689145919100869E-2</v>
          </cell>
          <cell r="BK9">
            <v>-2.7514600908500997E-2</v>
          </cell>
          <cell r="BL9">
            <v>-2.7899093931295194E-2</v>
          </cell>
          <cell r="BM9">
            <v>-2.8867357166722396E-2</v>
          </cell>
          <cell r="BN9">
            <v>-3.1164680029300174E-2</v>
          </cell>
          <cell r="BO9">
            <v>-3.5833444548244997E-2</v>
          </cell>
          <cell r="BP9">
            <v>-3.9026352846509793E-2</v>
          </cell>
          <cell r="BQ9">
            <v>-3.0413541594990656E-2</v>
          </cell>
          <cell r="BR9">
            <v>-2.4812701903910939E-2</v>
          </cell>
          <cell r="BS9">
            <v>3.7165201744065346E-2</v>
          </cell>
          <cell r="BT9">
            <v>-5.7173393984002452E-3</v>
          </cell>
        </row>
        <row r="10">
          <cell r="A10" t="str">
            <v>Cost of Service</v>
          </cell>
          <cell r="F10">
            <v>622594</v>
          </cell>
          <cell r="G10">
            <v>647884</v>
          </cell>
          <cell r="H10">
            <v>923100</v>
          </cell>
          <cell r="I10">
            <v>950000</v>
          </cell>
          <cell r="J10">
            <v>1088600</v>
          </cell>
          <cell r="K10">
            <v>1368700</v>
          </cell>
          <cell r="L10">
            <v>1580100</v>
          </cell>
          <cell r="M10">
            <v>2641800</v>
          </cell>
          <cell r="N10">
            <v>2696800</v>
          </cell>
          <cell r="O10">
            <v>2692200</v>
          </cell>
          <cell r="P10">
            <v>2492200</v>
          </cell>
          <cell r="Q10">
            <v>2746600</v>
          </cell>
          <cell r="R10">
            <v>2838549.4996904023</v>
          </cell>
          <cell r="S10">
            <v>2740463.8071952709</v>
          </cell>
          <cell r="T10">
            <v>2765680.3969533569</v>
          </cell>
          <cell r="U10">
            <v>2755907.524885972</v>
          </cell>
          <cell r="V10">
            <v>2748993.6679108972</v>
          </cell>
          <cell r="W10">
            <v>2.0319882873897299E-2</v>
          </cell>
          <cell r="Y10">
            <v>146602</v>
          </cell>
          <cell r="Z10">
            <v>160408</v>
          </cell>
          <cell r="AA10">
            <v>159071</v>
          </cell>
          <cell r="AB10">
            <v>181803</v>
          </cell>
          <cell r="AC10">
            <v>239500</v>
          </cell>
          <cell r="AD10">
            <v>237100</v>
          </cell>
          <cell r="AE10">
            <v>234800</v>
          </cell>
          <cell r="AF10">
            <v>211700</v>
          </cell>
          <cell r="AG10">
            <v>229400</v>
          </cell>
          <cell r="AH10">
            <v>220900</v>
          </cell>
          <cell r="AI10">
            <v>252500</v>
          </cell>
          <cell r="AJ10">
            <v>247200</v>
          </cell>
          <cell r="AK10">
            <v>266600</v>
          </cell>
          <cell r="AL10">
            <v>280500</v>
          </cell>
          <cell r="AM10">
            <v>271700</v>
          </cell>
          <cell r="AN10">
            <v>269800</v>
          </cell>
          <cell r="AO10">
            <v>343700</v>
          </cell>
          <cell r="AP10">
            <v>341800</v>
          </cell>
          <cell r="AQ10">
            <v>346900</v>
          </cell>
          <cell r="AR10">
            <v>336300</v>
          </cell>
          <cell r="AS10">
            <v>395300</v>
          </cell>
          <cell r="AT10">
            <v>399800</v>
          </cell>
          <cell r="AU10">
            <v>397700</v>
          </cell>
          <cell r="AV10">
            <v>387300</v>
          </cell>
          <cell r="AW10">
            <v>657500</v>
          </cell>
          <cell r="AX10">
            <v>657000</v>
          </cell>
          <cell r="AY10">
            <v>659100</v>
          </cell>
          <cell r="AZ10">
            <v>668200</v>
          </cell>
          <cell r="BA10">
            <v>635800</v>
          </cell>
          <cell r="BB10">
            <v>646300</v>
          </cell>
          <cell r="BC10">
            <v>640000</v>
          </cell>
          <cell r="BD10">
            <v>774700</v>
          </cell>
          <cell r="BE10">
            <v>660200</v>
          </cell>
          <cell r="BF10">
            <v>655700</v>
          </cell>
          <cell r="BG10">
            <v>671200</v>
          </cell>
          <cell r="BH10">
            <v>705100</v>
          </cell>
          <cell r="BI10">
            <v>641200</v>
          </cell>
          <cell r="BJ10">
            <v>646600</v>
          </cell>
          <cell r="BK10">
            <v>644900</v>
          </cell>
          <cell r="BL10">
            <v>559500</v>
          </cell>
          <cell r="BM10">
            <v>657900</v>
          </cell>
          <cell r="BN10">
            <v>666300</v>
          </cell>
          <cell r="BO10">
            <v>670900</v>
          </cell>
          <cell r="BP10">
            <v>751500</v>
          </cell>
          <cell r="BQ10">
            <v>680000</v>
          </cell>
          <cell r="BR10">
            <v>685200</v>
          </cell>
          <cell r="BS10">
            <v>703900</v>
          </cell>
          <cell r="BT10">
            <v>769449.49969040253</v>
          </cell>
          <cell r="BV10" t="str">
            <v>mstag:costOfServicesSold</v>
          </cell>
          <cell r="BW10">
            <v>3</v>
          </cell>
          <cell r="BX10" t="str">
            <v>ISO4217:USD</v>
          </cell>
          <cell r="BY10" t="b">
            <v>0</v>
          </cell>
          <cell r="BZ10" t="b">
            <v>0</v>
          </cell>
        </row>
        <row r="11">
          <cell r="A11" t="str">
            <v xml:space="preserve">  % y/y growth</v>
          </cell>
          <cell r="G11">
            <v>4.0620372184762443E-2</v>
          </cell>
          <cell r="H11">
            <v>0.42479209241160465</v>
          </cell>
          <cell r="I11">
            <v>2.9140938143213058E-2</v>
          </cell>
          <cell r="J11">
            <v>0.1458947368421053</v>
          </cell>
          <cell r="K11">
            <v>0.25730295792761337</v>
          </cell>
          <cell r="L11" t="str">
            <v>na</v>
          </cell>
          <cell r="M11">
            <v>0.67191949876590096</v>
          </cell>
          <cell r="N11">
            <v>2.0819138466197318E-2</v>
          </cell>
          <cell r="O11">
            <v>-1.7057253040640985E-3</v>
          </cell>
          <cell r="P11">
            <v>-7.4288685833147627E-2</v>
          </cell>
          <cell r="Q11">
            <v>0.10207848487280313</v>
          </cell>
          <cell r="R11">
            <v>3.3477572158451263E-2</v>
          </cell>
          <cell r="S11">
            <v>-3.4554864202942182E-2</v>
          </cell>
          <cell r="T11">
            <v>9.201577372369707E-3</v>
          </cell>
          <cell r="U11">
            <v>-3.5336230745065533E-3</v>
          </cell>
          <cell r="V11">
            <v>-2.5087405555673792E-3</v>
          </cell>
          <cell r="AC11">
            <v>0.63367484754641823</v>
          </cell>
          <cell r="AD11">
            <v>0.47810583013316044</v>
          </cell>
          <cell r="AE11">
            <v>0.47607043395716375</v>
          </cell>
          <cell r="AF11">
            <v>0.16444723134381722</v>
          </cell>
          <cell r="AG11">
            <v>-4.2171189979123169E-2</v>
          </cell>
          <cell r="AH11">
            <v>-6.8325601012231174E-2</v>
          </cell>
          <cell r="AI11">
            <v>7.5383304940374707E-2</v>
          </cell>
          <cell r="AJ11">
            <v>0.16769012753897017</v>
          </cell>
          <cell r="AK11">
            <v>0.16216216216216206</v>
          </cell>
          <cell r="AL11">
            <v>0.2698053417836126</v>
          </cell>
          <cell r="AM11">
            <v>7.6039603960396107E-2</v>
          </cell>
          <cell r="AN11">
            <v>9.1423948220064721E-2</v>
          </cell>
          <cell r="AO11">
            <v>0.28919729932483129</v>
          </cell>
          <cell r="AP11">
            <v>0.21853832442067733</v>
          </cell>
          <cell r="AQ11">
            <v>0.27677585572322405</v>
          </cell>
          <cell r="AR11">
            <v>0.24647887323943651</v>
          </cell>
          <cell r="AS11" t="str">
            <v>na</v>
          </cell>
          <cell r="AT11" t="str">
            <v>na</v>
          </cell>
          <cell r="AU11" t="str">
            <v>na</v>
          </cell>
          <cell r="AV11" t="str">
            <v>na</v>
          </cell>
          <cell r="AW11">
            <v>0.66329370098659246</v>
          </cell>
          <cell r="AX11">
            <v>0.64332166083041531</v>
          </cell>
          <cell r="AY11">
            <v>0.65727935629871759</v>
          </cell>
          <cell r="AZ11">
            <v>0.7252775626129615</v>
          </cell>
          <cell r="BA11">
            <v>-3.3003802281368788E-2</v>
          </cell>
          <cell r="BB11">
            <v>-1.628614916286153E-2</v>
          </cell>
          <cell r="BC11">
            <v>-2.8978910635715338E-2</v>
          </cell>
          <cell r="BD11">
            <v>0.15938341813828205</v>
          </cell>
          <cell r="BE11">
            <v>3.8376848065429403E-2</v>
          </cell>
          <cell r="BF11">
            <v>1.4544329258858069E-2</v>
          </cell>
          <cell r="BG11">
            <v>4.8750000000000071E-2</v>
          </cell>
          <cell r="BH11">
            <v>-8.984122886278556E-2</v>
          </cell>
          <cell r="BI11">
            <v>-2.87791578309603E-2</v>
          </cell>
          <cell r="BJ11">
            <v>-1.3878298002135137E-2</v>
          </cell>
          <cell r="BK11">
            <v>-3.9183551847437381E-2</v>
          </cell>
          <cell r="BL11">
            <v>-0.20649553254857467</v>
          </cell>
          <cell r="BM11">
            <v>2.6044915782907019E-2</v>
          </cell>
          <cell r="BN11">
            <v>3.0467058459634933E-2</v>
          </cell>
          <cell r="BO11">
            <v>4.0316328112885769E-2</v>
          </cell>
          <cell r="BP11">
            <v>0.34316353887399464</v>
          </cell>
          <cell r="BQ11">
            <v>3.3591731266149782E-2</v>
          </cell>
          <cell r="BR11">
            <v>2.8365601080594383E-2</v>
          </cell>
          <cell r="BS11">
            <v>4.9187658369354681E-2</v>
          </cell>
          <cell r="BT11">
            <v>2.3884896460948157E-2</v>
          </cell>
        </row>
        <row r="12">
          <cell r="A12" t="str">
            <v>% of revenues</v>
          </cell>
          <cell r="K12">
            <v>0.35646942389832276</v>
          </cell>
          <cell r="L12">
            <v>0.37342250791700149</v>
          </cell>
          <cell r="M12">
            <v>0.42205997475756074</v>
          </cell>
          <cell r="N12">
            <v>0.43224182975108588</v>
          </cell>
          <cell r="O12">
            <v>0.43850476423161494</v>
          </cell>
          <cell r="P12">
            <v>0.41619211436014764</v>
          </cell>
          <cell r="Q12">
            <v>0.47468113787978294</v>
          </cell>
          <cell r="R12">
            <v>0.49354006000323464</v>
          </cell>
          <cell r="S12">
            <v>0.49399999999999999</v>
          </cell>
          <cell r="T12">
            <v>0.504</v>
          </cell>
          <cell r="U12">
            <v>0.505</v>
          </cell>
          <cell r="V12">
            <v>0.505</v>
          </cell>
          <cell r="AO12">
            <v>0.35498863871101011</v>
          </cell>
          <cell r="AP12">
            <v>0.35394014704359533</v>
          </cell>
          <cell r="AQ12">
            <v>0.3624869383490073</v>
          </cell>
          <cell r="AR12">
            <v>0.35448508485295666</v>
          </cell>
          <cell r="AS12">
            <v>0.3695774121166791</v>
          </cell>
          <cell r="AT12">
            <v>0.37802571860816941</v>
          </cell>
          <cell r="AU12">
            <v>0.37847354396650174</v>
          </cell>
          <cell r="AV12">
            <v>0.36766660337953294</v>
          </cell>
          <cell r="AW12">
            <v>0.41873646669214115</v>
          </cell>
          <cell r="AX12">
            <v>0.42126186201590149</v>
          </cell>
          <cell r="AY12">
            <v>0.41951498949780408</v>
          </cell>
          <cell r="AZ12">
            <v>0.42877310061601642</v>
          </cell>
          <cell r="BA12">
            <v>0.40934844192634562</v>
          </cell>
          <cell r="BB12">
            <v>0.41527983036689586</v>
          </cell>
          <cell r="BC12">
            <v>0.40889343214924612</v>
          </cell>
          <cell r="BD12">
            <v>0.49520582971107135</v>
          </cell>
          <cell r="BE12">
            <v>0.43035004237011931</v>
          </cell>
          <cell r="BF12">
            <v>0.4284780761942103</v>
          </cell>
          <cell r="BG12">
            <v>0.43556132381570412</v>
          </cell>
          <cell r="BH12">
            <v>0.45961801707841732</v>
          </cell>
          <cell r="BI12">
            <v>0.42846642165051785</v>
          </cell>
          <cell r="BJ12">
            <v>0.43057867749883466</v>
          </cell>
          <cell r="BK12">
            <v>0.43033497931402642</v>
          </cell>
          <cell r="BL12">
            <v>0.37517602092134378</v>
          </cell>
          <cell r="BM12">
            <v>0.45269386912543863</v>
          </cell>
          <cell r="BN12">
            <v>0.45796961990514812</v>
          </cell>
          <cell r="BO12">
            <v>0.46432279050453318</v>
          </cell>
          <cell r="BP12">
            <v>0.52438769101946825</v>
          </cell>
          <cell r="BQ12">
            <v>0.48257753175785961</v>
          </cell>
          <cell r="BR12">
            <v>0.48294333239357201</v>
          </cell>
          <cell r="BS12">
            <v>0.46970505805418389</v>
          </cell>
          <cell r="BT12">
            <v>0.54</v>
          </cell>
        </row>
        <row r="13">
          <cell r="A13" t="str">
            <v>Cost of Products Sold</v>
          </cell>
          <cell r="H13">
            <v>173400</v>
          </cell>
          <cell r="I13">
            <v>170600</v>
          </cell>
          <cell r="J13">
            <v>82500</v>
          </cell>
          <cell r="K13">
            <v>103200</v>
          </cell>
          <cell r="L13">
            <v>83900</v>
          </cell>
          <cell r="M13">
            <v>179900</v>
          </cell>
          <cell r="N13">
            <v>200300</v>
          </cell>
          <cell r="O13">
            <v>206600</v>
          </cell>
          <cell r="P13">
            <v>183900</v>
          </cell>
          <cell r="Q13">
            <v>156600</v>
          </cell>
          <cell r="R13">
            <v>147422.66202270382</v>
          </cell>
          <cell r="S13">
            <v>133139.94204997268</v>
          </cell>
          <cell r="T13">
            <v>131699.06652158842</v>
          </cell>
          <cell r="U13">
            <v>130973.82296487788</v>
          </cell>
          <cell r="V13">
            <v>130645.24362348819</v>
          </cell>
          <cell r="W13">
            <v>-6.5626409233945138E-2</v>
          </cell>
          <cell r="AC13">
            <v>32200</v>
          </cell>
          <cell r="AD13">
            <v>51500</v>
          </cell>
          <cell r="AE13">
            <v>44400</v>
          </cell>
          <cell r="AF13">
            <v>45300</v>
          </cell>
          <cell r="AG13">
            <v>38400</v>
          </cell>
          <cell r="AH13">
            <v>48300</v>
          </cell>
          <cell r="AI13">
            <v>42500</v>
          </cell>
          <cell r="AJ13">
            <v>41400</v>
          </cell>
          <cell r="AK13">
            <v>20400</v>
          </cell>
          <cell r="AL13">
            <v>19700</v>
          </cell>
          <cell r="AM13">
            <v>22800</v>
          </cell>
          <cell r="AN13">
            <v>19600</v>
          </cell>
          <cell r="AO13">
            <v>20000</v>
          </cell>
          <cell r="AP13">
            <v>26500</v>
          </cell>
          <cell r="AQ13">
            <v>30600</v>
          </cell>
          <cell r="AR13">
            <v>26100</v>
          </cell>
          <cell r="AS13">
            <v>21900</v>
          </cell>
          <cell r="AT13">
            <v>20800</v>
          </cell>
          <cell r="AU13">
            <v>21600</v>
          </cell>
          <cell r="AV13">
            <v>19600</v>
          </cell>
          <cell r="AW13">
            <v>42200</v>
          </cell>
          <cell r="AX13">
            <v>41200</v>
          </cell>
          <cell r="AY13">
            <v>49900</v>
          </cell>
          <cell r="AZ13">
            <v>46600</v>
          </cell>
          <cell r="BA13">
            <v>47000</v>
          </cell>
          <cell r="BB13">
            <v>44800</v>
          </cell>
          <cell r="BC13">
            <v>51900</v>
          </cell>
          <cell r="BD13">
            <v>56600</v>
          </cell>
          <cell r="BE13">
            <v>44300</v>
          </cell>
          <cell r="BF13">
            <v>56400</v>
          </cell>
          <cell r="BG13">
            <v>56000</v>
          </cell>
          <cell r="BH13">
            <v>49900</v>
          </cell>
          <cell r="BI13">
            <v>42600</v>
          </cell>
          <cell r="BJ13">
            <v>49400</v>
          </cell>
          <cell r="BK13">
            <v>46200</v>
          </cell>
          <cell r="BL13">
            <v>45700</v>
          </cell>
          <cell r="BM13">
            <v>41100</v>
          </cell>
          <cell r="BN13">
            <v>40000</v>
          </cell>
          <cell r="BO13">
            <v>39000</v>
          </cell>
          <cell r="BP13">
            <v>36500</v>
          </cell>
          <cell r="BQ13">
            <v>31900</v>
          </cell>
          <cell r="BR13">
            <v>38400</v>
          </cell>
          <cell r="BS13">
            <v>41500</v>
          </cell>
          <cell r="BT13">
            <v>35622.662022703815</v>
          </cell>
          <cell r="BV13" t="str">
            <v>mstag:costOfServicesSold</v>
          </cell>
          <cell r="BW13">
            <v>3</v>
          </cell>
          <cell r="BX13" t="str">
            <v>ISO4217:USD</v>
          </cell>
          <cell r="BY13" t="b">
            <v>0</v>
          </cell>
          <cell r="BZ13" t="b">
            <v>0</v>
          </cell>
        </row>
        <row r="14">
          <cell r="A14" t="str">
            <v xml:space="preserve">  % y/y growth</v>
          </cell>
          <cell r="I14">
            <v>-1.6147635524798143E-2</v>
          </cell>
          <cell r="K14">
            <v>0.25090909090909097</v>
          </cell>
          <cell r="L14" t="str">
            <v>na</v>
          </cell>
          <cell r="M14">
            <v>1.1442193087008343</v>
          </cell>
          <cell r="N14">
            <v>0.11339633129516402</v>
          </cell>
          <cell r="O14">
            <v>3.1452820768846701E-2</v>
          </cell>
          <cell r="P14">
            <v>-0.10987415295256531</v>
          </cell>
          <cell r="Q14">
            <v>-0.14845024469820556</v>
          </cell>
          <cell r="R14">
            <v>-5.8603690787331963E-2</v>
          </cell>
          <cell r="S14">
            <v>-9.6882797914282226E-2</v>
          </cell>
          <cell r="T14">
            <v>-1.0822263448510783E-2</v>
          </cell>
          <cell r="U14">
            <v>-5.5068238208936249E-3</v>
          </cell>
          <cell r="V14">
            <v>-2.5087405555673792E-3</v>
          </cell>
          <cell r="AG14">
            <v>0.19254658385093171</v>
          </cell>
          <cell r="AH14">
            <v>-6.2135922330097126E-2</v>
          </cell>
          <cell r="AI14">
            <v>-4.27927927927928E-2</v>
          </cell>
          <cell r="AJ14">
            <v>-8.6092715231788075E-2</v>
          </cell>
          <cell r="AK14">
            <v>-0.46875</v>
          </cell>
          <cell r="AL14">
            <v>-0.59213250517598337</v>
          </cell>
          <cell r="AM14">
            <v>-0.46352941176470586</v>
          </cell>
          <cell r="AN14">
            <v>-0.52657004830917875</v>
          </cell>
          <cell r="AO14">
            <v>-1.9607843137254943E-2</v>
          </cell>
          <cell r="AP14">
            <v>0.34517766497461921</v>
          </cell>
          <cell r="AQ14">
            <v>0.34210526315789469</v>
          </cell>
          <cell r="AR14">
            <v>0.33163265306122458</v>
          </cell>
          <cell r="AS14" t="str">
            <v>na</v>
          </cell>
          <cell r="AT14" t="str">
            <v>na</v>
          </cell>
          <cell r="AU14" t="str">
            <v>na</v>
          </cell>
          <cell r="AV14" t="str">
            <v>na</v>
          </cell>
          <cell r="AW14">
            <v>0.9269406392694064</v>
          </cell>
          <cell r="AX14">
            <v>0.98076923076923084</v>
          </cell>
          <cell r="AY14">
            <v>1.3101851851851851</v>
          </cell>
          <cell r="AZ14">
            <v>1.3775510204081631</v>
          </cell>
          <cell r="BA14">
            <v>0.11374407582938395</v>
          </cell>
          <cell r="BB14">
            <v>8.737864077669899E-2</v>
          </cell>
          <cell r="BC14">
            <v>4.0080160320641323E-2</v>
          </cell>
          <cell r="BD14">
            <v>0.21459227467811148</v>
          </cell>
          <cell r="BE14">
            <v>-5.7446808510638325E-2</v>
          </cell>
          <cell r="BF14">
            <v>0.2589285714285714</v>
          </cell>
          <cell r="BG14">
            <v>7.899807321772645E-2</v>
          </cell>
          <cell r="BH14">
            <v>-0.11837455830388688</v>
          </cell>
          <cell r="BI14">
            <v>-3.8374717832957095E-2</v>
          </cell>
          <cell r="BJ14">
            <v>-0.12411347517730498</v>
          </cell>
          <cell r="BK14">
            <v>-0.17500000000000004</v>
          </cell>
          <cell r="BL14">
            <v>-8.4168336673346666E-2</v>
          </cell>
          <cell r="BM14">
            <v>-3.5211267605633756E-2</v>
          </cell>
          <cell r="BN14">
            <v>-0.19028340080971662</v>
          </cell>
          <cell r="BO14">
            <v>-0.1558441558441559</v>
          </cell>
          <cell r="BP14">
            <v>-0.20131291028446385</v>
          </cell>
          <cell r="BQ14">
            <v>-0.22384428223844277</v>
          </cell>
          <cell r="BR14">
            <v>-4.0000000000000036E-2</v>
          </cell>
          <cell r="BS14">
            <v>6.4102564102564097E-2</v>
          </cell>
          <cell r="BT14">
            <v>-2.403665691222423E-2</v>
          </cell>
        </row>
        <row r="15">
          <cell r="A15" t="str">
            <v>% revenues</v>
          </cell>
          <cell r="J15">
            <v>2.4744308808973936E-2</v>
          </cell>
          <cell r="K15">
            <v>2.6877799770809459E-2</v>
          </cell>
          <cell r="L15">
            <v>1.9827952923382332E-2</v>
          </cell>
          <cell r="M15">
            <v>2.8741233045228701E-2</v>
          </cell>
          <cell r="N15">
            <v>3.2103989357439376E-2</v>
          </cell>
          <cell r="O15">
            <v>3.3650948774330156E-2</v>
          </cell>
          <cell r="P15">
            <v>3.0710909971443361E-2</v>
          </cell>
          <cell r="Q15">
            <v>2.7064394594034081E-2</v>
          </cell>
          <cell r="R15">
            <v>2.5632453994005593E-2</v>
          </cell>
          <cell r="S15">
            <v>2.4E-2</v>
          </cell>
          <cell r="T15">
            <v>2.4E-2</v>
          </cell>
          <cell r="U15">
            <v>2.4E-2</v>
          </cell>
          <cell r="V15">
            <v>2.4E-2</v>
          </cell>
          <cell r="AC15">
            <v>4.1060063732359792E-2</v>
          </cell>
          <cell r="AD15">
            <v>6.3848885186066809E-2</v>
          </cell>
          <cell r="AE15">
            <v>5.5711494761990207E-2</v>
          </cell>
          <cell r="AF15">
            <v>5.6425395164605208E-2</v>
          </cell>
          <cell r="AG15">
            <v>4.9642226919273204E-2</v>
          </cell>
          <cell r="AH15">
            <v>6.0646544904811292E-2</v>
          </cell>
          <cell r="AI15">
            <v>5.3474859266752731E-2</v>
          </cell>
          <cell r="AJ15">
            <v>5.0023682709688648E-2</v>
          </cell>
          <cell r="AK15">
            <v>2.4733268671193017E-2</v>
          </cell>
          <cell r="AL15">
            <v>2.3327412670219063E-2</v>
          </cell>
          <cell r="AM15">
            <v>2.7152554483744193E-2</v>
          </cell>
          <cell r="AN15">
            <v>2.3754696400436311E-2</v>
          </cell>
          <cell r="AO15">
            <v>2.065688907250568E-2</v>
          </cell>
          <cell r="AP15">
            <v>2.7441234337786061E-2</v>
          </cell>
          <cell r="AQ15">
            <v>3.1974921630094043E-2</v>
          </cell>
          <cell r="AR15">
            <v>2.751133129545694E-2</v>
          </cell>
          <cell r="AS15">
            <v>2.0474943904263274E-2</v>
          </cell>
          <cell r="AT15">
            <v>1.9667170953101363E-2</v>
          </cell>
          <cell r="AU15">
            <v>2.0555767034640272E-2</v>
          </cell>
          <cell r="AV15">
            <v>1.8606417315359787E-2</v>
          </cell>
          <cell r="AW15">
            <v>2.6875557253853013E-2</v>
          </cell>
          <cell r="AX15">
            <v>2.641703000769428E-2</v>
          </cell>
          <cell r="AY15">
            <v>3.1761186429889884E-2</v>
          </cell>
          <cell r="AZ15">
            <v>2.9902464065708418E-2</v>
          </cell>
          <cell r="BA15">
            <v>3.0260108163790884E-2</v>
          </cell>
          <cell r="BB15">
            <v>2.878622373578359E-2</v>
          </cell>
          <cell r="BC15">
            <v>3.3158701763352928E-2</v>
          </cell>
          <cell r="BD15">
            <v>3.6180005113781638E-2</v>
          </cell>
          <cell r="BE15">
            <v>2.8876865914868651E-2</v>
          </cell>
          <cell r="BF15">
            <v>3.6855518525779257E-2</v>
          </cell>
          <cell r="BG15">
            <v>3.6340038935756006E-2</v>
          </cell>
          <cell r="BH15">
            <v>3.2527214653542795E-2</v>
          </cell>
          <cell r="BI15">
            <v>2.8466421650517874E-2</v>
          </cell>
          <cell r="BJ15">
            <v>3.2896051142039022E-2</v>
          </cell>
          <cell r="BK15">
            <v>3.0828773521953824E-2</v>
          </cell>
          <cell r="BL15">
            <v>3.0644404211090995E-2</v>
          </cell>
          <cell r="BM15">
            <v>2.8280465148283217E-2</v>
          </cell>
          <cell r="BN15">
            <v>2.7493298508488556E-2</v>
          </cell>
          <cell r="BO15">
            <v>2.699148730015918E-2</v>
          </cell>
          <cell r="BP15">
            <v>2.5469262438071315E-2</v>
          </cell>
          <cell r="BQ15">
            <v>2.263856362217018E-2</v>
          </cell>
          <cell r="BR15">
            <v>2.7065125458133634E-2</v>
          </cell>
          <cell r="BS15">
            <v>2.7692513012144669E-2</v>
          </cell>
          <cell r="BT15">
            <v>2.5000000000000001E-2</v>
          </cell>
        </row>
        <row r="16">
          <cell r="A16" t="str">
            <v>SG&amp;A</v>
          </cell>
          <cell r="F16">
            <v>1169829</v>
          </cell>
          <cell r="G16">
            <v>1072654</v>
          </cell>
          <cell r="H16">
            <v>452400</v>
          </cell>
          <cell r="I16">
            <v>437600</v>
          </cell>
          <cell r="J16">
            <v>423200</v>
          </cell>
          <cell r="K16">
            <v>519700</v>
          </cell>
          <cell r="L16">
            <v>617500</v>
          </cell>
          <cell r="M16">
            <v>1113300</v>
          </cell>
          <cell r="N16">
            <v>1118400</v>
          </cell>
          <cell r="O16">
            <v>967300</v>
          </cell>
          <cell r="P16">
            <v>923300</v>
          </cell>
          <cell r="Q16">
            <v>933700</v>
          </cell>
          <cell r="R16">
            <v>906683.16656346747</v>
          </cell>
          <cell r="S16">
            <v>873176.11994440423</v>
          </cell>
          <cell r="T16">
            <v>866470.10848995054</v>
          </cell>
          <cell r="U16">
            <v>864427.23156819411</v>
          </cell>
          <cell r="V16">
            <v>864980.38382384484</v>
          </cell>
          <cell r="W16">
            <v>-1.309097420307137E-2</v>
          </cell>
          <cell r="Y16">
            <v>261035.76743530028</v>
          </cell>
          <cell r="Z16">
            <v>268260.85250106605</v>
          </cell>
          <cell r="AA16">
            <v>271281.32427592087</v>
          </cell>
          <cell r="AB16">
            <v>272076.0557877128</v>
          </cell>
          <cell r="AC16">
            <v>118400</v>
          </cell>
          <cell r="AD16">
            <v>110700</v>
          </cell>
          <cell r="AE16">
            <v>110700</v>
          </cell>
          <cell r="AF16">
            <v>112600</v>
          </cell>
          <cell r="AG16">
            <v>106600</v>
          </cell>
          <cell r="AH16">
            <v>113000</v>
          </cell>
          <cell r="AI16">
            <v>104900</v>
          </cell>
          <cell r="AJ16">
            <v>113100</v>
          </cell>
          <cell r="AK16">
            <v>110200</v>
          </cell>
          <cell r="AL16">
            <v>108700</v>
          </cell>
          <cell r="AM16">
            <v>105400</v>
          </cell>
          <cell r="AN16">
            <v>98900</v>
          </cell>
          <cell r="AO16">
            <v>133500</v>
          </cell>
          <cell r="AP16">
            <v>130400</v>
          </cell>
          <cell r="AQ16">
            <v>128600</v>
          </cell>
          <cell r="AR16">
            <v>127200</v>
          </cell>
          <cell r="AS16">
            <v>156400</v>
          </cell>
          <cell r="AT16">
            <v>156500</v>
          </cell>
          <cell r="AU16">
            <v>154500</v>
          </cell>
          <cell r="AV16">
            <v>150100</v>
          </cell>
          <cell r="AW16">
            <v>277700</v>
          </cell>
          <cell r="AX16">
            <v>277900</v>
          </cell>
          <cell r="AY16">
            <v>277100</v>
          </cell>
          <cell r="AZ16">
            <v>280600</v>
          </cell>
          <cell r="BA16">
            <v>273900</v>
          </cell>
          <cell r="BB16">
            <v>270200</v>
          </cell>
          <cell r="BC16">
            <v>273700</v>
          </cell>
          <cell r="BD16">
            <v>300600</v>
          </cell>
          <cell r="BE16">
            <v>249900</v>
          </cell>
          <cell r="BF16">
            <v>236000</v>
          </cell>
          <cell r="BG16">
            <v>227300</v>
          </cell>
          <cell r="BH16">
            <v>254100</v>
          </cell>
          <cell r="BI16">
            <v>237500</v>
          </cell>
          <cell r="BJ16">
            <v>237000</v>
          </cell>
          <cell r="BK16">
            <v>243100</v>
          </cell>
          <cell r="BL16">
            <v>205700</v>
          </cell>
          <cell r="BM16">
            <v>232800</v>
          </cell>
          <cell r="BN16">
            <v>230700</v>
          </cell>
          <cell r="BO16">
            <v>226400</v>
          </cell>
          <cell r="BP16">
            <v>243800</v>
          </cell>
          <cell r="BQ16">
            <v>219800</v>
          </cell>
          <cell r="BR16">
            <v>214600</v>
          </cell>
          <cell r="BS16">
            <v>215800</v>
          </cell>
          <cell r="BT16">
            <v>256483.16656346747</v>
          </cell>
          <cell r="BV16" t="str">
            <v>mstag:sellingGeneralAndAdministrativeExpenses</v>
          </cell>
          <cell r="BW16">
            <v>3</v>
          </cell>
          <cell r="BX16" t="str">
            <v>ISO4217:USD</v>
          </cell>
          <cell r="BY16" t="b">
            <v>0</v>
          </cell>
          <cell r="BZ16" t="b">
            <v>0</v>
          </cell>
        </row>
        <row r="17">
          <cell r="A17" t="str">
            <v xml:space="preserve">  % y/y growth</v>
          </cell>
          <cell r="G17">
            <v>-8.306769621884913E-2</v>
          </cell>
          <cell r="H17">
            <v>-0.57824237825058222</v>
          </cell>
          <cell r="I17">
            <v>-3.2714412024756889E-2</v>
          </cell>
          <cell r="J17">
            <v>-3.2906764168190161E-2</v>
          </cell>
          <cell r="K17">
            <v>0.22802457466918713</v>
          </cell>
          <cell r="L17" t="str">
            <v>na</v>
          </cell>
          <cell r="M17">
            <v>0.80291497975708492</v>
          </cell>
          <cell r="N17">
            <v>4.5809754783077139E-3</v>
          </cell>
          <cell r="O17">
            <v>-0.1351037195994278</v>
          </cell>
          <cell r="P17">
            <v>-4.5487439263930507E-2</v>
          </cell>
          <cell r="Q17">
            <v>1.1263944546734628E-2</v>
          </cell>
          <cell r="R17">
            <v>-2.8935239837777127E-2</v>
          </cell>
          <cell r="S17">
            <v>-3.6955628884191682E-2</v>
          </cell>
          <cell r="T17">
            <v>-7.6800215916127401E-3</v>
          </cell>
          <cell r="U17">
            <v>-2.3577004004404767E-3</v>
          </cell>
          <cell r="V17">
            <v>6.3990609671926713E-4</v>
          </cell>
          <cell r="AC17">
            <v>-0.5464223115349649</v>
          </cell>
          <cell r="AD17">
            <v>-0.58734195106026488</v>
          </cell>
          <cell r="AE17">
            <v>-0.59193652458210955</v>
          </cell>
          <cell r="AF17">
            <v>-0.58614513256596124</v>
          </cell>
          <cell r="AG17">
            <v>-9.9662162162162171E-2</v>
          </cell>
          <cell r="AH17">
            <v>2.0776874435411097E-2</v>
          </cell>
          <cell r="AI17">
            <v>-5.2393857271906041E-2</v>
          </cell>
          <cell r="AJ17">
            <v>4.4404973357015098E-3</v>
          </cell>
          <cell r="AK17">
            <v>3.3771106941838713E-2</v>
          </cell>
          <cell r="AL17">
            <v>-3.8053097345132736E-2</v>
          </cell>
          <cell r="AM17">
            <v>4.7664442326025291E-3</v>
          </cell>
          <cell r="AN17">
            <v>-0.12555260831122905</v>
          </cell>
          <cell r="AO17">
            <v>0.21143375680580756</v>
          </cell>
          <cell r="AP17">
            <v>0.19963201471941128</v>
          </cell>
          <cell r="AQ17">
            <v>0.22011385199240996</v>
          </cell>
          <cell r="AR17">
            <v>0.28614762386248738</v>
          </cell>
          <cell r="AS17" t="str">
            <v>na</v>
          </cell>
          <cell r="AT17" t="str">
            <v>na</v>
          </cell>
          <cell r="AU17" t="str">
            <v>na</v>
          </cell>
          <cell r="AV17" t="str">
            <v>na</v>
          </cell>
          <cell r="AW17">
            <v>0.77557544757033248</v>
          </cell>
          <cell r="AX17">
            <v>0.77571884984025563</v>
          </cell>
          <cell r="AY17">
            <v>0.79352750809061479</v>
          </cell>
          <cell r="AZ17">
            <v>0.86942038640906061</v>
          </cell>
          <cell r="BA17">
            <v>-1.368383147281238E-2</v>
          </cell>
          <cell r="BB17">
            <v>-2.7707808564231717E-2</v>
          </cell>
          <cell r="BC17">
            <v>-1.2269938650306789E-2</v>
          </cell>
          <cell r="BD17">
            <v>7.1275837491090455E-2</v>
          </cell>
          <cell r="BE17">
            <v>-8.7623220153340675E-2</v>
          </cell>
          <cell r="BF17">
            <v>-0.12657290895632867</v>
          </cell>
          <cell r="BG17">
            <v>-0.16952868103763241</v>
          </cell>
          <cell r="BH17">
            <v>-0.15469061876247503</v>
          </cell>
          <cell r="BI17">
            <v>-4.9619847939175621E-2</v>
          </cell>
          <cell r="BJ17">
            <v>4.237288135593209E-3</v>
          </cell>
          <cell r="BK17">
            <v>6.9511658600967863E-2</v>
          </cell>
          <cell r="BL17">
            <v>-0.19047619047619047</v>
          </cell>
          <cell r="BM17">
            <v>-1.9789473684210579E-2</v>
          </cell>
          <cell r="BN17">
            <v>-2.6582278481012689E-2</v>
          </cell>
          <cell r="BO17">
            <v>-6.8696009872480479E-2</v>
          </cell>
          <cell r="BP17">
            <v>0.18522119591638297</v>
          </cell>
          <cell r="BQ17">
            <v>-5.5841924398625453E-2</v>
          </cell>
          <cell r="BR17">
            <v>-6.9787602947550931E-2</v>
          </cell>
          <cell r="BS17">
            <v>-4.6819787985865724E-2</v>
          </cell>
          <cell r="BT17">
            <v>5.2022832499866611E-2</v>
          </cell>
        </row>
        <row r="18">
          <cell r="A18" t="str">
            <v>% of revenues</v>
          </cell>
          <cell r="K18">
            <v>0.13535264090009377</v>
          </cell>
          <cell r="L18">
            <v>0.14593278820248617</v>
          </cell>
          <cell r="M18">
            <v>0.17786333935104565</v>
          </cell>
          <cell r="N18">
            <v>0.17925662355147376</v>
          </cell>
          <cell r="O18">
            <v>0.1575535467057578</v>
          </cell>
          <cell r="P18">
            <v>0.15418914179789917</v>
          </cell>
          <cell r="Q18">
            <v>0.16136670007949949</v>
          </cell>
          <cell r="R18">
            <v>0.15764546803868074</v>
          </cell>
          <cell r="S18">
            <v>0.15740000000000001</v>
          </cell>
          <cell r="T18">
            <v>0.15790000000000001</v>
          </cell>
          <cell r="U18">
            <v>0.15840000000000001</v>
          </cell>
          <cell r="V18">
            <v>0.15890000000000001</v>
          </cell>
          <cell r="AO18">
            <v>0.13788473455897543</v>
          </cell>
          <cell r="AP18">
            <v>0.13503158330744539</v>
          </cell>
          <cell r="AQ18">
            <v>0.13437826541274817</v>
          </cell>
          <cell r="AR18">
            <v>0.13407821229050279</v>
          </cell>
          <cell r="AS18">
            <v>0.1462228870605834</v>
          </cell>
          <cell r="AT18">
            <v>0.14797655068078669</v>
          </cell>
          <cell r="AU18">
            <v>0.14703083365055197</v>
          </cell>
          <cell r="AV18">
            <v>0.14249098158344409</v>
          </cell>
          <cell r="AW18">
            <v>0.176856451407464</v>
          </cell>
          <cell r="AX18">
            <v>0.17818671454219032</v>
          </cell>
          <cell r="AY18">
            <v>0.17637324167780535</v>
          </cell>
          <cell r="AZ18">
            <v>0.18005646817248461</v>
          </cell>
          <cell r="BA18">
            <v>0.17634560906515581</v>
          </cell>
          <cell r="BB18">
            <v>0.17361691190644477</v>
          </cell>
          <cell r="BC18">
            <v>0.17486583184257604</v>
          </cell>
          <cell r="BD18">
            <v>0.19215034518026081</v>
          </cell>
          <cell r="BE18">
            <v>0.16289681246333354</v>
          </cell>
          <cell r="BF18">
            <v>0.15421812716460825</v>
          </cell>
          <cell r="BG18">
            <v>0.14750162232316677</v>
          </cell>
          <cell r="BH18">
            <v>0.16563457401733916</v>
          </cell>
          <cell r="BI18">
            <v>0.15870364183093885</v>
          </cell>
          <cell r="BJ18">
            <v>0.15782113604581474</v>
          </cell>
          <cell r="BK18">
            <v>0.16221807019885226</v>
          </cell>
          <cell r="BL18">
            <v>0.13793334674445115</v>
          </cell>
          <cell r="BM18">
            <v>0.16018716025596919</v>
          </cell>
          <cell r="BN18">
            <v>0.15856759914770774</v>
          </cell>
          <cell r="BO18">
            <v>0.1566890442245138</v>
          </cell>
          <cell r="BP18">
            <v>0.17012071732607634</v>
          </cell>
          <cell r="BQ18">
            <v>0.15598609041231992</v>
          </cell>
          <cell r="BR18">
            <v>0.15125458133634057</v>
          </cell>
          <cell r="BS18">
            <v>0.14400106766315227</v>
          </cell>
          <cell r="BT18">
            <v>0.18</v>
          </cell>
        </row>
        <row r="19">
          <cell r="A19" t="str">
            <v>Restructuring Charges</v>
          </cell>
          <cell r="G19">
            <v>0</v>
          </cell>
          <cell r="H19">
            <v>4500</v>
          </cell>
          <cell r="I19">
            <v>10600</v>
          </cell>
          <cell r="J19">
            <v>4600</v>
          </cell>
          <cell r="K19">
            <v>8500</v>
          </cell>
          <cell r="L19">
            <v>9100</v>
          </cell>
          <cell r="M19">
            <v>7700</v>
          </cell>
          <cell r="N19">
            <v>1300</v>
          </cell>
          <cell r="O19">
            <v>27400</v>
          </cell>
          <cell r="P19">
            <v>8600</v>
          </cell>
          <cell r="Q19">
            <v>35900</v>
          </cell>
          <cell r="R19">
            <v>23650</v>
          </cell>
          <cell r="S19">
            <v>7883.333333333333</v>
          </cell>
          <cell r="T19">
            <v>3941.6666666666665</v>
          </cell>
          <cell r="AE19">
            <v>4700</v>
          </cell>
          <cell r="AF19">
            <v>-200</v>
          </cell>
          <cell r="AG19">
            <v>0</v>
          </cell>
          <cell r="AH19">
            <v>0</v>
          </cell>
          <cell r="AI19">
            <v>0</v>
          </cell>
          <cell r="AJ19">
            <v>10600</v>
          </cell>
          <cell r="AK19">
            <v>3200</v>
          </cell>
          <cell r="AL19">
            <v>0</v>
          </cell>
          <cell r="AM19">
            <v>200</v>
          </cell>
          <cell r="AN19">
            <v>1200</v>
          </cell>
          <cell r="AO19">
            <v>600</v>
          </cell>
          <cell r="AP19">
            <v>500</v>
          </cell>
          <cell r="AQ19">
            <v>1000</v>
          </cell>
          <cell r="AR19">
            <v>6400</v>
          </cell>
          <cell r="AS19">
            <v>-100</v>
          </cell>
          <cell r="AT19">
            <v>-100</v>
          </cell>
          <cell r="AU19">
            <v>7500</v>
          </cell>
          <cell r="AV19">
            <v>1800</v>
          </cell>
          <cell r="AW19">
            <v>0</v>
          </cell>
          <cell r="AX19">
            <v>500</v>
          </cell>
          <cell r="AY19">
            <v>200</v>
          </cell>
          <cell r="AZ19">
            <v>7000</v>
          </cell>
          <cell r="BA19">
            <v>100</v>
          </cell>
          <cell r="BB19">
            <v>100</v>
          </cell>
          <cell r="BC19">
            <v>500</v>
          </cell>
          <cell r="BD19">
            <v>600</v>
          </cell>
          <cell r="BE19">
            <v>900</v>
          </cell>
          <cell r="BF19">
            <v>10300</v>
          </cell>
          <cell r="BG19">
            <v>12100</v>
          </cell>
          <cell r="BH19">
            <v>4100</v>
          </cell>
          <cell r="BI19">
            <v>4900</v>
          </cell>
          <cell r="BJ19">
            <v>2600</v>
          </cell>
          <cell r="BK19">
            <v>800</v>
          </cell>
          <cell r="BL19">
            <v>300</v>
          </cell>
          <cell r="BM19">
            <v>12400</v>
          </cell>
          <cell r="BN19">
            <v>3800</v>
          </cell>
          <cell r="BO19">
            <v>3600</v>
          </cell>
          <cell r="BP19">
            <v>16100</v>
          </cell>
          <cell r="BQ19">
            <v>7000</v>
          </cell>
          <cell r="BR19">
            <v>3400</v>
          </cell>
          <cell r="BS19">
            <v>5300</v>
          </cell>
          <cell r="BT19">
            <v>7950</v>
          </cell>
          <cell r="BV19" t="str">
            <v>mstag:restructuringCostsOneTime</v>
          </cell>
          <cell r="BW19">
            <v>3</v>
          </cell>
          <cell r="BX19" t="str">
            <v>ISO4217:USD</v>
          </cell>
          <cell r="BY19" t="b">
            <v>0</v>
          </cell>
        </row>
        <row r="20">
          <cell r="A20" t="str">
            <v>Integration Costs</v>
          </cell>
          <cell r="M20">
            <v>77300</v>
          </cell>
          <cell r="N20">
            <v>69800</v>
          </cell>
          <cell r="O20">
            <v>65000</v>
          </cell>
          <cell r="P20">
            <v>15000</v>
          </cell>
          <cell r="Q20">
            <v>40400</v>
          </cell>
          <cell r="R20">
            <v>85612.5</v>
          </cell>
          <cell r="S20">
            <v>28537.5</v>
          </cell>
          <cell r="T20">
            <v>14268.75</v>
          </cell>
          <cell r="AW20">
            <v>23200</v>
          </cell>
          <cell r="AX20">
            <v>16800</v>
          </cell>
          <cell r="AY20">
            <v>11500</v>
          </cell>
          <cell r="AZ20">
            <v>25800</v>
          </cell>
          <cell r="BA20">
            <v>8900</v>
          </cell>
          <cell r="BB20">
            <v>5100</v>
          </cell>
          <cell r="BC20">
            <v>19900</v>
          </cell>
          <cell r="BD20">
            <v>35900</v>
          </cell>
          <cell r="BE20">
            <v>22300</v>
          </cell>
          <cell r="BF20">
            <v>19400</v>
          </cell>
          <cell r="BG20">
            <v>12700</v>
          </cell>
          <cell r="BH20">
            <v>11000</v>
          </cell>
          <cell r="BI20">
            <v>5100</v>
          </cell>
          <cell r="BJ20">
            <v>6900</v>
          </cell>
          <cell r="BK20">
            <v>5800</v>
          </cell>
          <cell r="BL20">
            <v>12400</v>
          </cell>
          <cell r="BM20">
            <v>7900</v>
          </cell>
          <cell r="BN20">
            <v>8100</v>
          </cell>
          <cell r="BO20">
            <v>10000</v>
          </cell>
          <cell r="BP20">
            <v>14400</v>
          </cell>
          <cell r="BQ20">
            <v>14100</v>
          </cell>
          <cell r="BR20">
            <v>57300</v>
          </cell>
          <cell r="BS20">
            <v>3100</v>
          </cell>
          <cell r="BT20">
            <v>11112.5</v>
          </cell>
        </row>
        <row r="21">
          <cell r="A21" t="str">
            <v>Restricted Stock Expense</v>
          </cell>
          <cell r="K21">
            <v>19000</v>
          </cell>
          <cell r="L21">
            <v>26200</v>
          </cell>
          <cell r="M21">
            <v>29000</v>
          </cell>
          <cell r="N21">
            <v>39900</v>
          </cell>
          <cell r="O21">
            <v>37000</v>
          </cell>
          <cell r="P21">
            <v>44700</v>
          </cell>
          <cell r="Q21">
            <v>41800</v>
          </cell>
          <cell r="R21">
            <v>57500</v>
          </cell>
          <cell r="S21">
            <v>57500</v>
          </cell>
          <cell r="T21">
            <v>57500</v>
          </cell>
          <cell r="U21">
            <v>57500</v>
          </cell>
          <cell r="V21">
            <v>57500</v>
          </cell>
          <cell r="AK21">
            <v>3900</v>
          </cell>
          <cell r="AL21">
            <v>4600</v>
          </cell>
          <cell r="AM21">
            <v>3900</v>
          </cell>
          <cell r="AN21">
            <v>3900</v>
          </cell>
          <cell r="AO21">
            <v>4800</v>
          </cell>
          <cell r="AP21">
            <v>5100</v>
          </cell>
          <cell r="AQ21">
            <v>4100</v>
          </cell>
          <cell r="AR21">
            <v>5000</v>
          </cell>
          <cell r="AS21">
            <v>6900</v>
          </cell>
          <cell r="AT21">
            <v>8000</v>
          </cell>
          <cell r="AU21">
            <v>5600</v>
          </cell>
          <cell r="AV21">
            <v>5700</v>
          </cell>
          <cell r="AW21">
            <v>7400</v>
          </cell>
          <cell r="AX21">
            <v>7500</v>
          </cell>
          <cell r="AY21">
            <v>7400</v>
          </cell>
          <cell r="AZ21">
            <v>6700</v>
          </cell>
          <cell r="BA21">
            <v>7900</v>
          </cell>
          <cell r="BB21">
            <v>8900</v>
          </cell>
          <cell r="BC21">
            <v>11400</v>
          </cell>
          <cell r="BD21">
            <v>11700</v>
          </cell>
          <cell r="BE21">
            <v>7400</v>
          </cell>
          <cell r="BF21">
            <v>6300</v>
          </cell>
          <cell r="BG21">
            <v>5600</v>
          </cell>
          <cell r="BH21">
            <v>23700</v>
          </cell>
          <cell r="BI21">
            <v>12300</v>
          </cell>
          <cell r="BJ21">
            <v>10400</v>
          </cell>
          <cell r="BK21">
            <v>11200</v>
          </cell>
          <cell r="BL21">
            <v>10800</v>
          </cell>
          <cell r="BM21">
            <v>13700</v>
          </cell>
          <cell r="BN21">
            <v>14000</v>
          </cell>
          <cell r="BO21">
            <v>10600</v>
          </cell>
          <cell r="BP21">
            <v>3500</v>
          </cell>
          <cell r="BQ21">
            <v>14800</v>
          </cell>
          <cell r="BR21">
            <v>13500</v>
          </cell>
          <cell r="BS21">
            <v>14600</v>
          </cell>
          <cell r="BT21">
            <v>14600</v>
          </cell>
        </row>
        <row r="22">
          <cell r="A22" t="str">
            <v>Pension Expense (benefit)</v>
          </cell>
          <cell r="F22">
            <v>0</v>
          </cell>
          <cell r="G22">
            <v>0</v>
          </cell>
          <cell r="H22">
            <v>0</v>
          </cell>
          <cell r="I22">
            <v>0</v>
          </cell>
          <cell r="J22">
            <v>18800</v>
          </cell>
          <cell r="K22">
            <v>1800</v>
          </cell>
          <cell r="L22">
            <v>92500</v>
          </cell>
          <cell r="M22">
            <v>52700</v>
          </cell>
          <cell r="N22">
            <v>166300</v>
          </cell>
          <cell r="O22">
            <v>67400</v>
          </cell>
          <cell r="P22">
            <v>-115300.00000000001</v>
          </cell>
          <cell r="Q22">
            <v>128300.00000000001</v>
          </cell>
          <cell r="R22">
            <v>121600</v>
          </cell>
          <cell r="S22">
            <v>15835.488950000015</v>
          </cell>
          <cell r="T22">
            <v>56153.452937000053</v>
          </cell>
          <cell r="U22">
            <v>56153.452937000053</v>
          </cell>
          <cell r="V22">
            <v>56153.452937000053</v>
          </cell>
          <cell r="Y22">
            <v>0</v>
          </cell>
          <cell r="Z22">
            <v>0</v>
          </cell>
          <cell r="AA22">
            <v>0</v>
          </cell>
          <cell r="AB22">
            <v>0</v>
          </cell>
          <cell r="AK22">
            <v>4300</v>
          </cell>
          <cell r="AL22">
            <v>5400</v>
          </cell>
          <cell r="AM22">
            <v>4900</v>
          </cell>
          <cell r="AN22">
            <v>4200</v>
          </cell>
          <cell r="AO22">
            <v>400</v>
          </cell>
          <cell r="AP22">
            <v>700</v>
          </cell>
          <cell r="AQ22">
            <v>500</v>
          </cell>
          <cell r="AR22">
            <v>200</v>
          </cell>
          <cell r="AS22">
            <v>22800</v>
          </cell>
          <cell r="AT22">
            <v>22800</v>
          </cell>
          <cell r="AU22">
            <v>23000</v>
          </cell>
          <cell r="AV22">
            <v>23900</v>
          </cell>
          <cell r="AW22">
            <v>3800</v>
          </cell>
          <cell r="AX22">
            <v>5400</v>
          </cell>
          <cell r="AY22">
            <v>3800</v>
          </cell>
          <cell r="AZ22">
            <v>39700</v>
          </cell>
          <cell r="BA22">
            <v>-200</v>
          </cell>
          <cell r="BB22">
            <v>4100</v>
          </cell>
          <cell r="BC22">
            <v>-700</v>
          </cell>
          <cell r="BD22">
            <v>163100</v>
          </cell>
          <cell r="BE22">
            <v>-1100</v>
          </cell>
          <cell r="BF22">
            <v>1200</v>
          </cell>
          <cell r="BG22">
            <v>-1400</v>
          </cell>
          <cell r="BH22">
            <v>68700</v>
          </cell>
          <cell r="BI22">
            <v>-1200</v>
          </cell>
          <cell r="BJ22">
            <v>2300</v>
          </cell>
          <cell r="BK22">
            <v>-1100</v>
          </cell>
          <cell r="BL22">
            <v>-115300</v>
          </cell>
          <cell r="BM22">
            <v>-300</v>
          </cell>
          <cell r="BN22">
            <v>6300</v>
          </cell>
          <cell r="BO22">
            <v>200</v>
          </cell>
          <cell r="BP22">
            <v>122100</v>
          </cell>
          <cell r="BQ22">
            <v>-1800</v>
          </cell>
          <cell r="BR22">
            <v>-4700</v>
          </cell>
          <cell r="BS22">
            <v>-1900</v>
          </cell>
          <cell r="BT22">
            <v>130000</v>
          </cell>
        </row>
        <row r="23">
          <cell r="A23" t="str">
            <v>Synergies</v>
          </cell>
          <cell r="O23">
            <v>-70000</v>
          </cell>
          <cell r="P23">
            <v>-88000</v>
          </cell>
          <cell r="Q23">
            <v>0</v>
          </cell>
          <cell r="R23">
            <v>0</v>
          </cell>
          <cell r="S23">
            <v>0</v>
          </cell>
          <cell r="T23">
            <v>0</v>
          </cell>
          <cell r="U23">
            <v>0</v>
          </cell>
          <cell r="V23">
            <v>0</v>
          </cell>
          <cell r="BE23">
            <v>-6000</v>
          </cell>
          <cell r="BF23">
            <v>-12000</v>
          </cell>
          <cell r="BG23">
            <v>-15000</v>
          </cell>
          <cell r="BH23">
            <v>-17500</v>
          </cell>
          <cell r="BI23">
            <v>-19000</v>
          </cell>
          <cell r="BJ23">
            <v>-20000</v>
          </cell>
          <cell r="BK23">
            <v>-20000</v>
          </cell>
          <cell r="BL23">
            <v>-22000</v>
          </cell>
        </row>
        <row r="24">
          <cell r="A24" t="str">
            <v>Other</v>
          </cell>
          <cell r="Q24">
            <v>-20500</v>
          </cell>
          <cell r="R24">
            <v>-5500</v>
          </cell>
          <cell r="BM24">
            <v>-5500</v>
          </cell>
          <cell r="BN24">
            <v>-5200</v>
          </cell>
          <cell r="BO24">
            <v>-5100</v>
          </cell>
          <cell r="BP24">
            <v>-4700</v>
          </cell>
          <cell r="BQ24">
            <v>-4300</v>
          </cell>
          <cell r="BR24">
            <v>-1200</v>
          </cell>
          <cell r="BS24">
            <v>0</v>
          </cell>
          <cell r="BT24">
            <v>0</v>
          </cell>
          <cell r="BV24" t="str">
            <v>mstag:restructuringCostsOneTime</v>
          </cell>
          <cell r="BW24">
            <v>3</v>
          </cell>
          <cell r="BX24" t="str">
            <v>ISO4217:USD</v>
          </cell>
          <cell r="BY24" t="b">
            <v>0</v>
          </cell>
        </row>
        <row r="25">
          <cell r="A25" t="str">
            <v>Cash Operating Expenses</v>
          </cell>
          <cell r="F25">
            <v>1792423</v>
          </cell>
          <cell r="G25">
            <v>1720538</v>
          </cell>
          <cell r="H25">
            <v>1548900</v>
          </cell>
          <cell r="I25">
            <v>1558200</v>
          </cell>
          <cell r="J25">
            <v>1594300</v>
          </cell>
          <cell r="K25">
            <v>1991600</v>
          </cell>
          <cell r="L25">
            <v>2281500</v>
          </cell>
          <cell r="M25">
            <v>3935000</v>
          </cell>
          <cell r="N25">
            <v>4015500</v>
          </cell>
          <cell r="O25">
            <v>3866100</v>
          </cell>
          <cell r="P25">
            <v>3599400</v>
          </cell>
          <cell r="Q25">
            <v>3836900</v>
          </cell>
          <cell r="R25">
            <v>3892655.3282765737</v>
          </cell>
          <cell r="S25">
            <v>3746779.869189648</v>
          </cell>
          <cell r="T25">
            <v>3763849.5719648958</v>
          </cell>
          <cell r="U25">
            <v>3751308.5794190438</v>
          </cell>
          <cell r="V25">
            <v>3744619.2953582304</v>
          </cell>
          <cell r="W25">
            <v>8.3017840136838661E-3</v>
          </cell>
          <cell r="Y25">
            <v>407637.76743530028</v>
          </cell>
          <cell r="Z25">
            <v>428668.85250106605</v>
          </cell>
          <cell r="AA25">
            <v>430352.32427592087</v>
          </cell>
          <cell r="AB25">
            <v>453879.0557877128</v>
          </cell>
          <cell r="AC25">
            <v>390100</v>
          </cell>
          <cell r="AD25">
            <v>399300</v>
          </cell>
          <cell r="AE25">
            <v>389900</v>
          </cell>
          <cell r="AF25">
            <v>369600</v>
          </cell>
          <cell r="AG25">
            <v>374400</v>
          </cell>
          <cell r="AH25">
            <v>382200</v>
          </cell>
          <cell r="AI25">
            <v>399900</v>
          </cell>
          <cell r="AJ25">
            <v>401700</v>
          </cell>
          <cell r="AK25">
            <v>397200</v>
          </cell>
          <cell r="AL25">
            <v>408900</v>
          </cell>
          <cell r="AM25">
            <v>399900</v>
          </cell>
          <cell r="AN25">
            <v>388300</v>
          </cell>
          <cell r="AO25">
            <v>497200</v>
          </cell>
          <cell r="AP25">
            <v>498700</v>
          </cell>
          <cell r="AQ25">
            <v>506100</v>
          </cell>
          <cell r="AR25">
            <v>489600</v>
          </cell>
          <cell r="AS25">
            <v>573600</v>
          </cell>
          <cell r="AT25">
            <v>577100</v>
          </cell>
          <cell r="AU25">
            <v>573800</v>
          </cell>
          <cell r="AV25">
            <v>557000</v>
          </cell>
          <cell r="AW25">
            <v>977400</v>
          </cell>
          <cell r="AX25">
            <v>976100</v>
          </cell>
          <cell r="AY25">
            <v>986100</v>
          </cell>
          <cell r="AZ25">
            <v>995400</v>
          </cell>
          <cell r="BA25">
            <v>956700</v>
          </cell>
          <cell r="BB25">
            <v>961300</v>
          </cell>
          <cell r="BC25">
            <v>965600</v>
          </cell>
          <cell r="BD25">
            <v>1131900</v>
          </cell>
          <cell r="BE25">
            <v>954400</v>
          </cell>
          <cell r="BF25">
            <v>948100</v>
          </cell>
          <cell r="BG25">
            <v>954500</v>
          </cell>
          <cell r="BH25">
            <v>1009100</v>
          </cell>
          <cell r="BI25">
            <v>921300</v>
          </cell>
          <cell r="BJ25">
            <v>933000</v>
          </cell>
          <cell r="BK25">
            <v>934200</v>
          </cell>
          <cell r="BL25">
            <v>810900</v>
          </cell>
          <cell r="BM25">
            <v>931800</v>
          </cell>
          <cell r="BN25">
            <v>937000</v>
          </cell>
          <cell r="BO25">
            <v>936300</v>
          </cell>
          <cell r="BP25">
            <v>1031800</v>
          </cell>
          <cell r="BQ25">
            <v>931700</v>
          </cell>
          <cell r="BR25">
            <v>938200</v>
          </cell>
          <cell r="BS25">
            <v>961200</v>
          </cell>
          <cell r="BT25">
            <v>1061555.3282765737</v>
          </cell>
        </row>
        <row r="26">
          <cell r="A26" t="str">
            <v>% y/y growth</v>
          </cell>
          <cell r="L26">
            <v>0.14556135770234979</v>
          </cell>
          <cell r="M26">
            <v>0.72474249397326318</v>
          </cell>
          <cell r="N26">
            <v>2.0457433290978377E-2</v>
          </cell>
          <cell r="O26">
            <v>-3.7205827418752335E-2</v>
          </cell>
          <cell r="P26">
            <v>-6.8984247691472045E-2</v>
          </cell>
          <cell r="Q26">
            <v>6.5983219425459705E-2</v>
          </cell>
          <cell r="R26">
            <v>1.4531347774654924E-2</v>
          </cell>
          <cell r="S26">
            <v>-3.747453776019527E-2</v>
          </cell>
          <cell r="T26">
            <v>4.5558328407853121E-3</v>
          </cell>
          <cell r="U26">
            <v>-3.3319590238843899E-3</v>
          </cell>
          <cell r="V26">
            <v>-1.7831868317933486E-3</v>
          </cell>
          <cell r="AS26">
            <v>0.15366049879324217</v>
          </cell>
          <cell r="AT26">
            <v>0.15720874273110086</v>
          </cell>
          <cell r="AU26">
            <v>0.13376803003359017</v>
          </cell>
          <cell r="AV26">
            <v>0.13766339869281041</v>
          </cell>
          <cell r="AW26">
            <v>0.70397489539748959</v>
          </cell>
          <cell r="AX26">
            <v>0.69138797435453125</v>
          </cell>
          <cell r="AY26">
            <v>0.7185430463576159</v>
          </cell>
          <cell r="AZ26">
            <v>0.78707360861759423</v>
          </cell>
          <cell r="BA26">
            <v>-2.117863720073665E-2</v>
          </cell>
          <cell r="BB26">
            <v>-1.5162380903595896E-2</v>
          </cell>
          <cell r="BC26">
            <v>-2.0788966636243744E-2</v>
          </cell>
          <cell r="BD26">
            <v>0.1371308016877637</v>
          </cell>
          <cell r="BE26">
            <v>-2.4040974182084618E-3</v>
          </cell>
          <cell r="BF26">
            <v>-1.3731405388536344E-2</v>
          </cell>
          <cell r="BG26">
            <v>-1.1495443247721671E-2</v>
          </cell>
          <cell r="BH26">
            <v>-0.10849014930647582</v>
          </cell>
          <cell r="BI26">
            <v>-3.4681475272422491E-2</v>
          </cell>
          <cell r="BJ26">
            <v>-1.5926590022149578E-2</v>
          </cell>
          <cell r="BK26">
            <v>-2.1267679413305429E-2</v>
          </cell>
          <cell r="BL26">
            <v>-0.19641264493112676</v>
          </cell>
          <cell r="BM26">
            <v>1.1396939107782389E-2</v>
          </cell>
          <cell r="BN26">
            <v>4.2872454448017461E-3</v>
          </cell>
          <cell r="BO26">
            <v>2.2479126525369875E-3</v>
          </cell>
          <cell r="BP26">
            <v>0.27241336786286841</v>
          </cell>
          <cell r="BQ26">
            <v>-1.0731916720330137E-4</v>
          </cell>
          <cell r="BR26">
            <v>1.2806830309497474E-3</v>
          </cell>
          <cell r="BS26">
            <v>2.6594040371675787E-2</v>
          </cell>
          <cell r="BT26">
            <v>2.8838271250798186E-2</v>
          </cell>
        </row>
        <row r="27">
          <cell r="A27" t="str">
            <v>% of revenues</v>
          </cell>
          <cell r="K27">
            <v>0.51869986456922601</v>
          </cell>
          <cell r="L27">
            <v>0.53918324904286996</v>
          </cell>
          <cell r="M27">
            <v>0.62866454715383513</v>
          </cell>
          <cell r="N27">
            <v>0.643602442659999</v>
          </cell>
          <cell r="O27">
            <v>0.62970925971170288</v>
          </cell>
          <cell r="P27">
            <v>0.60109216612949012</v>
          </cell>
          <cell r="Q27">
            <v>0.66311223255331653</v>
          </cell>
          <cell r="R27">
            <v>0.67681798203592103</v>
          </cell>
          <cell r="S27">
            <v>0.6754</v>
          </cell>
          <cell r="T27">
            <v>0.68590000000000007</v>
          </cell>
          <cell r="U27">
            <v>0.68740000000000001</v>
          </cell>
          <cell r="V27">
            <v>0.68790000000000007</v>
          </cell>
          <cell r="AO27">
            <v>0.51353026234249122</v>
          </cell>
          <cell r="AP27">
            <v>0.5164129646888268</v>
          </cell>
          <cell r="AQ27">
            <v>0.52884012539184955</v>
          </cell>
          <cell r="AR27">
            <v>0.51607462843891638</v>
          </cell>
          <cell r="AS27">
            <v>0.53627524308152585</v>
          </cell>
          <cell r="AT27">
            <v>0.54566944024205744</v>
          </cell>
          <cell r="AU27">
            <v>0.54606014465169395</v>
          </cell>
          <cell r="AV27">
            <v>0.52876400227833686</v>
          </cell>
          <cell r="AW27">
            <v>0.62246847535345817</v>
          </cell>
          <cell r="AX27">
            <v>0.62586560656578605</v>
          </cell>
          <cell r="AY27">
            <v>0.6276494176054993</v>
          </cell>
          <cell r="AZ27">
            <v>0.63873203285420943</v>
          </cell>
          <cell r="BA27">
            <v>0.61595415915529228</v>
          </cell>
          <cell r="BB27">
            <v>0.6176829660091242</v>
          </cell>
          <cell r="BC27">
            <v>0.6169179657551751</v>
          </cell>
          <cell r="BD27">
            <v>0.72353618000511377</v>
          </cell>
          <cell r="BE27">
            <v>0.62212372074832145</v>
          </cell>
          <cell r="BF27">
            <v>0.61955172188459784</v>
          </cell>
          <cell r="BG27">
            <v>0.61940298507462688</v>
          </cell>
          <cell r="BH27">
            <v>0.65777980574929928</v>
          </cell>
          <cell r="BI27">
            <v>0.61563648513197455</v>
          </cell>
          <cell r="BJ27">
            <v>0.6212958646866884</v>
          </cell>
          <cell r="BK27">
            <v>0.62338182303483247</v>
          </cell>
          <cell r="BL27">
            <v>0.54375377187688589</v>
          </cell>
          <cell r="BM27">
            <v>0.64116149452969107</v>
          </cell>
          <cell r="BN27">
            <v>0.64403051756134444</v>
          </cell>
          <cell r="BO27">
            <v>0.64800332202920619</v>
          </cell>
          <cell r="BP27">
            <v>0.71997767078361596</v>
          </cell>
          <cell r="BQ27">
            <v>0.66120218579234968</v>
          </cell>
          <cell r="BR27">
            <v>0.66126303918804619</v>
          </cell>
          <cell r="BS27">
            <v>0.64139863872948089</v>
          </cell>
          <cell r="BT27">
            <v>0.745</v>
          </cell>
        </row>
        <row r="29">
          <cell r="A29" t="str">
            <v>EBITDA</v>
          </cell>
          <cell r="F29">
            <v>1708211</v>
          </cell>
          <cell r="G29">
            <v>1720272</v>
          </cell>
          <cell r="H29">
            <v>1641702</v>
          </cell>
          <cell r="I29">
            <v>1634127</v>
          </cell>
          <cell r="J29">
            <v>1739800</v>
          </cell>
          <cell r="K29">
            <v>1848000</v>
          </cell>
          <cell r="L29">
            <v>1949900</v>
          </cell>
          <cell r="M29">
            <v>2324300</v>
          </cell>
          <cell r="N29">
            <v>2223600</v>
          </cell>
          <cell r="O29">
            <v>2273400</v>
          </cell>
          <cell r="P29">
            <v>2388700</v>
          </cell>
          <cell r="Q29">
            <v>1949300</v>
          </cell>
          <cell r="R29">
            <v>1858751.152631579</v>
          </cell>
          <cell r="S29">
            <v>1800717.7162258802</v>
          </cell>
          <cell r="T29">
            <v>1723611.5331012881</v>
          </cell>
          <cell r="U29">
            <v>1705934.0441175345</v>
          </cell>
          <cell r="V29">
            <v>1698932.5222871108</v>
          </cell>
          <cell r="W29" t="str">
            <v>nm</v>
          </cell>
          <cell r="Y29">
            <v>430395.952156657</v>
          </cell>
          <cell r="Z29">
            <v>438930.38329779904</v>
          </cell>
          <cell r="AA29">
            <v>422504.99080263718</v>
          </cell>
          <cell r="AB29">
            <v>428440.67374290677</v>
          </cell>
          <cell r="AC29">
            <v>394117</v>
          </cell>
          <cell r="AD29">
            <v>407292</v>
          </cell>
          <cell r="AE29">
            <v>407063</v>
          </cell>
          <cell r="AF29">
            <v>433230</v>
          </cell>
          <cell r="AG29">
            <v>399135</v>
          </cell>
          <cell r="AH29">
            <v>414218</v>
          </cell>
          <cell r="AI29">
            <v>394866</v>
          </cell>
          <cell r="AJ29">
            <v>425908</v>
          </cell>
          <cell r="AK29">
            <v>427600</v>
          </cell>
          <cell r="AL29">
            <v>435600</v>
          </cell>
          <cell r="AM29">
            <v>439800</v>
          </cell>
          <cell r="AN29">
            <v>436800</v>
          </cell>
          <cell r="AO29">
            <v>471000</v>
          </cell>
          <cell r="AP29">
            <v>467000</v>
          </cell>
          <cell r="AQ29">
            <v>450900</v>
          </cell>
          <cell r="AR29">
            <v>459100</v>
          </cell>
          <cell r="AS29">
            <v>496000</v>
          </cell>
          <cell r="AT29">
            <v>480500</v>
          </cell>
          <cell r="AU29">
            <v>477000</v>
          </cell>
          <cell r="AV29">
            <v>496400</v>
          </cell>
          <cell r="AW29">
            <v>592800</v>
          </cell>
          <cell r="AX29">
            <v>583500</v>
          </cell>
          <cell r="AY29">
            <v>585000</v>
          </cell>
          <cell r="AZ29">
            <v>563000</v>
          </cell>
          <cell r="BA29">
            <v>596500</v>
          </cell>
          <cell r="BB29">
            <v>595000</v>
          </cell>
          <cell r="BC29">
            <v>599600</v>
          </cell>
          <cell r="BD29">
            <v>432500</v>
          </cell>
          <cell r="BE29">
            <v>579700</v>
          </cell>
          <cell r="BF29">
            <v>582200</v>
          </cell>
          <cell r="BG29">
            <v>586500</v>
          </cell>
          <cell r="BH29">
            <v>525000</v>
          </cell>
          <cell r="BI29">
            <v>575200</v>
          </cell>
          <cell r="BJ29">
            <v>568700</v>
          </cell>
          <cell r="BK29">
            <v>564400</v>
          </cell>
          <cell r="BL29">
            <v>680400</v>
          </cell>
          <cell r="BM29">
            <v>521500</v>
          </cell>
          <cell r="BN29">
            <v>517900</v>
          </cell>
          <cell r="BO29">
            <v>508600</v>
          </cell>
          <cell r="BP29">
            <v>401300</v>
          </cell>
          <cell r="BQ29">
            <v>477400</v>
          </cell>
          <cell r="BR29">
            <v>480600</v>
          </cell>
          <cell r="BS29">
            <v>537400</v>
          </cell>
          <cell r="BT29">
            <v>363351.15263157897</v>
          </cell>
        </row>
        <row r="30">
          <cell r="A30" t="str">
            <v>% y/y growth</v>
          </cell>
          <cell r="G30">
            <v>7.0606031690465532E-3</v>
          </cell>
          <cell r="H30">
            <v>-4.5673009849605206E-2</v>
          </cell>
          <cell r="I30">
            <v>-4.6141138891223621E-3</v>
          </cell>
          <cell r="J30">
            <v>6.4666332543309002E-2</v>
          </cell>
          <cell r="L30">
            <v>5.5140692640692546E-2</v>
          </cell>
          <cell r="M30">
            <v>0.19200984665880294</v>
          </cell>
          <cell r="N30">
            <v>-4.3324872004474435E-2</v>
          </cell>
          <cell r="O30">
            <v>2.2396114409066303E-2</v>
          </cell>
          <cell r="P30">
            <v>5.0716987771619593E-2</v>
          </cell>
          <cell r="R30">
            <v>-4.6451981413030863E-2</v>
          </cell>
          <cell r="S30">
            <v>-3.1221735262160433E-2</v>
          </cell>
          <cell r="T30">
            <v>-4.2819694852671675E-2</v>
          </cell>
          <cell r="U30">
            <v>-1.0256074901022871E-2</v>
          </cell>
          <cell r="V30">
            <v>-4.1042160185305043E-3</v>
          </cell>
          <cell r="AS30">
            <v>5.3078556263269627E-2</v>
          </cell>
          <cell r="AT30">
            <v>2.8907922912205564E-2</v>
          </cell>
          <cell r="AU30">
            <v>5.7884231536926123E-2</v>
          </cell>
          <cell r="AV30">
            <v>8.1245915922457002E-2</v>
          </cell>
          <cell r="AW30">
            <v>0.19516129032258056</v>
          </cell>
          <cell r="AX30">
            <v>0.21436004162330913</v>
          </cell>
          <cell r="AY30">
            <v>0.22641509433962259</v>
          </cell>
          <cell r="AZ30">
            <v>0.13416599516518946</v>
          </cell>
          <cell r="BA30">
            <v>6.2415654520917574E-3</v>
          </cell>
          <cell r="BB30">
            <v>1.9708654670094194E-2</v>
          </cell>
          <cell r="BC30">
            <v>2.4957264957264913E-2</v>
          </cell>
          <cell r="BD30">
            <v>-0.23179396092362348</v>
          </cell>
          <cell r="BE30">
            <v>-2.8164291701592625E-2</v>
          </cell>
          <cell r="BF30">
            <v>-2.1512605042016797E-2</v>
          </cell>
          <cell r="BG30">
            <v>-2.1847898599065996E-2</v>
          </cell>
          <cell r="BH30">
            <v>0.21387283236994215</v>
          </cell>
          <cell r="BI30">
            <v>-7.7626358461273526E-3</v>
          </cell>
          <cell r="BJ30">
            <v>-2.3187907935417362E-2</v>
          </cell>
          <cell r="BK30">
            <v>-3.7681159420289823E-2</v>
          </cell>
          <cell r="BL30">
            <v>0.29600000000000004</v>
          </cell>
          <cell r="BQ30">
            <v>-8.4563758389261778E-2</v>
          </cell>
          <cell r="BR30">
            <v>-7.2021625796485855E-2</v>
          </cell>
          <cell r="BS30">
            <v>5.6626032245379543E-2</v>
          </cell>
          <cell r="BT30">
            <v>-9.4564782876703335E-2</v>
          </cell>
        </row>
        <row r="31">
          <cell r="A31" t="str">
            <v xml:space="preserve">   % margin</v>
          </cell>
          <cell r="F31">
            <v>0.48797189309136574</v>
          </cell>
          <cell r="G31">
            <v>0.49996134631089773</v>
          </cell>
          <cell r="H31">
            <v>0.51454302354226567</v>
          </cell>
          <cell r="I31">
            <v>0.5118921087971251</v>
          </cell>
          <cell r="J31">
            <v>0.52181998140427699</v>
          </cell>
          <cell r="K31">
            <v>0.48130013543077405</v>
          </cell>
          <cell r="L31">
            <v>0.46081675095713004</v>
          </cell>
          <cell r="M31">
            <v>0.37133545284616493</v>
          </cell>
          <cell r="N31">
            <v>0.35639755734000095</v>
          </cell>
          <cell r="O31">
            <v>0.37029074028829712</v>
          </cell>
          <cell r="P31">
            <v>0.39890783387050982</v>
          </cell>
          <cell r="Q31">
            <v>0.33688776744668347</v>
          </cell>
          <cell r="R31">
            <v>0.32318201796407897</v>
          </cell>
          <cell r="S31">
            <v>0.32459999999999994</v>
          </cell>
          <cell r="T31">
            <v>0.31409999999999993</v>
          </cell>
          <cell r="U31">
            <v>0.31260000000000004</v>
          </cell>
          <cell r="V31">
            <v>0.31209999999999999</v>
          </cell>
          <cell r="Y31">
            <v>0.5135783227985371</v>
          </cell>
          <cell r="Z31">
            <v>0.50591375048139853</v>
          </cell>
          <cell r="AA31">
            <v>0.49539938666495414</v>
          </cell>
          <cell r="AB31">
            <v>0.48558437423906475</v>
          </cell>
          <cell r="AC31">
            <v>0.50256115335423746</v>
          </cell>
          <cell r="AD31">
            <v>0.50495417757676742</v>
          </cell>
          <cell r="AE31">
            <v>0.5107677520788293</v>
          </cell>
          <cell r="AF31">
            <v>0.53962856395500913</v>
          </cell>
          <cell r="AG31">
            <v>0.51598828753708625</v>
          </cell>
          <cell r="AH31">
            <v>0.52010125336192803</v>
          </cell>
          <cell r="AI31">
            <v>0.49683303009942548</v>
          </cell>
          <cell r="AJ31">
            <v>0.51462528153425291</v>
          </cell>
          <cell r="AK31">
            <v>0.51842870999030066</v>
          </cell>
          <cell r="AL31">
            <v>0.51580817051509764</v>
          </cell>
          <cell r="AM31">
            <v>0.52375848517327617</v>
          </cell>
          <cell r="AN31">
            <v>0.52939037692400925</v>
          </cell>
          <cell r="AO31">
            <v>0.48646973765750878</v>
          </cell>
          <cell r="AP31">
            <v>0.48358703531117325</v>
          </cell>
          <cell r="AQ31">
            <v>0.47115987460815045</v>
          </cell>
          <cell r="AR31">
            <v>0.48392537156108356</v>
          </cell>
          <cell r="AS31">
            <v>0.4637247569184742</v>
          </cell>
          <cell r="AT31">
            <v>0.45433055975794251</v>
          </cell>
          <cell r="AU31">
            <v>0.45393985534830605</v>
          </cell>
          <cell r="AV31">
            <v>0.47123599772166319</v>
          </cell>
          <cell r="AW31">
            <v>0.37753152464654183</v>
          </cell>
          <cell r="AX31">
            <v>0.3741343934342139</v>
          </cell>
          <cell r="AY31">
            <v>0.3723505823945007</v>
          </cell>
          <cell r="AZ31">
            <v>0.36126796714579057</v>
          </cell>
          <cell r="BA31">
            <v>0.38404584084470772</v>
          </cell>
          <cell r="BB31">
            <v>0.3823170339908758</v>
          </cell>
          <cell r="BC31">
            <v>0.38308203424482495</v>
          </cell>
          <cell r="BD31">
            <v>0.27646381999488623</v>
          </cell>
          <cell r="BE31">
            <v>0.37787627925167849</v>
          </cell>
          <cell r="BF31">
            <v>0.38044827811540222</v>
          </cell>
          <cell r="BG31">
            <v>0.38059701492537312</v>
          </cell>
          <cell r="BH31">
            <v>0.34222019425070072</v>
          </cell>
          <cell r="BI31">
            <v>0.38436351486802539</v>
          </cell>
          <cell r="BJ31">
            <v>0.3787041353133116</v>
          </cell>
          <cell r="BK31">
            <v>0.37661817696516747</v>
          </cell>
          <cell r="BL31">
            <v>0.45624622812311405</v>
          </cell>
          <cell r="BM31">
            <v>0.35883850547030893</v>
          </cell>
          <cell r="BN31">
            <v>0.35596948243865556</v>
          </cell>
          <cell r="BO31">
            <v>0.35199667797079381</v>
          </cell>
          <cell r="BP31">
            <v>0.28002232921638404</v>
          </cell>
          <cell r="BQ31">
            <v>0.33879781420765026</v>
          </cell>
          <cell r="BR31">
            <v>0.33873696081195376</v>
          </cell>
          <cell r="BS31">
            <v>0.35860136127051917</v>
          </cell>
          <cell r="BT31">
            <v>0.255</v>
          </cell>
        </row>
        <row r="33">
          <cell r="A33" t="str">
            <v>EBITDA (Ex. Pension, Stock Comp.)</v>
          </cell>
          <cell r="F33">
            <v>1708211</v>
          </cell>
          <cell r="G33">
            <v>1720272</v>
          </cell>
          <cell r="H33">
            <v>1641702</v>
          </cell>
          <cell r="I33">
            <v>1634127</v>
          </cell>
          <cell r="J33">
            <v>1758600</v>
          </cell>
          <cell r="K33">
            <v>1868800</v>
          </cell>
          <cell r="L33">
            <v>2068600</v>
          </cell>
          <cell r="M33">
            <v>2406000</v>
          </cell>
          <cell r="N33">
            <v>2429800</v>
          </cell>
          <cell r="O33">
            <v>2383800</v>
          </cell>
          <cell r="P33">
            <v>2318100</v>
          </cell>
          <cell r="Q33">
            <v>2119400</v>
          </cell>
          <cell r="R33">
            <v>2037851.152631579</v>
          </cell>
          <cell r="S33">
            <v>1874053.2051758801</v>
          </cell>
          <cell r="T33">
            <v>1837264.9860382881</v>
          </cell>
          <cell r="U33">
            <v>1819587.4970545345</v>
          </cell>
          <cell r="V33">
            <v>1812585.9752241108</v>
          </cell>
          <cell r="W33">
            <v>-2.8860678728289901E-2</v>
          </cell>
          <cell r="Y33">
            <v>430395.952156657</v>
          </cell>
          <cell r="Z33">
            <v>438930.38329779904</v>
          </cell>
          <cell r="AA33">
            <v>422504.99080263718</v>
          </cell>
          <cell r="AB33">
            <v>428440.67374290677</v>
          </cell>
          <cell r="AC33">
            <v>394117</v>
          </cell>
          <cell r="AD33">
            <v>407292</v>
          </cell>
          <cell r="AE33">
            <v>407063</v>
          </cell>
          <cell r="AF33">
            <v>433230</v>
          </cell>
          <cell r="AG33">
            <v>399135</v>
          </cell>
          <cell r="AH33">
            <v>414218</v>
          </cell>
          <cell r="AI33">
            <v>394866</v>
          </cell>
          <cell r="AJ33">
            <v>425908</v>
          </cell>
          <cell r="AK33">
            <v>431900</v>
          </cell>
          <cell r="AL33">
            <v>441000</v>
          </cell>
          <cell r="AM33">
            <v>444700</v>
          </cell>
          <cell r="AN33">
            <v>441000</v>
          </cell>
          <cell r="AO33">
            <v>476200</v>
          </cell>
          <cell r="AP33">
            <v>472800</v>
          </cell>
          <cell r="AQ33">
            <v>455500</v>
          </cell>
          <cell r="AR33">
            <v>464300</v>
          </cell>
          <cell r="AS33">
            <v>525700</v>
          </cell>
          <cell r="AT33">
            <v>511300</v>
          </cell>
          <cell r="AU33">
            <v>505600</v>
          </cell>
          <cell r="AV33">
            <v>526000</v>
          </cell>
          <cell r="AW33">
            <v>604000</v>
          </cell>
          <cell r="AX33">
            <v>596400</v>
          </cell>
          <cell r="AY33">
            <v>596200</v>
          </cell>
          <cell r="AZ33">
            <v>609400</v>
          </cell>
          <cell r="BA33">
            <v>604200</v>
          </cell>
          <cell r="BB33">
            <v>608000</v>
          </cell>
          <cell r="BC33">
            <v>610300</v>
          </cell>
          <cell r="BD33">
            <v>607300</v>
          </cell>
          <cell r="BE33">
            <v>586000</v>
          </cell>
          <cell r="BF33">
            <v>589700</v>
          </cell>
          <cell r="BG33">
            <v>590700</v>
          </cell>
          <cell r="BH33">
            <v>617400</v>
          </cell>
          <cell r="BI33">
            <v>586300</v>
          </cell>
          <cell r="BJ33">
            <v>581400</v>
          </cell>
          <cell r="BK33">
            <v>574500</v>
          </cell>
          <cell r="BL33">
            <v>575900</v>
          </cell>
          <cell r="BM33">
            <v>534900</v>
          </cell>
          <cell r="BN33">
            <v>538200</v>
          </cell>
          <cell r="BO33">
            <v>519400</v>
          </cell>
          <cell r="BP33">
            <v>526900</v>
          </cell>
          <cell r="BQ33">
            <v>490400</v>
          </cell>
          <cell r="BR33">
            <v>489400</v>
          </cell>
          <cell r="BS33">
            <v>550100</v>
          </cell>
          <cell r="BT33">
            <v>507951.15263157897</v>
          </cell>
        </row>
        <row r="34">
          <cell r="A34" t="str">
            <v>% y/y growth</v>
          </cell>
          <cell r="G34">
            <v>7.0606031690465532E-3</v>
          </cell>
          <cell r="H34">
            <v>-4.5673009849605206E-2</v>
          </cell>
          <cell r="I34">
            <v>-4.6141138891223621E-3</v>
          </cell>
          <cell r="J34">
            <v>7.6170946321797439E-2</v>
          </cell>
          <cell r="K34">
            <v>6.2663482315478136E-2</v>
          </cell>
          <cell r="L34">
            <v>0.10691352739726034</v>
          </cell>
          <cell r="M34">
            <v>0.16310548196848118</v>
          </cell>
          <cell r="N34">
            <v>9.8919368246050965E-3</v>
          </cell>
          <cell r="O34">
            <v>-1.8931599308585123E-2</v>
          </cell>
          <cell r="P34">
            <v>-2.7561036999748323E-2</v>
          </cell>
          <cell r="Q34">
            <v>-8.5716750787282692E-2</v>
          </cell>
          <cell r="R34">
            <v>-3.8477327247532833E-2</v>
          </cell>
          <cell r="S34">
            <v>-8.037777795703005E-2</v>
          </cell>
          <cell r="T34">
            <v>-1.9630296000128444E-2</v>
          </cell>
          <cell r="U34">
            <v>-9.621632762877419E-3</v>
          </cell>
          <cell r="V34">
            <v>-3.8478621345537922E-3</v>
          </cell>
          <cell r="AS34">
            <v>0.10394792104157924</v>
          </cell>
          <cell r="AT34">
            <v>8.1429780033841048E-2</v>
          </cell>
          <cell r="AU34">
            <v>0.10998902305159164</v>
          </cell>
          <cell r="AV34">
            <v>0.13288821882403612</v>
          </cell>
          <cell r="AW34">
            <v>0.14894426478980405</v>
          </cell>
          <cell r="AX34">
            <v>0.16643849012321543</v>
          </cell>
          <cell r="AY34">
            <v>0.17919303797468356</v>
          </cell>
          <cell r="AZ34">
            <v>0.15855513307984781</v>
          </cell>
          <cell r="BA34">
            <v>3.3112582781447131E-4</v>
          </cell>
          <cell r="BB34">
            <v>1.9450033534540667E-2</v>
          </cell>
          <cell r="BC34">
            <v>2.364978195236489E-2</v>
          </cell>
          <cell r="BD34">
            <v>-3.4460124712831774E-3</v>
          </cell>
          <cell r="BE34">
            <v>-3.0122476001324117E-2</v>
          </cell>
          <cell r="BF34">
            <v>-3.0098684210526305E-2</v>
          </cell>
          <cell r="BG34">
            <v>-3.2115353105030331E-2</v>
          </cell>
          <cell r="BH34">
            <v>1.6630989626214454E-2</v>
          </cell>
          <cell r="BI34">
            <v>5.1194539249155291E-4</v>
          </cell>
          <cell r="BJ34">
            <v>-1.4074953366118415E-2</v>
          </cell>
          <cell r="BK34">
            <v>-2.7425088877602866E-2</v>
          </cell>
          <cell r="BL34">
            <v>-6.7217363135730457E-2</v>
          </cell>
          <cell r="BM34">
            <v>-8.7668429131843806E-2</v>
          </cell>
          <cell r="BN34">
            <v>-7.4303405572755388E-2</v>
          </cell>
          <cell r="BO34">
            <v>-9.5909486510008746E-2</v>
          </cell>
          <cell r="BP34">
            <v>-8.5084216009723934E-2</v>
          </cell>
          <cell r="BQ34">
            <v>-8.3193120209384963E-2</v>
          </cell>
          <cell r="BR34">
            <v>-9.0672612411742848E-2</v>
          </cell>
          <cell r="BS34">
            <v>5.9106661532537519E-2</v>
          </cell>
          <cell r="BT34">
            <v>-3.5962891190778223E-2</v>
          </cell>
        </row>
        <row r="35">
          <cell r="A35" t="str">
            <v xml:space="preserve">   % margin</v>
          </cell>
          <cell r="F35">
            <v>0.48797189309136574</v>
          </cell>
          <cell r="G35">
            <v>0.49996134631089773</v>
          </cell>
          <cell r="H35">
            <v>0.51454302354226567</v>
          </cell>
          <cell r="I35">
            <v>0.5118921087971251</v>
          </cell>
          <cell r="J35">
            <v>0.52745868450256439</v>
          </cell>
          <cell r="K35">
            <v>0.48671736639233254</v>
          </cell>
          <cell r="L35">
            <v>0.48886893226827999</v>
          </cell>
          <cell r="M35">
            <v>0.38438803061045163</v>
          </cell>
          <cell r="N35">
            <v>0.38944719590966648</v>
          </cell>
          <cell r="O35">
            <v>0.38827266064011728</v>
          </cell>
          <cell r="P35">
            <v>0.38711778360414822</v>
          </cell>
          <cell r="Q35">
            <v>0.36628529950572053</v>
          </cell>
          <cell r="R35">
            <v>0.35432222698851923</v>
          </cell>
          <cell r="S35">
            <v>0.33781956212163122</v>
          </cell>
          <cell r="T35">
            <v>0.33481148218837881</v>
          </cell>
          <cell r="U35">
            <v>0.33342616822767296</v>
          </cell>
          <cell r="V35">
            <v>0.33297854708548758</v>
          </cell>
          <cell r="Y35">
            <v>0.5135783227985371</v>
          </cell>
          <cell r="Z35">
            <v>0.50591375048139853</v>
          </cell>
          <cell r="AA35">
            <v>0.49539938666495414</v>
          </cell>
          <cell r="AB35">
            <v>0.48558437423906475</v>
          </cell>
          <cell r="AC35">
            <v>0.50256115335423746</v>
          </cell>
          <cell r="AD35">
            <v>0.50495417757676742</v>
          </cell>
          <cell r="AE35">
            <v>0.5107677520788293</v>
          </cell>
          <cell r="AF35">
            <v>0.53962856395500913</v>
          </cell>
          <cell r="AG35">
            <v>0.51598828753708625</v>
          </cell>
          <cell r="AH35">
            <v>0.52010125336192803</v>
          </cell>
          <cell r="AI35">
            <v>0.49683303009942548</v>
          </cell>
          <cell r="AJ35">
            <v>0.51462528153425291</v>
          </cell>
          <cell r="AK35">
            <v>0.52364209505334625</v>
          </cell>
          <cell r="AL35">
            <v>0.52220248667850799</v>
          </cell>
          <cell r="AM35">
            <v>0.52959390258425632</v>
          </cell>
          <cell r="AN35">
            <v>0.53448066900981694</v>
          </cell>
          <cell r="AO35">
            <v>0.49184052881636026</v>
          </cell>
          <cell r="AP35">
            <v>0.48959304131717923</v>
          </cell>
          <cell r="AQ35">
            <v>0.47596656217345873</v>
          </cell>
          <cell r="AR35">
            <v>0.48940655634025509</v>
          </cell>
          <cell r="AS35">
            <v>0.49149214659685864</v>
          </cell>
          <cell r="AT35">
            <v>0.48345310136157338</v>
          </cell>
          <cell r="AU35">
            <v>0.48115721355157975</v>
          </cell>
          <cell r="AV35">
            <v>0.49933548509587999</v>
          </cell>
          <cell r="AW35">
            <v>0.3846643739651</v>
          </cell>
          <cell r="AX35">
            <v>0.38240574506283664</v>
          </cell>
          <cell r="AY35">
            <v>0.37947934568136976</v>
          </cell>
          <cell r="AZ35">
            <v>0.39104209445585214</v>
          </cell>
          <cell r="BA35">
            <v>0.3890033479268607</v>
          </cell>
          <cell r="BB35">
            <v>0.39067017927134873</v>
          </cell>
          <cell r="BC35">
            <v>0.38991822131357012</v>
          </cell>
          <cell r="BD35">
            <v>0.38819994886218356</v>
          </cell>
          <cell r="BE35">
            <v>0.38198292158268693</v>
          </cell>
          <cell r="BF35">
            <v>0.38534927791936224</v>
          </cell>
          <cell r="BG35">
            <v>0.38332251784555482</v>
          </cell>
          <cell r="BH35">
            <v>0.40245094843882406</v>
          </cell>
          <cell r="BI35">
            <v>0.39178082191780822</v>
          </cell>
          <cell r="BJ35">
            <v>0.38716121728707464</v>
          </cell>
          <cell r="BK35">
            <v>0.38335780061390629</v>
          </cell>
          <cell r="BL35">
            <v>0.38617313753101323</v>
          </cell>
          <cell r="BM35">
            <v>0.36805890043349621</v>
          </cell>
          <cell r="BN35">
            <v>0.36992233143171355</v>
          </cell>
          <cell r="BO35">
            <v>0.35947124368468408</v>
          </cell>
          <cell r="BP35">
            <v>0.36766450352382946</v>
          </cell>
          <cell r="BQ35">
            <v>0.34802356113831523</v>
          </cell>
          <cell r="BR35">
            <v>0.34493938539610941</v>
          </cell>
          <cell r="BS35">
            <v>0.36707593754170559</v>
          </cell>
          <cell r="BT35">
            <v>0.35648034410499724</v>
          </cell>
        </row>
        <row r="36">
          <cell r="A36" t="str">
            <v>D&amp;A</v>
          </cell>
          <cell r="F36">
            <v>644337</v>
          </cell>
          <cell r="G36">
            <v>637221</v>
          </cell>
          <cell r="H36">
            <v>636500</v>
          </cell>
          <cell r="I36">
            <v>552500</v>
          </cell>
          <cell r="J36">
            <v>578800</v>
          </cell>
          <cell r="K36">
            <v>631400</v>
          </cell>
          <cell r="L36">
            <v>848600</v>
          </cell>
          <cell r="M36">
            <v>1206200</v>
          </cell>
          <cell r="N36">
            <v>1149200</v>
          </cell>
          <cell r="O36">
            <v>1296900</v>
          </cell>
          <cell r="P36">
            <v>1340900</v>
          </cell>
          <cell r="Q36">
            <v>1386400</v>
          </cell>
          <cell r="R36">
            <v>1383438.4229929911</v>
          </cell>
          <cell r="S36">
            <v>1396269.6375361998</v>
          </cell>
          <cell r="T36">
            <v>1382909.6154974971</v>
          </cell>
          <cell r="U36">
            <v>1419414.4050792865</v>
          </cell>
          <cell r="V36">
            <v>1443512.8755962907</v>
          </cell>
          <cell r="W36">
            <v>1.1445679323657032E-2</v>
          </cell>
          <cell r="Y36">
            <v>161707</v>
          </cell>
          <cell r="Z36">
            <v>158509</v>
          </cell>
          <cell r="AA36">
            <v>158172</v>
          </cell>
          <cell r="AB36">
            <v>158833</v>
          </cell>
          <cell r="AC36">
            <v>165200</v>
          </cell>
          <cell r="AD36">
            <v>163500</v>
          </cell>
          <cell r="AE36">
            <v>159100</v>
          </cell>
          <cell r="AF36">
            <v>148700</v>
          </cell>
          <cell r="AG36">
            <v>141900</v>
          </cell>
          <cell r="AH36">
            <v>139000</v>
          </cell>
          <cell r="AI36">
            <v>138900</v>
          </cell>
          <cell r="AJ36">
            <v>132700</v>
          </cell>
          <cell r="AK36">
            <v>147100</v>
          </cell>
          <cell r="AL36">
            <v>149500</v>
          </cell>
          <cell r="AM36">
            <v>149700</v>
          </cell>
          <cell r="AN36">
            <v>132500</v>
          </cell>
          <cell r="AO36">
            <v>159300</v>
          </cell>
          <cell r="AP36">
            <v>158200</v>
          </cell>
          <cell r="AQ36">
            <v>155500</v>
          </cell>
          <cell r="AR36">
            <v>158400</v>
          </cell>
          <cell r="AS36">
            <v>212200</v>
          </cell>
          <cell r="AT36">
            <v>213300</v>
          </cell>
          <cell r="AU36">
            <v>211600</v>
          </cell>
          <cell r="AV36">
            <v>211500</v>
          </cell>
          <cell r="AW36">
            <v>310900</v>
          </cell>
          <cell r="AX36">
            <v>302400</v>
          </cell>
          <cell r="AY36">
            <v>295300</v>
          </cell>
          <cell r="AZ36">
            <v>297600</v>
          </cell>
          <cell r="BA36">
            <v>287500</v>
          </cell>
          <cell r="BB36">
            <v>280500</v>
          </cell>
          <cell r="BC36">
            <v>284500</v>
          </cell>
          <cell r="BD36">
            <v>296700</v>
          </cell>
          <cell r="BE36">
            <v>312100</v>
          </cell>
          <cell r="BF36">
            <v>320000</v>
          </cell>
          <cell r="BG36">
            <v>326100</v>
          </cell>
          <cell r="BH36">
            <v>338700</v>
          </cell>
          <cell r="BI36">
            <v>329300</v>
          </cell>
          <cell r="BJ36">
            <v>332200</v>
          </cell>
          <cell r="BK36">
            <v>338200</v>
          </cell>
          <cell r="BL36">
            <v>341200</v>
          </cell>
          <cell r="BM36">
            <v>338900</v>
          </cell>
          <cell r="BN36">
            <v>344000</v>
          </cell>
          <cell r="BO36">
            <v>348500</v>
          </cell>
          <cell r="BP36">
            <v>355000</v>
          </cell>
          <cell r="BQ36">
            <v>340700</v>
          </cell>
          <cell r="BR36">
            <v>341800</v>
          </cell>
          <cell r="BS36">
            <v>350500</v>
          </cell>
          <cell r="BT36">
            <v>350438.42299299105</v>
          </cell>
          <cell r="BV36" t="str">
            <v>mstag:depreciationInIncomeStatement</v>
          </cell>
          <cell r="BW36">
            <v>3</v>
          </cell>
          <cell r="BX36" t="str">
            <v>ISO4217:USD</v>
          </cell>
          <cell r="BY36" t="b">
            <v>0</v>
          </cell>
          <cell r="BZ36" t="b">
            <v>0</v>
          </cell>
        </row>
        <row r="37">
          <cell r="A37" t="str">
            <v xml:space="preserve">  % y/y growth</v>
          </cell>
          <cell r="L37" t="str">
            <v>na</v>
          </cell>
          <cell r="M37">
            <v>0.42139995286353993</v>
          </cell>
          <cell r="N37">
            <v>-4.7255844801857072E-2</v>
          </cell>
          <cell r="O37">
            <v>0.12852419074138521</v>
          </cell>
          <cell r="P37">
            <v>3.3927056827820268E-2</v>
          </cell>
          <cell r="Q37">
            <v>3.3932433440226673E-2</v>
          </cell>
          <cell r="R37">
            <v>-2.1361634499487137E-3</v>
          </cell>
          <cell r="S37">
            <v>9.2748721807573986E-3</v>
          </cell>
          <cell r="T37">
            <v>-9.5683682288452143E-3</v>
          </cell>
          <cell r="U37">
            <v>2.6397089999737222E-2</v>
          </cell>
          <cell r="V37">
            <v>1.6977755355144453E-2</v>
          </cell>
          <cell r="AS37" t="str">
            <v>na</v>
          </cell>
          <cell r="AT37" t="str">
            <v>na</v>
          </cell>
          <cell r="AU37" t="str">
            <v>na</v>
          </cell>
          <cell r="AV37" t="str">
            <v>na</v>
          </cell>
          <cell r="AW37">
            <v>0.46512723845428838</v>
          </cell>
          <cell r="AX37">
            <v>0.41772151898734178</v>
          </cell>
          <cell r="AY37">
            <v>0.39555765595463144</v>
          </cell>
          <cell r="AZ37">
            <v>0.40709219858156032</v>
          </cell>
          <cell r="BA37">
            <v>-7.5265358636217417E-2</v>
          </cell>
          <cell r="BB37">
            <v>-7.2420634920634885E-2</v>
          </cell>
          <cell r="BC37">
            <v>-3.6572976633931553E-2</v>
          </cell>
          <cell r="BD37">
            <v>-3.0241935483871218E-3</v>
          </cell>
          <cell r="BE37">
            <v>8.5565217391304405E-2</v>
          </cell>
          <cell r="BF37">
            <v>0.14081996434937616</v>
          </cell>
          <cell r="BG37">
            <v>0.14622144112478042</v>
          </cell>
          <cell r="BH37">
            <v>0.14155712841253787</v>
          </cell>
          <cell r="BI37">
            <v>5.5110541493111231E-2</v>
          </cell>
          <cell r="BJ37">
            <v>3.8124999999999964E-2</v>
          </cell>
          <cell r="BK37">
            <v>3.7105182459368224E-2</v>
          </cell>
          <cell r="BL37">
            <v>7.3811632713316477E-3</v>
          </cell>
          <cell r="BM37">
            <v>2.9152748253871819E-2</v>
          </cell>
          <cell r="BN37">
            <v>3.5520770620108388E-2</v>
          </cell>
          <cell r="BO37">
            <v>3.0455351862803015E-2</v>
          </cell>
          <cell r="BP37">
            <v>4.0445486518171148E-2</v>
          </cell>
          <cell r="BQ37">
            <v>5.311301268810853E-3</v>
          </cell>
          <cell r="BR37">
            <v>-6.3953488372092693E-3</v>
          </cell>
          <cell r="BS37">
            <v>5.7388809182210565E-3</v>
          </cell>
          <cell r="BT37">
            <v>-1.2849512695799814E-2</v>
          </cell>
        </row>
        <row r="38">
          <cell r="A38" t="str">
            <v>Cash Lease Payment</v>
          </cell>
          <cell r="R38">
            <v>487500</v>
          </cell>
          <cell r="S38">
            <v>650004.0625</v>
          </cell>
          <cell r="T38">
            <v>650008.125</v>
          </cell>
          <cell r="U38">
            <v>653258.16562499991</v>
          </cell>
          <cell r="V38">
            <v>656524.45645312488</v>
          </cell>
          <cell r="BR38">
            <v>162500</v>
          </cell>
          <cell r="BS38">
            <v>162500</v>
          </cell>
          <cell r="BT38">
            <v>162500</v>
          </cell>
        </row>
        <row r="39">
          <cell r="A39" t="str">
            <v xml:space="preserve">  % y/y growth</v>
          </cell>
          <cell r="R39" t="str">
            <v>n/a</v>
          </cell>
          <cell r="S39">
            <v>0.33334166666666665</v>
          </cell>
          <cell r="T39">
            <v>6.2499609376764909E-6</v>
          </cell>
          <cell r="U39">
            <v>4.9999999999998934E-3</v>
          </cell>
          <cell r="V39">
            <v>4.9999999999998934E-3</v>
          </cell>
        </row>
        <row r="40">
          <cell r="A40" t="str">
            <v>EBITDA less Lease Payment</v>
          </cell>
          <cell r="R40">
            <v>1550351.152631579</v>
          </cell>
          <cell r="S40">
            <v>1224049.1426758801</v>
          </cell>
          <cell r="T40">
            <v>1187256.8610382881</v>
          </cell>
          <cell r="U40">
            <v>1166329.3314295346</v>
          </cell>
          <cell r="V40">
            <v>1156061.5187709858</v>
          </cell>
          <cell r="BR40">
            <v>326900</v>
          </cell>
          <cell r="BS40">
            <v>387600</v>
          </cell>
          <cell r="BT40">
            <v>345451.15263157897</v>
          </cell>
        </row>
        <row r="41">
          <cell r="A41" t="str">
            <v xml:space="preserve">  % y/y growth</v>
          </cell>
          <cell r="S41">
            <v>-0.21046974383953665</v>
          </cell>
          <cell r="T41">
            <v>-3.0057846825627288E-2</v>
          </cell>
          <cell r="U41">
            <v>-1.7626791889374105E-2</v>
          </cell>
          <cell r="V41">
            <v>-8.8035277702943615E-3</v>
          </cell>
          <cell r="AS41" t="str">
            <v>na</v>
          </cell>
          <cell r="AT41" t="str">
            <v>na</v>
          </cell>
          <cell r="AU41" t="str">
            <v>na</v>
          </cell>
          <cell r="AV41" t="str">
            <v>na</v>
          </cell>
        </row>
        <row r="42">
          <cell r="A42" t="str">
            <v xml:space="preserve">  % margin</v>
          </cell>
          <cell r="R42">
            <v>0.26956035150323387</v>
          </cell>
          <cell r="S42">
            <v>0.22064888246079234</v>
          </cell>
          <cell r="T42">
            <v>0.21635813690636968</v>
          </cell>
          <cell r="U42">
            <v>0.21372136294605357</v>
          </cell>
          <cell r="V42">
            <v>0.21237264886936466</v>
          </cell>
          <cell r="BJ42" t="str">
            <v>x</v>
          </cell>
          <cell r="BR42">
            <v>0.230405976881872</v>
          </cell>
          <cell r="BS42">
            <v>0.25864139863872948</v>
          </cell>
          <cell r="BT42">
            <v>0.24243777206445749</v>
          </cell>
        </row>
        <row r="43">
          <cell r="A43" t="str">
            <v>EBIT (GAAP)</v>
          </cell>
          <cell r="F43">
            <v>1063874</v>
          </cell>
          <cell r="G43">
            <v>1083051</v>
          </cell>
          <cell r="H43">
            <v>1000702</v>
          </cell>
          <cell r="I43">
            <v>1071027</v>
          </cell>
          <cell r="J43">
            <v>1156400</v>
          </cell>
          <cell r="K43">
            <v>1208100</v>
          </cell>
          <cell r="L43">
            <v>1092200</v>
          </cell>
          <cell r="M43">
            <v>1033100</v>
          </cell>
          <cell r="N43">
            <v>1003300</v>
          </cell>
          <cell r="O43">
            <v>883700</v>
          </cell>
          <cell r="P43">
            <v>1009000</v>
          </cell>
          <cell r="Q43">
            <v>507100</v>
          </cell>
          <cell r="R43">
            <v>371550.22963858792</v>
          </cell>
          <cell r="S43">
            <v>368027.24535634718</v>
          </cell>
          <cell r="T43">
            <v>322491.50093712425</v>
          </cell>
          <cell r="U43">
            <v>286519.63903824799</v>
          </cell>
          <cell r="V43">
            <v>255419.64669082011</v>
          </cell>
          <cell r="Y43">
            <v>268688.952156657</v>
          </cell>
          <cell r="Z43">
            <v>280421.38329779904</v>
          </cell>
          <cell r="AA43">
            <v>264332.99080263718</v>
          </cell>
          <cell r="AB43">
            <v>269607.67374290677</v>
          </cell>
          <cell r="AC43">
            <v>228917</v>
          </cell>
          <cell r="AD43">
            <v>243792</v>
          </cell>
          <cell r="AE43">
            <v>243263</v>
          </cell>
          <cell r="AF43">
            <v>284730</v>
          </cell>
          <cell r="AG43">
            <v>257235</v>
          </cell>
          <cell r="AH43">
            <v>275218</v>
          </cell>
          <cell r="AI43">
            <v>255966</v>
          </cell>
          <cell r="AJ43">
            <v>282608</v>
          </cell>
          <cell r="AK43">
            <v>277300</v>
          </cell>
          <cell r="AL43">
            <v>286100</v>
          </cell>
          <cell r="AM43">
            <v>289900</v>
          </cell>
          <cell r="AN43">
            <v>303100</v>
          </cell>
          <cell r="AO43">
            <v>311100</v>
          </cell>
          <cell r="AP43">
            <v>308300</v>
          </cell>
          <cell r="AQ43">
            <v>294400</v>
          </cell>
          <cell r="AR43">
            <v>294300</v>
          </cell>
          <cell r="AS43">
            <v>283900</v>
          </cell>
          <cell r="AT43">
            <v>267300</v>
          </cell>
          <cell r="AU43">
            <v>257900</v>
          </cell>
          <cell r="AV43">
            <v>283100</v>
          </cell>
          <cell r="AW43">
            <v>258700</v>
          </cell>
          <cell r="AX43">
            <v>263800</v>
          </cell>
          <cell r="AY43">
            <v>278000</v>
          </cell>
          <cell r="AZ43">
            <v>232600</v>
          </cell>
          <cell r="BA43">
            <v>300000</v>
          </cell>
          <cell r="BB43">
            <v>309300</v>
          </cell>
          <cell r="BC43">
            <v>294700</v>
          </cell>
          <cell r="BD43">
            <v>99300</v>
          </cell>
          <cell r="BE43">
            <v>244400</v>
          </cell>
          <cell r="BF43">
            <v>232500</v>
          </cell>
          <cell r="BG43">
            <v>235600</v>
          </cell>
          <cell r="BH43">
            <v>171200</v>
          </cell>
          <cell r="BI43">
            <v>235900</v>
          </cell>
          <cell r="BJ43">
            <v>227000</v>
          </cell>
          <cell r="BK43">
            <v>219600</v>
          </cell>
          <cell r="BL43">
            <v>326500</v>
          </cell>
          <cell r="BM43">
            <v>167800</v>
          </cell>
          <cell r="BN43">
            <v>167200</v>
          </cell>
          <cell r="BO43">
            <v>151600</v>
          </cell>
          <cell r="BP43">
            <v>20500</v>
          </cell>
          <cell r="BQ43">
            <v>119900</v>
          </cell>
          <cell r="BR43">
            <v>79300</v>
          </cell>
          <cell r="BS43">
            <v>178500</v>
          </cell>
          <cell r="BT43">
            <v>-6149.7703614120837</v>
          </cell>
        </row>
        <row r="44">
          <cell r="A44" t="str">
            <v>EBIT (Pro-forma)</v>
          </cell>
          <cell r="F44">
            <v>1063874</v>
          </cell>
          <cell r="G44">
            <v>1083051</v>
          </cell>
          <cell r="H44">
            <v>1005202</v>
          </cell>
          <cell r="I44">
            <v>1081627</v>
          </cell>
          <cell r="J44">
            <v>1161000</v>
          </cell>
          <cell r="K44">
            <v>1216600</v>
          </cell>
          <cell r="L44">
            <v>1101300</v>
          </cell>
          <cell r="M44">
            <v>1118100</v>
          </cell>
          <cell r="N44">
            <v>1074400</v>
          </cell>
          <cell r="O44">
            <v>949100</v>
          </cell>
          <cell r="P44">
            <v>1039200</v>
          </cell>
          <cell r="Q44">
            <v>547500</v>
          </cell>
          <cell r="R44">
            <v>457162.72963858792</v>
          </cell>
          <cell r="S44">
            <v>396564.74535634718</v>
          </cell>
          <cell r="T44">
            <v>336760.25093712425</v>
          </cell>
          <cell r="U44">
            <v>286519.63903824799</v>
          </cell>
          <cell r="V44">
            <v>255419.64669082011</v>
          </cell>
          <cell r="Y44">
            <v>268688.952156657</v>
          </cell>
          <cell r="Z44">
            <v>280421.38329779904</v>
          </cell>
          <cell r="AA44">
            <v>264332.99080263718</v>
          </cell>
          <cell r="AB44">
            <v>269607.67374290677</v>
          </cell>
          <cell r="AC44">
            <v>228917</v>
          </cell>
          <cell r="AD44">
            <v>243792</v>
          </cell>
          <cell r="AE44">
            <v>247963</v>
          </cell>
          <cell r="AF44">
            <v>284530</v>
          </cell>
          <cell r="AG44">
            <v>257235</v>
          </cell>
          <cell r="AH44">
            <v>275218</v>
          </cell>
          <cell r="AI44">
            <v>255966</v>
          </cell>
          <cell r="AJ44">
            <v>293208</v>
          </cell>
          <cell r="AK44">
            <v>280500</v>
          </cell>
          <cell r="AL44">
            <v>286100</v>
          </cell>
          <cell r="AM44">
            <v>290100</v>
          </cell>
          <cell r="AN44">
            <v>304300</v>
          </cell>
          <cell r="AO44">
            <v>311700</v>
          </cell>
          <cell r="AP44">
            <v>308800</v>
          </cell>
          <cell r="AQ44">
            <v>295400</v>
          </cell>
          <cell r="AR44">
            <v>300700</v>
          </cell>
          <cell r="AS44">
            <v>283800</v>
          </cell>
          <cell r="AT44">
            <v>267200</v>
          </cell>
          <cell r="AU44">
            <v>265400</v>
          </cell>
          <cell r="AV44">
            <v>284900</v>
          </cell>
          <cell r="AW44">
            <v>281900</v>
          </cell>
          <cell r="AX44">
            <v>281100</v>
          </cell>
          <cell r="AY44">
            <v>289700</v>
          </cell>
          <cell r="AZ44">
            <v>265400</v>
          </cell>
          <cell r="BA44">
            <v>309000</v>
          </cell>
          <cell r="BB44">
            <v>314500</v>
          </cell>
          <cell r="BC44">
            <v>315100</v>
          </cell>
          <cell r="BD44">
            <v>135800</v>
          </cell>
          <cell r="BE44">
            <v>266700</v>
          </cell>
          <cell r="BF44">
            <v>251900</v>
          </cell>
          <cell r="BG44">
            <v>248300</v>
          </cell>
          <cell r="BH44">
            <v>182200</v>
          </cell>
          <cell r="BI44">
            <v>241000</v>
          </cell>
          <cell r="BJ44">
            <v>233900</v>
          </cell>
          <cell r="BK44">
            <v>225400</v>
          </cell>
          <cell r="BL44">
            <v>338900</v>
          </cell>
          <cell r="BM44">
            <v>175700</v>
          </cell>
          <cell r="BN44">
            <v>175300</v>
          </cell>
          <cell r="BO44">
            <v>161600</v>
          </cell>
          <cell r="BP44">
            <v>34900</v>
          </cell>
          <cell r="BQ44">
            <v>134000</v>
          </cell>
          <cell r="BR44">
            <v>136600</v>
          </cell>
          <cell r="BS44">
            <v>181600</v>
          </cell>
          <cell r="BT44">
            <v>4962.7296385879163</v>
          </cell>
        </row>
        <row r="45">
          <cell r="A45" t="str">
            <v xml:space="preserve">   % margin</v>
          </cell>
          <cell r="K45">
            <v>0.31685592249192623</v>
          </cell>
          <cell r="L45">
            <v>0.26026846906461221</v>
          </cell>
          <cell r="M45">
            <v>0.17863019826498172</v>
          </cell>
          <cell r="N45">
            <v>0.17220432434165184</v>
          </cell>
          <cell r="O45">
            <v>0.15458913592312076</v>
          </cell>
          <cell r="P45">
            <v>0.17354419598871093</v>
          </cell>
          <cell r="Q45">
            <v>9.4621686080674713E-2</v>
          </cell>
          <cell r="R45">
            <v>7.9487118699772624E-2</v>
          </cell>
          <cell r="S45">
            <v>7.1485338974986323E-2</v>
          </cell>
          <cell r="T45">
            <v>6.1369045627716133E-2</v>
          </cell>
          <cell r="U45">
            <v>5.2502638933903271E-2</v>
          </cell>
          <cell r="V45">
            <v>4.6921505525652232E-2</v>
          </cell>
          <cell r="AO45">
            <v>0.32193761619500105</v>
          </cell>
          <cell r="AP45">
            <v>0.31976804390597496</v>
          </cell>
          <cell r="AQ45">
            <v>0.30867293625914316</v>
          </cell>
          <cell r="AR45">
            <v>0.31696005059555182</v>
          </cell>
          <cell r="AS45">
            <v>0.26533283470456243</v>
          </cell>
          <cell r="AT45">
            <v>0.25264750378214829</v>
          </cell>
          <cell r="AU45">
            <v>0.25256947087933002</v>
          </cell>
          <cell r="AV45">
            <v>0.2704575659768369</v>
          </cell>
          <cell r="AW45">
            <v>0.17953126990192333</v>
          </cell>
          <cell r="AX45">
            <v>0.18023852269812773</v>
          </cell>
          <cell r="AY45">
            <v>0.18439310037553305</v>
          </cell>
          <cell r="AZ45">
            <v>0.17030287474332648</v>
          </cell>
          <cell r="BA45">
            <v>0.19894411537471027</v>
          </cell>
          <cell r="BB45">
            <v>0.20208186082374863</v>
          </cell>
          <cell r="BC45">
            <v>0.20131612573473037</v>
          </cell>
          <cell r="BD45">
            <v>8.6806443364868327E-2</v>
          </cell>
          <cell r="BE45">
            <v>0.17384785867935598</v>
          </cell>
          <cell r="BF45">
            <v>0.16460824674900346</v>
          </cell>
          <cell r="BG45">
            <v>0.16112913692407527</v>
          </cell>
          <cell r="BH45">
            <v>0.11876670360471937</v>
          </cell>
          <cell r="BI45">
            <v>0.16104243234213164</v>
          </cell>
          <cell r="BJ45">
            <v>0.15575680894985683</v>
          </cell>
          <cell r="BK45">
            <v>0.15040704657680501</v>
          </cell>
          <cell r="BL45">
            <v>0.22725139140347347</v>
          </cell>
          <cell r="BM45">
            <v>0.12089726828596986</v>
          </cell>
          <cell r="BN45">
            <v>0.1204893807134511</v>
          </cell>
          <cell r="BO45">
            <v>0.11184164994117241</v>
          </cell>
          <cell r="BP45">
            <v>2.4352801618868186E-2</v>
          </cell>
          <cell r="BQ45">
            <v>9.5096160669931165E-2</v>
          </cell>
          <cell r="BR45">
            <v>9.6278545249506631E-2</v>
          </cell>
          <cell r="BS45">
            <v>0.12117976778326438</v>
          </cell>
          <cell r="BT45">
            <v>3.4828458604700572E-3</v>
          </cell>
        </row>
        <row r="46">
          <cell r="A46" t="str">
            <v>Other Income (Expense)</v>
          </cell>
          <cell r="F46" t="str">
            <v>NOT FULLY COMPARABLE BECAUSE INCL AT WIRELESS</v>
          </cell>
          <cell r="Y46" t="str">
            <v>NOT FULLY COMPARABLE BECAUSE MAY INCL SOME AT WIRELESS</v>
          </cell>
        </row>
        <row r="47">
          <cell r="A47" t="str">
            <v>Interest Expense</v>
          </cell>
          <cell r="F47">
            <v>-497812</v>
          </cell>
          <cell r="G47">
            <v>-462777</v>
          </cell>
          <cell r="H47">
            <v>-415742</v>
          </cell>
          <cell r="I47">
            <v>-453383.77717189625</v>
          </cell>
          <cell r="J47">
            <v>-444400</v>
          </cell>
          <cell r="K47">
            <v>-416400</v>
          </cell>
          <cell r="L47">
            <v>-442013</v>
          </cell>
          <cell r="M47">
            <v>-527678</v>
          </cell>
          <cell r="N47">
            <v>-607394</v>
          </cell>
          <cell r="O47">
            <v>-625100</v>
          </cell>
          <cell r="P47">
            <v>-627700</v>
          </cell>
          <cell r="Q47">
            <v>-571800</v>
          </cell>
          <cell r="R47">
            <v>-819691.6</v>
          </cell>
          <cell r="S47">
            <v>-965202.0625</v>
          </cell>
          <cell r="T47">
            <v>-937153.42499999993</v>
          </cell>
          <cell r="U47">
            <v>-933330.76562499977</v>
          </cell>
          <cell r="V47">
            <v>-927059.05645312485</v>
          </cell>
          <cell r="Y47">
            <v>-119466</v>
          </cell>
          <cell r="Z47">
            <v>-113908</v>
          </cell>
          <cell r="AA47">
            <v>-114988</v>
          </cell>
          <cell r="AB47">
            <v>-114415</v>
          </cell>
          <cell r="AC47">
            <v>-112737</v>
          </cell>
          <cell r="AD47">
            <v>-95207</v>
          </cell>
          <cell r="AE47">
            <v>-103236</v>
          </cell>
          <cell r="AF47">
            <v>-104562</v>
          </cell>
          <cell r="AG47">
            <v>-109589</v>
          </cell>
          <cell r="AH47">
            <v>-113447.37967751722</v>
          </cell>
          <cell r="AI47">
            <v>-110202</v>
          </cell>
          <cell r="AJ47">
            <v>-109712</v>
          </cell>
          <cell r="AK47">
            <v>-114700</v>
          </cell>
          <cell r="AL47">
            <v>-108100</v>
          </cell>
          <cell r="AM47">
            <v>-109600</v>
          </cell>
          <cell r="AN47">
            <v>-112000</v>
          </cell>
          <cell r="AO47">
            <v>-105000</v>
          </cell>
          <cell r="AP47">
            <v>-103600</v>
          </cell>
          <cell r="AQ47">
            <v>-103300</v>
          </cell>
          <cell r="AR47">
            <v>-104500</v>
          </cell>
          <cell r="AS47">
            <v>-107296</v>
          </cell>
          <cell r="AT47">
            <v>-105412</v>
          </cell>
          <cell r="AU47">
            <v>-105833</v>
          </cell>
          <cell r="AV47">
            <v>-123472</v>
          </cell>
          <cell r="AW47">
            <v>-125902</v>
          </cell>
          <cell r="AX47">
            <v>-128871</v>
          </cell>
          <cell r="AY47">
            <v>-132784</v>
          </cell>
          <cell r="AZ47">
            <v>-140121</v>
          </cell>
          <cell r="BA47">
            <v>-147488</v>
          </cell>
          <cell r="BB47">
            <v>-147902</v>
          </cell>
          <cell r="BC47">
            <v>-147086</v>
          </cell>
          <cell r="BD47">
            <v>-164918</v>
          </cell>
          <cell r="BE47">
            <v>-156500</v>
          </cell>
          <cell r="BF47">
            <v>-153500</v>
          </cell>
          <cell r="BG47">
            <v>-155400</v>
          </cell>
          <cell r="BH47">
            <v>-159700</v>
          </cell>
          <cell r="BI47">
            <v>-168900</v>
          </cell>
          <cell r="BJ47">
            <v>-162000</v>
          </cell>
          <cell r="BK47">
            <v>-148800</v>
          </cell>
          <cell r="BL47">
            <v>-148000</v>
          </cell>
          <cell r="BM47">
            <v>-141900</v>
          </cell>
          <cell r="BN47">
            <v>-142500</v>
          </cell>
          <cell r="BO47">
            <v>-143400</v>
          </cell>
          <cell r="BP47">
            <v>-144000</v>
          </cell>
          <cell r="BQ47">
            <v>-141100</v>
          </cell>
          <cell r="BR47">
            <v>-217500</v>
          </cell>
          <cell r="BS47">
            <v>-230200</v>
          </cell>
          <cell r="BT47">
            <v>-230891.6</v>
          </cell>
          <cell r="BV47" t="str">
            <v>mstag:interestExpense</v>
          </cell>
          <cell r="BW47">
            <v>3</v>
          </cell>
          <cell r="BX47" t="str">
            <v>ISO4217:USD</v>
          </cell>
          <cell r="BY47" t="b">
            <v>1</v>
          </cell>
          <cell r="BZ47" t="b">
            <v>0</v>
          </cell>
        </row>
        <row r="48">
          <cell r="A48" t="str">
            <v xml:space="preserve">   % y/y growth</v>
          </cell>
          <cell r="G48">
            <v>-7.0377974014286471E-2</v>
          </cell>
          <cell r="H48">
            <v>-0.10163642531932227</v>
          </cell>
          <cell r="I48">
            <v>9.054119423078788E-2</v>
          </cell>
          <cell r="J48">
            <v>-1.9814950653803676E-2</v>
          </cell>
          <cell r="K48">
            <v>-6.3006300630062961E-2</v>
          </cell>
          <cell r="L48" t="str">
            <v>na</v>
          </cell>
          <cell r="M48">
            <v>0.19380651700289353</v>
          </cell>
          <cell r="N48">
            <v>0.15106940217329501</v>
          </cell>
          <cell r="O48">
            <v>2.9150765401041223E-2</v>
          </cell>
          <cell r="P48">
            <v>4.1593345064789844E-3</v>
          </cell>
          <cell r="Q48">
            <v>-8.9055281185279611E-2</v>
          </cell>
          <cell r="R48">
            <v>0.43352850647079388</v>
          </cell>
          <cell r="S48">
            <v>0.17751854782945209</v>
          </cell>
          <cell r="T48">
            <v>-2.9059860716988517E-2</v>
          </cell>
          <cell r="U48">
            <v>-4.0790112622168806E-3</v>
          </cell>
          <cell r="V48">
            <v>-6.719706885131016E-3</v>
          </cell>
          <cell r="AC48">
            <v>-5.6325649138667111E-2</v>
          </cell>
          <cell r="AD48">
            <v>-0.1641763528461565</v>
          </cell>
          <cell r="AE48">
            <v>-0.10220196890110267</v>
          </cell>
          <cell r="AF48">
            <v>-8.6116330900668614E-2</v>
          </cell>
          <cell r="AG48">
            <v>-2.7923396932684086E-2</v>
          </cell>
          <cell r="AH48">
            <v>0.19158653961911654</v>
          </cell>
          <cell r="AI48">
            <v>6.7476461699407242E-2</v>
          </cell>
          <cell r="AJ48">
            <v>4.9253074730781776E-2</v>
          </cell>
          <cell r="AK48">
            <v>4.6637892489209687E-2</v>
          </cell>
          <cell r="AL48">
            <v>-4.7135329989265062E-2</v>
          </cell>
          <cell r="AM48">
            <v>-5.4626957768461049E-3</v>
          </cell>
          <cell r="AN48">
            <v>2.0854601137523687E-2</v>
          </cell>
          <cell r="AO48">
            <v>-8.4568439407149087E-2</v>
          </cell>
          <cell r="AP48">
            <v>-4.1628122109158228E-2</v>
          </cell>
          <cell r="AQ48">
            <v>-5.7481751824817517E-2</v>
          </cell>
          <cell r="AR48">
            <v>-6.6964285714285698E-2</v>
          </cell>
          <cell r="AS48">
            <v>2.1866666666666701E-2</v>
          </cell>
          <cell r="AT48">
            <v>1.7490347490347391E-2</v>
          </cell>
          <cell r="AU48">
            <v>2.4520813165537225E-2</v>
          </cell>
          <cell r="AV48">
            <v>0.18155023923444968</v>
          </cell>
          <cell r="AW48">
            <v>0.1734081419624216</v>
          </cell>
          <cell r="AX48">
            <v>0.22254582021022284</v>
          </cell>
          <cell r="AY48">
            <v>0.25465592017612648</v>
          </cell>
          <cell r="AZ48">
            <v>0.1348402876765582</v>
          </cell>
          <cell r="BA48">
            <v>0.17145081094819781</v>
          </cell>
          <cell r="BB48">
            <v>0.14767480658953525</v>
          </cell>
          <cell r="BC48">
            <v>0.10770876009157737</v>
          </cell>
          <cell r="BD48">
            <v>0.17696847724466713</v>
          </cell>
          <cell r="BE48">
            <v>6.1103276198741563E-2</v>
          </cell>
          <cell r="BF48">
            <v>3.7849386756095171E-2</v>
          </cell>
          <cell r="BG48">
            <v>5.6524754225419249E-2</v>
          </cell>
          <cell r="BH48">
            <v>-3.1639966528820396E-2</v>
          </cell>
          <cell r="BI48">
            <v>7.9233226837060799E-2</v>
          </cell>
          <cell r="BJ48">
            <v>5.5374592833876246E-2</v>
          </cell>
          <cell r="BK48">
            <v>-4.2471042471042497E-2</v>
          </cell>
          <cell r="BL48">
            <v>-7.3262366938008805E-2</v>
          </cell>
          <cell r="BM48">
            <v>-0.15985790408525757</v>
          </cell>
          <cell r="BN48">
            <v>-0.12037037037037035</v>
          </cell>
          <cell r="BO48">
            <v>-3.6290322580645129E-2</v>
          </cell>
          <cell r="BP48">
            <v>-2.7027027027026973E-2</v>
          </cell>
          <cell r="BQ48">
            <v>-5.6377730796335346E-3</v>
          </cell>
          <cell r="BR48">
            <v>0.52631578947368429</v>
          </cell>
          <cell r="BS48">
            <v>0.60529986052998597</v>
          </cell>
          <cell r="BT48">
            <v>0.60341388888888892</v>
          </cell>
        </row>
        <row r="49">
          <cell r="A49" t="str">
            <v xml:space="preserve">  Loss on interest rate hedging arrangements</v>
          </cell>
          <cell r="F49">
            <v>-2113</v>
          </cell>
          <cell r="G49">
            <v>-126</v>
          </cell>
          <cell r="H49">
            <v>-399</v>
          </cell>
          <cell r="I49">
            <v>770</v>
          </cell>
          <cell r="J49">
            <v>0</v>
          </cell>
          <cell r="K49">
            <v>0</v>
          </cell>
          <cell r="L49">
            <v>0</v>
          </cell>
          <cell r="M49">
            <v>0</v>
          </cell>
          <cell r="N49">
            <v>0</v>
          </cell>
          <cell r="O49">
            <v>0</v>
          </cell>
          <cell r="T49">
            <v>0</v>
          </cell>
          <cell r="U49">
            <v>0</v>
          </cell>
          <cell r="V49">
            <v>0</v>
          </cell>
          <cell r="Y49">
            <v>-342</v>
          </cell>
          <cell r="Z49">
            <v>305</v>
          </cell>
          <cell r="AA49">
            <v>-85</v>
          </cell>
          <cell r="AB49">
            <v>-4</v>
          </cell>
          <cell r="AC49">
            <v>-40</v>
          </cell>
          <cell r="AD49">
            <v>-516</v>
          </cell>
          <cell r="AE49">
            <v>178</v>
          </cell>
          <cell r="AF49">
            <v>-21</v>
          </cell>
          <cell r="AG49">
            <v>304</v>
          </cell>
          <cell r="AH49">
            <v>466</v>
          </cell>
          <cell r="AM49">
            <v>0</v>
          </cell>
          <cell r="AN49">
            <v>0</v>
          </cell>
          <cell r="AO49">
            <v>0</v>
          </cell>
          <cell r="AP49">
            <v>0</v>
          </cell>
          <cell r="AQ49">
            <v>0</v>
          </cell>
          <cell r="AR49">
            <v>0</v>
          </cell>
          <cell r="AS49">
            <v>0</v>
          </cell>
          <cell r="AT49">
            <v>0</v>
          </cell>
          <cell r="AU49">
            <v>0</v>
          </cell>
          <cell r="AV49">
            <v>0</v>
          </cell>
          <cell r="BV49" t="str">
            <v>mstag:otherNonOperatingIncomeExpense</v>
          </cell>
          <cell r="BW49">
            <v>3</v>
          </cell>
          <cell r="BX49" t="str">
            <v>ISO4217:USD</v>
          </cell>
          <cell r="BY49" t="b">
            <v>0</v>
          </cell>
          <cell r="BZ49" t="b">
            <v>0</v>
          </cell>
        </row>
        <row r="50">
          <cell r="A50" t="str">
            <v xml:space="preserve">  Earnings from unconsolidated cellular partnerships</v>
          </cell>
          <cell r="F50">
            <v>3258</v>
          </cell>
          <cell r="G50">
            <v>1113</v>
          </cell>
          <cell r="H50">
            <v>421</v>
          </cell>
          <cell r="I50">
            <v>392</v>
          </cell>
          <cell r="J50">
            <v>0</v>
          </cell>
          <cell r="K50">
            <v>0</v>
          </cell>
          <cell r="L50">
            <v>0</v>
          </cell>
          <cell r="M50">
            <v>0</v>
          </cell>
          <cell r="N50">
            <v>0</v>
          </cell>
          <cell r="O50">
            <v>0</v>
          </cell>
          <cell r="T50">
            <v>0</v>
          </cell>
          <cell r="U50">
            <v>0</v>
          </cell>
          <cell r="V50">
            <v>0</v>
          </cell>
          <cell r="Y50">
            <v>325</v>
          </cell>
          <cell r="Z50">
            <v>343</v>
          </cell>
          <cell r="AA50">
            <v>339</v>
          </cell>
          <cell r="AB50">
            <v>106</v>
          </cell>
          <cell r="AC50">
            <v>29</v>
          </cell>
          <cell r="AD50">
            <v>32</v>
          </cell>
          <cell r="AE50">
            <v>146</v>
          </cell>
          <cell r="AF50">
            <v>214</v>
          </cell>
          <cell r="AG50">
            <v>140</v>
          </cell>
          <cell r="AH50">
            <v>252</v>
          </cell>
          <cell r="AM50">
            <v>0</v>
          </cell>
          <cell r="AN50">
            <v>0</v>
          </cell>
          <cell r="AO50">
            <v>0</v>
          </cell>
          <cell r="AP50">
            <v>0</v>
          </cell>
          <cell r="AQ50">
            <v>0</v>
          </cell>
          <cell r="AR50">
            <v>0</v>
          </cell>
          <cell r="AS50">
            <v>0</v>
          </cell>
          <cell r="AT50">
            <v>0</v>
          </cell>
          <cell r="AU50">
            <v>0</v>
          </cell>
          <cell r="AV50">
            <v>0</v>
          </cell>
          <cell r="BV50" t="str">
            <v>mstag:incomeLossFromInvestmentsAccountedForUnderTheEquityMethodNonOperatingIncomeStatement</v>
          </cell>
          <cell r="BW50">
            <v>3</v>
          </cell>
          <cell r="BX50" t="str">
            <v>ISO4217:USD</v>
          </cell>
          <cell r="BY50" t="b">
            <v>0</v>
          </cell>
          <cell r="BZ50" t="b">
            <v>0</v>
          </cell>
        </row>
        <row r="51">
          <cell r="A51" t="str">
            <v xml:space="preserve">   % y/y growth</v>
          </cell>
          <cell r="G51">
            <v>-0.65837937384898715</v>
          </cell>
          <cell r="H51">
            <v>-0.62174303683737642</v>
          </cell>
          <cell r="I51">
            <v>-6.8883610451306421E-2</v>
          </cell>
          <cell r="AC51">
            <v>-0.91076923076923078</v>
          </cell>
          <cell r="AD51">
            <v>-0.90670553935860054</v>
          </cell>
          <cell r="AE51">
            <v>-0.56932153392330376</v>
          </cell>
          <cell r="AF51">
            <v>1.0188679245283021</v>
          </cell>
          <cell r="AG51">
            <v>3.8275862068965516</v>
          </cell>
          <cell r="AH51">
            <v>6.875</v>
          </cell>
        </row>
        <row r="52">
          <cell r="A52" t="str">
            <v xml:space="preserve">  Impairment on investment in cellular partnerships</v>
          </cell>
          <cell r="F52">
            <v>0</v>
          </cell>
          <cell r="G52">
            <v>0</v>
          </cell>
          <cell r="H52">
            <v>0</v>
          </cell>
          <cell r="I52">
            <v>0</v>
          </cell>
          <cell r="J52">
            <v>0</v>
          </cell>
          <cell r="K52">
            <v>0</v>
          </cell>
          <cell r="L52">
            <v>0</v>
          </cell>
          <cell r="M52">
            <v>0</v>
          </cell>
          <cell r="N52">
            <v>0</v>
          </cell>
          <cell r="O52">
            <v>0</v>
          </cell>
          <cell r="T52">
            <v>0</v>
          </cell>
          <cell r="U52">
            <v>0</v>
          </cell>
          <cell r="V52">
            <v>0</v>
          </cell>
          <cell r="Y52">
            <v>0</v>
          </cell>
          <cell r="Z52">
            <v>0</v>
          </cell>
          <cell r="AA52">
            <v>0</v>
          </cell>
          <cell r="AB52">
            <v>0</v>
          </cell>
          <cell r="AC52">
            <v>0</v>
          </cell>
          <cell r="AD52">
            <v>0</v>
          </cell>
          <cell r="AE52">
            <v>0</v>
          </cell>
          <cell r="AF52">
            <v>0</v>
          </cell>
          <cell r="AG52">
            <v>0</v>
          </cell>
          <cell r="AH52">
            <v>0</v>
          </cell>
          <cell r="AM52">
            <v>0</v>
          </cell>
          <cell r="AN52">
            <v>0</v>
          </cell>
          <cell r="AO52">
            <v>0</v>
          </cell>
          <cell r="AP52">
            <v>0</v>
          </cell>
          <cell r="AQ52">
            <v>0</v>
          </cell>
          <cell r="AR52">
            <v>0</v>
          </cell>
          <cell r="AS52">
            <v>0</v>
          </cell>
          <cell r="AT52">
            <v>0</v>
          </cell>
          <cell r="AU52">
            <v>0</v>
          </cell>
          <cell r="AV52">
            <v>0</v>
          </cell>
        </row>
        <row r="53">
          <cell r="A53" t="str">
            <v xml:space="preserve">  Loss on debt extinguishment</v>
          </cell>
          <cell r="F53">
            <v>0</v>
          </cell>
          <cell r="I53">
            <v>0</v>
          </cell>
          <cell r="J53">
            <v>0</v>
          </cell>
          <cell r="K53">
            <v>0</v>
          </cell>
          <cell r="L53">
            <v>0</v>
          </cell>
          <cell r="M53">
            <v>0</v>
          </cell>
          <cell r="N53">
            <v>0</v>
          </cell>
          <cell r="O53">
            <v>0</v>
          </cell>
          <cell r="P53">
            <v>-28500</v>
          </cell>
          <cell r="R53">
            <v>-35800</v>
          </cell>
          <cell r="T53">
            <v>0</v>
          </cell>
          <cell r="U53">
            <v>0</v>
          </cell>
          <cell r="V53">
            <v>0</v>
          </cell>
          <cell r="Y53">
            <v>0</v>
          </cell>
          <cell r="Z53">
            <v>0</v>
          </cell>
          <cell r="AA53">
            <v>0</v>
          </cell>
          <cell r="AB53">
            <v>0</v>
          </cell>
          <cell r="AC53">
            <v>0</v>
          </cell>
          <cell r="AD53">
            <v>0</v>
          </cell>
          <cell r="AE53">
            <v>0</v>
          </cell>
          <cell r="AF53">
            <v>0</v>
          </cell>
          <cell r="AG53">
            <v>0</v>
          </cell>
          <cell r="AH53">
            <v>0</v>
          </cell>
          <cell r="AM53">
            <v>0</v>
          </cell>
          <cell r="AN53">
            <v>0</v>
          </cell>
          <cell r="AO53">
            <v>0</v>
          </cell>
          <cell r="AP53">
            <v>0</v>
          </cell>
          <cell r="AQ53">
            <v>0</v>
          </cell>
          <cell r="AR53">
            <v>0</v>
          </cell>
          <cell r="AS53">
            <v>0</v>
          </cell>
          <cell r="AT53">
            <v>0</v>
          </cell>
          <cell r="AU53">
            <v>0</v>
          </cell>
          <cell r="AV53">
            <v>0</v>
          </cell>
          <cell r="BI53">
            <v>-13800</v>
          </cell>
          <cell r="BK53">
            <v>-14700</v>
          </cell>
          <cell r="BR53">
            <v>-43400</v>
          </cell>
          <cell r="BS53">
            <v>7600</v>
          </cell>
          <cell r="BV53" t="str">
            <v>mstag:gainLossOnRedemptionAndExtinguishmentOfDebt</v>
          </cell>
          <cell r="BW53">
            <v>3</v>
          </cell>
          <cell r="BX53" t="str">
            <v>ISO4217:USD</v>
          </cell>
          <cell r="BY53" t="b">
            <v>0</v>
          </cell>
          <cell r="BZ53" t="b">
            <v>0</v>
          </cell>
        </row>
        <row r="54">
          <cell r="A54" t="str">
            <v>Other Income (Expense), net</v>
          </cell>
          <cell r="F54">
            <v>7692</v>
          </cell>
          <cell r="G54">
            <v>9384</v>
          </cell>
          <cell r="H54">
            <v>40854</v>
          </cell>
          <cell r="I54">
            <v>30134.506055981252</v>
          </cell>
          <cell r="J54">
            <v>11100</v>
          </cell>
          <cell r="K54">
            <v>2100</v>
          </cell>
          <cell r="L54">
            <v>1158</v>
          </cell>
          <cell r="M54">
            <v>-3056</v>
          </cell>
          <cell r="N54">
            <v>-100</v>
          </cell>
          <cell r="O54">
            <v>4400</v>
          </cell>
          <cell r="P54">
            <v>-12500</v>
          </cell>
          <cell r="Q54">
            <v>100</v>
          </cell>
          <cell r="R54">
            <v>38500</v>
          </cell>
          <cell r="S54">
            <v>0</v>
          </cell>
          <cell r="T54">
            <v>0</v>
          </cell>
          <cell r="U54">
            <v>0</v>
          </cell>
          <cell r="V54">
            <v>0</v>
          </cell>
          <cell r="Y54">
            <v>4543</v>
          </cell>
          <cell r="Z54">
            <v>-15412</v>
          </cell>
          <cell r="AA54">
            <v>8949</v>
          </cell>
          <cell r="AB54">
            <v>11304</v>
          </cell>
          <cell r="AC54">
            <v>9782</v>
          </cell>
          <cell r="AD54">
            <v>8494</v>
          </cell>
          <cell r="AE54">
            <v>22625</v>
          </cell>
          <cell r="AF54">
            <v>-47</v>
          </cell>
          <cell r="AG54">
            <v>12595</v>
          </cell>
          <cell r="AH54">
            <v>10065.506055981252</v>
          </cell>
          <cell r="AI54">
            <v>2545</v>
          </cell>
          <cell r="AJ54">
            <v>4929</v>
          </cell>
          <cell r="AK54">
            <v>5200</v>
          </cell>
          <cell r="AL54">
            <v>6300</v>
          </cell>
          <cell r="AM54">
            <v>200</v>
          </cell>
          <cell r="AN54">
            <v>-600</v>
          </cell>
          <cell r="AO54">
            <v>5600</v>
          </cell>
          <cell r="AP54">
            <v>3000</v>
          </cell>
          <cell r="AQ54">
            <v>500</v>
          </cell>
          <cell r="AR54">
            <v>-7000</v>
          </cell>
          <cell r="AS54">
            <v>1514</v>
          </cell>
          <cell r="AT54">
            <v>879</v>
          </cell>
          <cell r="AU54">
            <v>-875</v>
          </cell>
          <cell r="AV54">
            <v>-360</v>
          </cell>
          <cell r="AW54">
            <v>144</v>
          </cell>
          <cell r="AX54">
            <v>-900</v>
          </cell>
          <cell r="AY54">
            <v>-3000</v>
          </cell>
          <cell r="AZ54">
            <v>700</v>
          </cell>
          <cell r="BA54">
            <v>2600</v>
          </cell>
          <cell r="BB54">
            <v>-3200</v>
          </cell>
          <cell r="BC54">
            <v>-1500</v>
          </cell>
          <cell r="BD54">
            <v>2000</v>
          </cell>
          <cell r="BE54">
            <v>6600</v>
          </cell>
          <cell r="BF54">
            <v>3200</v>
          </cell>
          <cell r="BG54">
            <v>-5300</v>
          </cell>
          <cell r="BH54">
            <v>-100</v>
          </cell>
          <cell r="BI54">
            <v>2300</v>
          </cell>
          <cell r="BJ54">
            <v>-1700</v>
          </cell>
          <cell r="BK54">
            <v>-5600</v>
          </cell>
          <cell r="BL54">
            <v>-7500</v>
          </cell>
          <cell r="BM54">
            <v>900</v>
          </cell>
          <cell r="BN54">
            <v>-700</v>
          </cell>
          <cell r="BO54">
            <v>-100</v>
          </cell>
          <cell r="BP54">
            <v>0</v>
          </cell>
          <cell r="BQ54">
            <v>-1200</v>
          </cell>
          <cell r="BR54">
            <v>22300</v>
          </cell>
          <cell r="BS54">
            <v>17400</v>
          </cell>
          <cell r="BT54">
            <v>0</v>
          </cell>
          <cell r="BV54" t="str">
            <v>mstag:otherNonOperatingIncomeExpense</v>
          </cell>
          <cell r="BW54">
            <v>3</v>
          </cell>
          <cell r="BX54" t="str">
            <v>ISO4217:USD</v>
          </cell>
          <cell r="BY54" t="b">
            <v>0</v>
          </cell>
          <cell r="BZ54" t="b">
            <v>0</v>
          </cell>
        </row>
        <row r="55">
          <cell r="A55" t="str">
            <v>Total Other Income (Expense)</v>
          </cell>
          <cell r="F55">
            <v>-488975</v>
          </cell>
          <cell r="G55">
            <v>-452406</v>
          </cell>
          <cell r="H55">
            <v>-374866</v>
          </cell>
          <cell r="I55">
            <v>-422087.27111591498</v>
          </cell>
          <cell r="J55">
            <v>-433300</v>
          </cell>
          <cell r="K55">
            <v>-414300</v>
          </cell>
          <cell r="L55">
            <v>-440855</v>
          </cell>
          <cell r="M55">
            <v>-530734</v>
          </cell>
          <cell r="N55">
            <v>-607494</v>
          </cell>
          <cell r="O55">
            <v>-620700</v>
          </cell>
          <cell r="P55">
            <v>-668700</v>
          </cell>
          <cell r="Q55">
            <v>-571700</v>
          </cell>
          <cell r="R55">
            <v>-816991.6</v>
          </cell>
          <cell r="S55">
            <v>-965202.0625</v>
          </cell>
          <cell r="T55">
            <v>-937153.42499999993</v>
          </cell>
          <cell r="U55">
            <v>-933330.76562499977</v>
          </cell>
          <cell r="V55">
            <v>-927059.05645312485</v>
          </cell>
          <cell r="Y55">
            <v>-114940</v>
          </cell>
          <cell r="Z55">
            <v>-128672</v>
          </cell>
          <cell r="AA55">
            <v>-105785</v>
          </cell>
          <cell r="AB55">
            <v>-103009</v>
          </cell>
          <cell r="AC55">
            <v>-102966</v>
          </cell>
          <cell r="AD55">
            <v>-87197</v>
          </cell>
          <cell r="AE55">
            <v>-80287</v>
          </cell>
          <cell r="AF55">
            <v>-104416</v>
          </cell>
          <cell r="AG55">
            <v>-96550</v>
          </cell>
          <cell r="AH55">
            <v>-102663.87362153597</v>
          </cell>
          <cell r="AI55">
            <v>-107657</v>
          </cell>
          <cell r="AJ55">
            <v>-104783</v>
          </cell>
          <cell r="AK55">
            <v>-109500</v>
          </cell>
          <cell r="AL55">
            <v>-101800</v>
          </cell>
          <cell r="AM55">
            <v>-109400</v>
          </cell>
          <cell r="AN55">
            <v>-112600</v>
          </cell>
          <cell r="AO55">
            <v>-99400</v>
          </cell>
          <cell r="AP55">
            <v>-100600</v>
          </cell>
          <cell r="AQ55">
            <v>-102800</v>
          </cell>
          <cell r="AR55">
            <v>-111500</v>
          </cell>
          <cell r="AS55">
            <v>-105782</v>
          </cell>
          <cell r="AT55">
            <v>-104533</v>
          </cell>
          <cell r="AU55">
            <v>-106708</v>
          </cell>
          <cell r="AV55">
            <v>-123832</v>
          </cell>
          <cell r="AW55">
            <v>-125758</v>
          </cell>
          <cell r="AX55">
            <v>-129771</v>
          </cell>
          <cell r="AY55">
            <v>-135784</v>
          </cell>
          <cell r="AZ55">
            <v>-139421</v>
          </cell>
          <cell r="BA55">
            <v>-144888</v>
          </cell>
          <cell r="BB55">
            <v>-151102</v>
          </cell>
          <cell r="BC55">
            <v>-148586</v>
          </cell>
          <cell r="BD55">
            <v>-162918</v>
          </cell>
          <cell r="BE55">
            <v>-149900</v>
          </cell>
          <cell r="BF55">
            <v>-150300</v>
          </cell>
          <cell r="BG55">
            <v>-160700</v>
          </cell>
          <cell r="BH55">
            <v>-159800</v>
          </cell>
          <cell r="BI55">
            <v>-180400</v>
          </cell>
          <cell r="BJ55">
            <v>-163700</v>
          </cell>
          <cell r="BK55">
            <v>-169100</v>
          </cell>
          <cell r="BL55">
            <v>-155500</v>
          </cell>
          <cell r="BM55">
            <v>-141000</v>
          </cell>
          <cell r="BN55">
            <v>-143200</v>
          </cell>
          <cell r="BO55">
            <v>-143500</v>
          </cell>
          <cell r="BP55">
            <v>-144000</v>
          </cell>
          <cell r="BQ55">
            <v>-142300</v>
          </cell>
          <cell r="BR55">
            <v>-238600</v>
          </cell>
          <cell r="BS55">
            <v>-205200</v>
          </cell>
          <cell r="BT55">
            <v>-230891.6</v>
          </cell>
        </row>
        <row r="56">
          <cell r="A56" t="str">
            <v>PBT</v>
          </cell>
          <cell r="F56">
            <v>574899</v>
          </cell>
          <cell r="G56">
            <v>630645</v>
          </cell>
          <cell r="H56">
            <v>630336</v>
          </cell>
          <cell r="I56">
            <v>659539.72888408508</v>
          </cell>
          <cell r="J56">
            <v>727700</v>
          </cell>
          <cell r="K56">
            <v>802300</v>
          </cell>
          <cell r="L56">
            <v>660445</v>
          </cell>
          <cell r="M56">
            <v>587366</v>
          </cell>
          <cell r="N56">
            <v>466906</v>
          </cell>
          <cell r="O56">
            <v>328400</v>
          </cell>
          <cell r="P56">
            <v>370500</v>
          </cell>
          <cell r="Q56">
            <v>-24200</v>
          </cell>
          <cell r="R56">
            <v>-359828.87036141206</v>
          </cell>
          <cell r="S56">
            <v>-568637.31714365282</v>
          </cell>
          <cell r="T56">
            <v>-600393.17406287568</v>
          </cell>
          <cell r="U56">
            <v>-646811.12658675178</v>
          </cell>
          <cell r="V56">
            <v>-671639.40976230474</v>
          </cell>
          <cell r="Y56">
            <v>153748.952156657</v>
          </cell>
          <cell r="Z56">
            <v>151749.38329779904</v>
          </cell>
          <cell r="AA56">
            <v>158547.99080263718</v>
          </cell>
          <cell r="AB56">
            <v>166598.67374290677</v>
          </cell>
          <cell r="AC56">
            <v>125951</v>
          </cell>
          <cell r="AD56">
            <v>156595</v>
          </cell>
          <cell r="AE56">
            <v>167676</v>
          </cell>
          <cell r="AF56">
            <v>180114</v>
          </cell>
          <cell r="AG56">
            <v>160685</v>
          </cell>
          <cell r="AH56">
            <v>172554.12637846405</v>
          </cell>
          <cell r="AI56">
            <v>148309</v>
          </cell>
          <cell r="AJ56">
            <v>188425</v>
          </cell>
          <cell r="AK56">
            <v>171000</v>
          </cell>
          <cell r="AL56">
            <v>184300</v>
          </cell>
          <cell r="AM56">
            <v>180700</v>
          </cell>
          <cell r="AN56">
            <v>191700</v>
          </cell>
          <cell r="AO56">
            <v>212300</v>
          </cell>
          <cell r="AP56">
            <v>208200</v>
          </cell>
          <cell r="AQ56">
            <v>192600</v>
          </cell>
          <cell r="AR56">
            <v>189200</v>
          </cell>
          <cell r="AS56">
            <v>178018</v>
          </cell>
          <cell r="AT56">
            <v>162667</v>
          </cell>
          <cell r="AU56">
            <v>158692</v>
          </cell>
          <cell r="AV56">
            <v>161068</v>
          </cell>
          <cell r="AW56">
            <v>156142</v>
          </cell>
          <cell r="AX56">
            <v>151329</v>
          </cell>
          <cell r="AY56">
            <v>153916</v>
          </cell>
          <cell r="AZ56">
            <v>125979</v>
          </cell>
          <cell r="BA56">
            <v>164112</v>
          </cell>
          <cell r="BB56">
            <v>163398</v>
          </cell>
          <cell r="BC56">
            <v>166514</v>
          </cell>
          <cell r="BD56">
            <v>-27118</v>
          </cell>
          <cell r="BE56">
            <v>116800</v>
          </cell>
          <cell r="BF56">
            <v>101600</v>
          </cell>
          <cell r="BG56">
            <v>87600</v>
          </cell>
          <cell r="BH56">
            <v>22400</v>
          </cell>
          <cell r="BI56">
            <v>60600</v>
          </cell>
          <cell r="BJ56">
            <v>70200</v>
          </cell>
          <cell r="BK56">
            <v>56300</v>
          </cell>
          <cell r="BL56">
            <v>183400</v>
          </cell>
          <cell r="BM56">
            <v>34700</v>
          </cell>
          <cell r="BN56">
            <v>32100</v>
          </cell>
          <cell r="BO56">
            <v>18100</v>
          </cell>
          <cell r="BP56">
            <v>-109100</v>
          </cell>
          <cell r="BQ56">
            <v>-8300</v>
          </cell>
          <cell r="BR56">
            <v>-102000</v>
          </cell>
          <cell r="BS56">
            <v>-23600</v>
          </cell>
          <cell r="BT56">
            <v>-225928.87036141209</v>
          </cell>
        </row>
        <row r="57">
          <cell r="A57" t="str">
            <v>Income tax expense</v>
          </cell>
          <cell r="F57">
            <v>583087</v>
          </cell>
          <cell r="G57">
            <v>605475</v>
          </cell>
          <cell r="H57">
            <v>716896</v>
          </cell>
          <cell r="I57">
            <v>565274.76787021756</v>
          </cell>
          <cell r="J57">
            <v>252000</v>
          </cell>
          <cell r="K57">
            <v>283700</v>
          </cell>
          <cell r="L57">
            <v>211100</v>
          </cell>
          <cell r="M57">
            <v>184600</v>
          </cell>
          <cell r="N57">
            <v>96900</v>
          </cell>
          <cell r="O57">
            <v>98100</v>
          </cell>
          <cell r="P57">
            <v>105300</v>
          </cell>
          <cell r="Q57">
            <v>-25100</v>
          </cell>
          <cell r="R57">
            <v>-174375.10462649423</v>
          </cell>
          <cell r="S57">
            <v>-199023.06100027848</v>
          </cell>
          <cell r="T57">
            <v>-210137.61092200648</v>
          </cell>
          <cell r="U57">
            <v>-226383.89430536312</v>
          </cell>
          <cell r="V57">
            <v>-235073.79341680664</v>
          </cell>
          <cell r="Y57">
            <v>136209</v>
          </cell>
          <cell r="Z57">
            <v>151256</v>
          </cell>
          <cell r="AA57">
            <v>161354</v>
          </cell>
          <cell r="AB57">
            <v>156656</v>
          </cell>
          <cell r="AC57">
            <v>143744</v>
          </cell>
          <cell r="AD57">
            <v>173956</v>
          </cell>
          <cell r="AE57">
            <v>209981</v>
          </cell>
          <cell r="AF57">
            <v>189215</v>
          </cell>
          <cell r="AG57">
            <v>204872</v>
          </cell>
          <cell r="AH57">
            <v>229048.69253755859</v>
          </cell>
          <cell r="AI57">
            <v>65551</v>
          </cell>
          <cell r="AJ57">
            <v>65803.075332658889</v>
          </cell>
          <cell r="AK57">
            <v>60200</v>
          </cell>
          <cell r="AL57">
            <v>75100</v>
          </cell>
          <cell r="AM57">
            <v>61500</v>
          </cell>
          <cell r="AN57">
            <v>55200</v>
          </cell>
          <cell r="AO57">
            <v>75600</v>
          </cell>
          <cell r="AP57">
            <v>70400</v>
          </cell>
          <cell r="AQ57">
            <v>63500</v>
          </cell>
          <cell r="AR57">
            <v>74200</v>
          </cell>
          <cell r="AS57">
            <v>65500</v>
          </cell>
          <cell r="AT57">
            <v>56400</v>
          </cell>
          <cell r="AU57">
            <v>45700</v>
          </cell>
          <cell r="AV57">
            <v>43500</v>
          </cell>
          <cell r="AW57">
            <v>49400</v>
          </cell>
          <cell r="AX57">
            <v>50700</v>
          </cell>
          <cell r="AY57">
            <v>49700</v>
          </cell>
          <cell r="AZ57">
            <v>34800</v>
          </cell>
          <cell r="BA57">
            <v>17200</v>
          </cell>
          <cell r="BB57">
            <v>59600</v>
          </cell>
          <cell r="BC57">
            <v>38800</v>
          </cell>
          <cell r="BD57">
            <v>-18700</v>
          </cell>
          <cell r="BE57">
            <v>37300</v>
          </cell>
          <cell r="BF57">
            <v>31600</v>
          </cell>
          <cell r="BG57">
            <v>29100</v>
          </cell>
          <cell r="BH57">
            <v>100</v>
          </cell>
          <cell r="BI57">
            <v>3500</v>
          </cell>
          <cell r="BJ57">
            <v>24000</v>
          </cell>
          <cell r="BK57">
            <v>19900</v>
          </cell>
          <cell r="BL57">
            <v>57900</v>
          </cell>
          <cell r="BM57">
            <v>10800</v>
          </cell>
          <cell r="BN57">
            <v>10000</v>
          </cell>
          <cell r="BO57">
            <v>100</v>
          </cell>
          <cell r="BP57">
            <v>-46000</v>
          </cell>
          <cell r="BQ57">
            <v>-27700</v>
          </cell>
          <cell r="BR57">
            <v>-48100</v>
          </cell>
          <cell r="BS57">
            <v>-19500</v>
          </cell>
          <cell r="BT57">
            <v>-79075.104626494227</v>
          </cell>
        </row>
        <row r="58">
          <cell r="A58" t="str">
            <v xml:space="preserve">   Adjustment for taxes</v>
          </cell>
          <cell r="F58">
            <v>583087</v>
          </cell>
          <cell r="G58">
            <v>0</v>
          </cell>
          <cell r="H58">
            <v>0</v>
          </cell>
          <cell r="I58">
            <v>0</v>
          </cell>
          <cell r="J58">
            <v>-432.29999999999927</v>
          </cell>
          <cell r="K58">
            <v>-6174</v>
          </cell>
          <cell r="L58">
            <v>17401.7</v>
          </cell>
          <cell r="M58">
            <v>33000</v>
          </cell>
          <cell r="N58">
            <v>76200</v>
          </cell>
          <cell r="O58">
            <v>37340</v>
          </cell>
          <cell r="P58">
            <v>26920</v>
          </cell>
          <cell r="Q58">
            <v>30520</v>
          </cell>
          <cell r="R58">
            <v>43705</v>
          </cell>
          <cell r="S58">
            <v>33715</v>
          </cell>
          <cell r="T58">
            <v>35980</v>
          </cell>
          <cell r="U58">
            <v>37800</v>
          </cell>
          <cell r="V58">
            <v>35831.666666666664</v>
          </cell>
          <cell r="Y58">
            <v>0</v>
          </cell>
          <cell r="Z58">
            <v>0</v>
          </cell>
          <cell r="AA58">
            <v>0</v>
          </cell>
          <cell r="AB58">
            <v>0</v>
          </cell>
          <cell r="AC58">
            <v>0</v>
          </cell>
          <cell r="AD58">
            <v>0</v>
          </cell>
          <cell r="AE58">
            <v>0</v>
          </cell>
          <cell r="AF58">
            <v>0</v>
          </cell>
          <cell r="AG58">
            <v>0</v>
          </cell>
          <cell r="AH58">
            <v>0</v>
          </cell>
          <cell r="AI58">
            <v>0</v>
          </cell>
          <cell r="AJ58">
            <v>0</v>
          </cell>
          <cell r="AK58">
            <v>1804.8</v>
          </cell>
          <cell r="AL58">
            <v>-4598.0999999999995</v>
          </cell>
          <cell r="AM58">
            <v>1085</v>
          </cell>
          <cell r="AN58">
            <v>1276</v>
          </cell>
          <cell r="AO58">
            <v>825</v>
          </cell>
          <cell r="AP58">
            <v>1950</v>
          </cell>
          <cell r="AQ58">
            <v>2715</v>
          </cell>
          <cell r="AR58">
            <v>-11664</v>
          </cell>
          <cell r="AS58">
            <v>3428.4</v>
          </cell>
          <cell r="AT58">
            <v>2700.5</v>
          </cell>
          <cell r="AU58">
            <v>6435</v>
          </cell>
          <cell r="AV58">
            <v>4837.8</v>
          </cell>
          <cell r="AW58">
            <v>9200</v>
          </cell>
          <cell r="AX58">
            <v>6300</v>
          </cell>
          <cell r="AY58">
            <v>4700</v>
          </cell>
          <cell r="AZ58">
            <v>12800</v>
          </cell>
          <cell r="BA58">
            <v>40400</v>
          </cell>
          <cell r="BB58">
            <v>2700</v>
          </cell>
          <cell r="BC58">
            <v>14900</v>
          </cell>
          <cell r="BD58">
            <v>18200</v>
          </cell>
          <cell r="BE58">
            <v>10100</v>
          </cell>
          <cell r="BF58">
            <v>11700</v>
          </cell>
          <cell r="BG58">
            <v>9500</v>
          </cell>
          <cell r="BH58">
            <v>6040</v>
          </cell>
          <cell r="BI58">
            <v>9520</v>
          </cell>
          <cell r="BJ58">
            <v>3800</v>
          </cell>
          <cell r="BK58">
            <v>8520</v>
          </cell>
          <cell r="BL58">
            <v>5080</v>
          </cell>
          <cell r="BM58">
            <v>8120</v>
          </cell>
          <cell r="BN58">
            <v>4760</v>
          </cell>
          <cell r="BO58">
            <v>5440</v>
          </cell>
          <cell r="BP58">
            <v>12200</v>
          </cell>
          <cell r="BQ58">
            <v>8440</v>
          </cell>
          <cell r="BR58">
            <v>24280</v>
          </cell>
          <cell r="BS58">
            <v>3360</v>
          </cell>
          <cell r="BT58">
            <v>7625</v>
          </cell>
        </row>
        <row r="59">
          <cell r="A59" t="str">
            <v>Income Tax Expense</v>
          </cell>
          <cell r="F59">
            <v>583087</v>
          </cell>
          <cell r="G59">
            <v>605475</v>
          </cell>
          <cell r="H59">
            <v>716896</v>
          </cell>
          <cell r="I59">
            <v>565274.76787021756</v>
          </cell>
          <cell r="J59">
            <v>251567.7</v>
          </cell>
          <cell r="K59">
            <v>277526</v>
          </cell>
          <cell r="L59">
            <v>228501.7</v>
          </cell>
          <cell r="M59">
            <v>217600</v>
          </cell>
          <cell r="N59">
            <v>173100</v>
          </cell>
          <cell r="O59">
            <v>135440</v>
          </cell>
          <cell r="P59">
            <v>132220</v>
          </cell>
          <cell r="Q59">
            <v>5420</v>
          </cell>
          <cell r="R59">
            <v>-130670.10462649423</v>
          </cell>
          <cell r="S59">
            <v>-165308.06100027848</v>
          </cell>
          <cell r="T59">
            <v>-174157.61092200648</v>
          </cell>
          <cell r="U59">
            <v>-188583.89430536312</v>
          </cell>
          <cell r="V59">
            <v>-199242.12675013999</v>
          </cell>
          <cell r="Y59">
            <v>136209</v>
          </cell>
          <cell r="Z59">
            <v>151256</v>
          </cell>
          <cell r="AA59">
            <v>161354</v>
          </cell>
          <cell r="AB59">
            <v>156656</v>
          </cell>
          <cell r="AC59">
            <v>143744</v>
          </cell>
          <cell r="AD59">
            <v>173956</v>
          </cell>
          <cell r="AE59">
            <v>209981</v>
          </cell>
          <cell r="AF59">
            <v>189215</v>
          </cell>
          <cell r="AG59">
            <v>204872</v>
          </cell>
          <cell r="AH59">
            <v>229048.69253755859</v>
          </cell>
          <cell r="AI59">
            <v>65551</v>
          </cell>
          <cell r="AJ59">
            <v>65803.075332658889</v>
          </cell>
          <cell r="AK59">
            <v>62004.800000000003</v>
          </cell>
          <cell r="AL59">
            <v>70501.899999999994</v>
          </cell>
          <cell r="AM59">
            <v>62585</v>
          </cell>
          <cell r="AN59">
            <v>56476</v>
          </cell>
          <cell r="AO59">
            <v>76425</v>
          </cell>
          <cell r="AP59">
            <v>72350</v>
          </cell>
          <cell r="AQ59">
            <v>66215</v>
          </cell>
          <cell r="AR59">
            <v>62536</v>
          </cell>
          <cell r="AS59">
            <v>68928.399999999994</v>
          </cell>
          <cell r="AT59">
            <v>59100.5</v>
          </cell>
          <cell r="AU59">
            <v>52135</v>
          </cell>
          <cell r="AV59">
            <v>48337.8</v>
          </cell>
          <cell r="AW59">
            <v>58600</v>
          </cell>
          <cell r="AX59">
            <v>57000</v>
          </cell>
          <cell r="AY59">
            <v>54400</v>
          </cell>
          <cell r="AZ59">
            <v>47600</v>
          </cell>
          <cell r="BA59">
            <v>57600</v>
          </cell>
          <cell r="BB59">
            <v>62300</v>
          </cell>
          <cell r="BC59">
            <v>53700</v>
          </cell>
          <cell r="BD59">
            <v>-500</v>
          </cell>
          <cell r="BE59">
            <v>47400</v>
          </cell>
          <cell r="BF59">
            <v>43300</v>
          </cell>
          <cell r="BG59">
            <v>38600</v>
          </cell>
          <cell r="BH59">
            <v>6140</v>
          </cell>
          <cell r="BI59">
            <v>13020</v>
          </cell>
          <cell r="BJ59">
            <v>27800</v>
          </cell>
          <cell r="BK59">
            <v>28420</v>
          </cell>
          <cell r="BL59">
            <v>62980</v>
          </cell>
          <cell r="BM59">
            <v>18920</v>
          </cell>
          <cell r="BN59">
            <v>14760</v>
          </cell>
          <cell r="BO59">
            <v>5540</v>
          </cell>
          <cell r="BP59">
            <v>-33800</v>
          </cell>
          <cell r="BQ59">
            <v>-19260</v>
          </cell>
          <cell r="BR59">
            <v>-23820</v>
          </cell>
          <cell r="BS59">
            <v>-16140</v>
          </cell>
          <cell r="BT59">
            <v>-71450.104626494227</v>
          </cell>
          <cell r="BV59" t="str">
            <v>mstag:taxExpenseIncome</v>
          </cell>
          <cell r="BW59">
            <v>3</v>
          </cell>
          <cell r="BX59" t="str">
            <v>ISO4217:USD</v>
          </cell>
          <cell r="BY59" t="b">
            <v>0</v>
          </cell>
          <cell r="BZ59" t="b">
            <v>0</v>
          </cell>
        </row>
        <row r="60">
          <cell r="A60" t="str">
            <v xml:space="preserve">   % effective tax rate</v>
          </cell>
          <cell r="F60">
            <v>1.0142425017263903</v>
          </cell>
          <cell r="G60">
            <v>0.9600884808410437</v>
          </cell>
          <cell r="H60">
            <v>1.1373235861508784</v>
          </cell>
          <cell r="I60">
            <v>0.85707462812989288</v>
          </cell>
          <cell r="J60">
            <v>0.34570248728871789</v>
          </cell>
          <cell r="K60">
            <v>0.34591300012464166</v>
          </cell>
          <cell r="L60">
            <v>0.34598142161724293</v>
          </cell>
          <cell r="M60">
            <v>0.3704674768372701</v>
          </cell>
          <cell r="N60">
            <v>0.37073843557375574</v>
          </cell>
          <cell r="O60">
            <v>0.41242387332521313</v>
          </cell>
          <cell r="P60">
            <v>0.35686909581646425</v>
          </cell>
          <cell r="Q60">
            <v>-0.22396694214876034</v>
          </cell>
          <cell r="R60">
            <v>0.3631451375628898</v>
          </cell>
          <cell r="S60">
            <v>0.29070913219456768</v>
          </cell>
          <cell r="T60">
            <v>0.29007260316348626</v>
          </cell>
          <cell r="U60">
            <v>0.29155944688293767</v>
          </cell>
          <cell r="V60">
            <v>0.29665044048063288</v>
          </cell>
          <cell r="Y60">
            <v>0.88591823286844062</v>
          </cell>
          <cell r="Z60">
            <v>0.99674869652135056</v>
          </cell>
          <cell r="AA60">
            <v>1.0176981693880673</v>
          </cell>
          <cell r="AB60">
            <v>0.94031961047751078</v>
          </cell>
          <cell r="AC60">
            <v>1.1412692237457425</v>
          </cell>
          <cell r="AD60">
            <v>1.110865608735911</v>
          </cell>
          <cell r="AE60">
            <v>1.252302058732317</v>
          </cell>
          <cell r="AF60">
            <v>1.0505291093418612</v>
          </cell>
          <cell r="AG60">
            <v>1.2749914428851479</v>
          </cell>
          <cell r="AH60">
            <v>1.3274020004319378</v>
          </cell>
          <cell r="AI60">
            <v>0.4419893600523232</v>
          </cell>
          <cell r="AJ60">
            <v>0.34922688248724365</v>
          </cell>
          <cell r="AK60">
            <v>0.36260116959064331</v>
          </cell>
          <cell r="AL60">
            <v>0.38253879544221375</v>
          </cell>
          <cell r="AM60">
            <v>0.34634753735473162</v>
          </cell>
          <cell r="AN60">
            <v>0.29460615545122587</v>
          </cell>
          <cell r="AO60">
            <v>0.35998586905322655</v>
          </cell>
          <cell r="AP60">
            <v>0.3475024015369837</v>
          </cell>
          <cell r="AQ60">
            <v>0.34379543094496368</v>
          </cell>
          <cell r="AR60">
            <v>0.33052854122621567</v>
          </cell>
          <cell r="AS60">
            <v>0.38719904728735294</v>
          </cell>
          <cell r="AT60">
            <v>0.3633220013893414</v>
          </cell>
          <cell r="AU60">
            <v>0.32852947848662817</v>
          </cell>
          <cell r="AV60">
            <v>0.30010802890704547</v>
          </cell>
          <cell r="AW60">
            <v>0.3752994069500839</v>
          </cell>
          <cell r="AX60">
            <v>0.37666276787661318</v>
          </cell>
          <cell r="AY60">
            <v>0.3534395384495439</v>
          </cell>
          <cell r="AZ60">
            <v>0.37784075123631716</v>
          </cell>
          <cell r="BA60">
            <v>0.35097981866042705</v>
          </cell>
          <cell r="BB60">
            <v>0.38127761661709447</v>
          </cell>
          <cell r="BC60">
            <v>0.32249540579170521</v>
          </cell>
          <cell r="BD60">
            <v>1.8437937901025148E-2</v>
          </cell>
          <cell r="BE60">
            <v>0.40582191780821919</v>
          </cell>
          <cell r="BF60">
            <v>0.42618110236220474</v>
          </cell>
          <cell r="BG60">
            <v>0.4406392694063927</v>
          </cell>
          <cell r="BH60">
            <v>0.27410714285714288</v>
          </cell>
          <cell r="BI60">
            <v>0.21485148514851485</v>
          </cell>
          <cell r="BJ60">
            <v>0.39601139601139601</v>
          </cell>
          <cell r="BK60">
            <v>0.50479573712255776</v>
          </cell>
          <cell r="BL60">
            <v>0.34340239912758996</v>
          </cell>
          <cell r="BM60">
            <v>0.54524495677233431</v>
          </cell>
          <cell r="BN60">
            <v>0.45981308411214955</v>
          </cell>
          <cell r="BO60">
            <v>0.30607734806629833</v>
          </cell>
          <cell r="BP60">
            <v>0.30980751604032997</v>
          </cell>
          <cell r="BQ60">
            <v>2.3204819277108433</v>
          </cell>
          <cell r="BR60">
            <v>0.23352941176470587</v>
          </cell>
          <cell r="BS60">
            <v>0.68389830508474581</v>
          </cell>
          <cell r="BT60">
            <v>0.3162504398494867</v>
          </cell>
        </row>
        <row r="61">
          <cell r="A61" t="str">
            <v xml:space="preserve">   % statutory tax rate</v>
          </cell>
          <cell r="F61">
            <v>0.4</v>
          </cell>
          <cell r="G61">
            <v>0.4</v>
          </cell>
          <cell r="H61">
            <v>0.4</v>
          </cell>
          <cell r="I61">
            <v>0.4</v>
          </cell>
          <cell r="J61">
            <v>0.35</v>
          </cell>
          <cell r="K61">
            <v>0.35</v>
          </cell>
          <cell r="L61">
            <v>0.35</v>
          </cell>
          <cell r="M61">
            <v>0.35</v>
          </cell>
          <cell r="N61">
            <v>0.35</v>
          </cell>
          <cell r="O61">
            <v>0.35</v>
          </cell>
          <cell r="P61">
            <v>0.35</v>
          </cell>
          <cell r="Q61">
            <v>0.35</v>
          </cell>
          <cell r="R61">
            <v>0.35</v>
          </cell>
          <cell r="S61">
            <v>0.35</v>
          </cell>
          <cell r="T61">
            <v>0.35</v>
          </cell>
          <cell r="U61">
            <v>0.35</v>
          </cell>
          <cell r="V61">
            <v>0.35</v>
          </cell>
          <cell r="Y61">
            <v>0.4</v>
          </cell>
          <cell r="Z61">
            <v>0.4</v>
          </cell>
          <cell r="AA61">
            <v>0.4</v>
          </cell>
          <cell r="AB61">
            <v>0.4</v>
          </cell>
          <cell r="AC61">
            <v>0.4</v>
          </cell>
          <cell r="AD61">
            <v>0.4</v>
          </cell>
          <cell r="AE61">
            <v>0.4</v>
          </cell>
          <cell r="AF61">
            <v>0.4</v>
          </cell>
          <cell r="AG61">
            <v>0.4</v>
          </cell>
          <cell r="AH61">
            <v>0.4</v>
          </cell>
          <cell r="AI61">
            <v>0.4</v>
          </cell>
          <cell r="AJ61">
            <v>0.4</v>
          </cell>
          <cell r="AK61">
            <v>0.35</v>
          </cell>
          <cell r="AL61">
            <v>0.35</v>
          </cell>
          <cell r="AM61">
            <v>0.35</v>
          </cell>
          <cell r="AN61">
            <v>0.35</v>
          </cell>
          <cell r="AO61">
            <v>0.35</v>
          </cell>
          <cell r="AP61">
            <v>0.35</v>
          </cell>
          <cell r="AQ61">
            <v>0.35</v>
          </cell>
          <cell r="AR61">
            <v>0.35</v>
          </cell>
          <cell r="AS61">
            <v>0.35</v>
          </cell>
          <cell r="AT61">
            <v>0.35</v>
          </cell>
          <cell r="AU61">
            <v>0.35</v>
          </cell>
          <cell r="AV61">
            <v>0.35</v>
          </cell>
          <cell r="AW61">
            <v>0.35</v>
          </cell>
          <cell r="AX61">
            <v>0.35</v>
          </cell>
          <cell r="AY61">
            <v>0.35</v>
          </cell>
          <cell r="AZ61">
            <v>0.35</v>
          </cell>
          <cell r="BA61">
            <v>0.35</v>
          </cell>
          <cell r="BB61">
            <v>0.35</v>
          </cell>
          <cell r="BC61">
            <v>0.35</v>
          </cell>
          <cell r="BD61">
            <v>0.35</v>
          </cell>
          <cell r="BE61">
            <v>0.35</v>
          </cell>
          <cell r="BF61">
            <v>0.35</v>
          </cell>
          <cell r="BG61">
            <v>0.35</v>
          </cell>
          <cell r="BH61">
            <v>0.35</v>
          </cell>
          <cell r="BI61">
            <v>0.35</v>
          </cell>
          <cell r="BJ61">
            <v>0.35</v>
          </cell>
          <cell r="BK61">
            <v>0.35</v>
          </cell>
          <cell r="BL61">
            <v>0.35</v>
          </cell>
          <cell r="BM61">
            <v>0.35</v>
          </cell>
          <cell r="BN61">
            <v>0.35</v>
          </cell>
          <cell r="BO61">
            <v>0.35</v>
          </cell>
          <cell r="BP61">
            <v>0.35</v>
          </cell>
          <cell r="BQ61">
            <v>0.35</v>
          </cell>
          <cell r="BR61">
            <v>0.35</v>
          </cell>
          <cell r="BS61">
            <v>0.35</v>
          </cell>
          <cell r="BT61">
            <v>0.35</v>
          </cell>
          <cell r="BV61" t="str">
            <v>mstag:statutoryTaxRate</v>
          </cell>
          <cell r="BW61">
            <v>0</v>
          </cell>
          <cell r="BX61" t="str">
            <v>ms_eqr_gcim_Decimal:ms_eqr_gcim_decimal</v>
          </cell>
          <cell r="BY61" t="b">
            <v>0</v>
          </cell>
          <cell r="BZ61" t="b">
            <v>0</v>
          </cell>
        </row>
        <row r="62">
          <cell r="A62" t="str">
            <v>Income (loss) before minority interest</v>
          </cell>
          <cell r="F62">
            <v>-8188</v>
          </cell>
          <cell r="G62">
            <v>25170</v>
          </cell>
          <cell r="H62">
            <v>-86560</v>
          </cell>
          <cell r="I62">
            <v>94264.96101386752</v>
          </cell>
          <cell r="J62">
            <v>476132.3</v>
          </cell>
          <cell r="K62">
            <v>524774</v>
          </cell>
          <cell r="L62">
            <v>431943.3</v>
          </cell>
          <cell r="M62">
            <v>369766</v>
          </cell>
          <cell r="N62">
            <v>293806</v>
          </cell>
          <cell r="O62">
            <v>192960</v>
          </cell>
          <cell r="P62">
            <v>238280</v>
          </cell>
          <cell r="Q62">
            <v>-29620</v>
          </cell>
          <cell r="R62">
            <v>-229158.76573491783</v>
          </cell>
          <cell r="S62">
            <v>-403329.25614337437</v>
          </cell>
          <cell r="T62">
            <v>-426235.5631408692</v>
          </cell>
          <cell r="U62">
            <v>-458227.23228138866</v>
          </cell>
          <cell r="V62">
            <v>-472397.28301216476</v>
          </cell>
          <cell r="Y62">
            <v>17539.952156657004</v>
          </cell>
          <cell r="Z62">
            <v>493.3832977990387</v>
          </cell>
          <cell r="AA62">
            <v>-2806.009197362815</v>
          </cell>
          <cell r="AB62">
            <v>9942.6737429067725</v>
          </cell>
          <cell r="AC62">
            <v>-17793</v>
          </cell>
          <cell r="AD62">
            <v>-17361</v>
          </cell>
          <cell r="AE62">
            <v>-42305</v>
          </cell>
          <cell r="AF62">
            <v>-9101</v>
          </cell>
          <cell r="AG62">
            <v>-44187</v>
          </cell>
          <cell r="AH62">
            <v>-56494.566159094538</v>
          </cell>
          <cell r="AI62">
            <v>82758</v>
          </cell>
          <cell r="AJ62">
            <v>122621.92466734111</v>
          </cell>
          <cell r="AK62">
            <v>108995.2</v>
          </cell>
          <cell r="AL62">
            <v>113798.1</v>
          </cell>
          <cell r="AM62">
            <v>118115</v>
          </cell>
          <cell r="AN62">
            <v>135224</v>
          </cell>
          <cell r="AO62">
            <v>135875</v>
          </cell>
          <cell r="AP62">
            <v>135850</v>
          </cell>
          <cell r="AQ62">
            <v>126385</v>
          </cell>
          <cell r="AR62">
            <v>126664</v>
          </cell>
          <cell r="AS62">
            <v>109089.60000000001</v>
          </cell>
          <cell r="AT62">
            <v>103566.5</v>
          </cell>
          <cell r="AU62">
            <v>106557</v>
          </cell>
          <cell r="AV62">
            <v>112730.2</v>
          </cell>
          <cell r="AW62">
            <v>97542</v>
          </cell>
          <cell r="AX62">
            <v>94329</v>
          </cell>
          <cell r="AY62">
            <v>99516</v>
          </cell>
          <cell r="AZ62">
            <v>78379</v>
          </cell>
          <cell r="BA62">
            <v>106512</v>
          </cell>
          <cell r="BB62">
            <v>101098</v>
          </cell>
          <cell r="BC62">
            <v>112814</v>
          </cell>
          <cell r="BD62">
            <v>-26618</v>
          </cell>
          <cell r="BE62">
            <v>69400</v>
          </cell>
          <cell r="BF62">
            <v>58300</v>
          </cell>
          <cell r="BG62">
            <v>49000</v>
          </cell>
          <cell r="BH62">
            <v>16260</v>
          </cell>
          <cell r="BI62">
            <v>47580</v>
          </cell>
          <cell r="BJ62">
            <v>42400</v>
          </cell>
          <cell r="BK62">
            <v>27880</v>
          </cell>
          <cell r="BL62">
            <v>120420</v>
          </cell>
          <cell r="BM62">
            <v>15780</v>
          </cell>
          <cell r="BN62">
            <v>17340</v>
          </cell>
          <cell r="BO62">
            <v>12560</v>
          </cell>
          <cell r="BP62">
            <v>-75300</v>
          </cell>
          <cell r="BQ62">
            <v>10960</v>
          </cell>
          <cell r="BR62">
            <v>-78180</v>
          </cell>
          <cell r="BS62">
            <v>-7460</v>
          </cell>
          <cell r="BT62">
            <v>-154478.76573491786</v>
          </cell>
        </row>
        <row r="63">
          <cell r="A63" t="str">
            <v>Minority interest</v>
          </cell>
          <cell r="F63">
            <v>-254</v>
          </cell>
          <cell r="G63">
            <v>-142</v>
          </cell>
          <cell r="H63">
            <v>-468</v>
          </cell>
          <cell r="I63">
            <v>0</v>
          </cell>
          <cell r="J63">
            <v>0</v>
          </cell>
          <cell r="K63">
            <v>0</v>
          </cell>
          <cell r="L63">
            <v>0</v>
          </cell>
          <cell r="M63">
            <v>0</v>
          </cell>
          <cell r="N63">
            <v>0</v>
          </cell>
          <cell r="O63">
            <v>0</v>
          </cell>
          <cell r="P63">
            <v>0</v>
          </cell>
          <cell r="Q63">
            <v>0</v>
          </cell>
          <cell r="R63">
            <v>0</v>
          </cell>
          <cell r="S63">
            <v>0</v>
          </cell>
          <cell r="T63">
            <v>0</v>
          </cell>
          <cell r="U63">
            <v>0</v>
          </cell>
          <cell r="V63">
            <v>0</v>
          </cell>
          <cell r="Y63">
            <v>-1518</v>
          </cell>
          <cell r="Z63">
            <v>-1286</v>
          </cell>
          <cell r="AA63">
            <v>-367</v>
          </cell>
          <cell r="AB63">
            <v>3029</v>
          </cell>
          <cell r="AC63">
            <v>-468</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V63" t="str">
            <v>mstag:minorityInterestsInNetIncome</v>
          </cell>
          <cell r="BW63">
            <v>3</v>
          </cell>
          <cell r="BX63" t="str">
            <v>ISO4217:USD</v>
          </cell>
          <cell r="BY63" t="b">
            <v>1</v>
          </cell>
          <cell r="BZ63" t="b">
            <v>0</v>
          </cell>
        </row>
        <row r="64">
          <cell r="A64" t="str">
            <v>Income (loss) from continuing operations</v>
          </cell>
          <cell r="F64">
            <v>-8442</v>
          </cell>
          <cell r="G64">
            <v>25028</v>
          </cell>
          <cell r="H64">
            <v>-87028</v>
          </cell>
          <cell r="I64">
            <v>94264.96101386752</v>
          </cell>
          <cell r="J64">
            <v>476132.3</v>
          </cell>
          <cell r="K64">
            <v>524774</v>
          </cell>
          <cell r="L64">
            <v>431943.3</v>
          </cell>
          <cell r="M64">
            <v>369766</v>
          </cell>
          <cell r="N64">
            <v>293806</v>
          </cell>
          <cell r="O64">
            <v>192960</v>
          </cell>
          <cell r="P64">
            <v>238280</v>
          </cell>
          <cell r="Q64">
            <v>-29620</v>
          </cell>
          <cell r="R64">
            <v>-229158.76573491783</v>
          </cell>
          <cell r="S64">
            <v>-403329.25614337437</v>
          </cell>
          <cell r="T64">
            <v>-426235.5631408692</v>
          </cell>
          <cell r="U64">
            <v>-458227.23228138866</v>
          </cell>
          <cell r="V64">
            <v>-472397.28301216476</v>
          </cell>
          <cell r="Y64">
            <v>16021.952156657004</v>
          </cell>
          <cell r="Z64">
            <v>-792.6167022009613</v>
          </cell>
          <cell r="AA64">
            <v>-3173.009197362815</v>
          </cell>
          <cell r="AB64">
            <v>12971.673742906773</v>
          </cell>
          <cell r="AC64">
            <v>-18261</v>
          </cell>
          <cell r="AD64">
            <v>-17361</v>
          </cell>
          <cell r="AE64">
            <v>-42305</v>
          </cell>
          <cell r="AF64">
            <v>-9101</v>
          </cell>
          <cell r="AG64">
            <v>-44187</v>
          </cell>
          <cell r="AH64">
            <v>-56494.566159094538</v>
          </cell>
          <cell r="AI64">
            <v>82758</v>
          </cell>
          <cell r="AJ64">
            <v>122621.92466734111</v>
          </cell>
          <cell r="AK64">
            <v>108995.2</v>
          </cell>
          <cell r="AL64">
            <v>113798.1</v>
          </cell>
          <cell r="AM64">
            <v>118115</v>
          </cell>
          <cell r="AN64">
            <v>135224</v>
          </cell>
          <cell r="AO64">
            <v>135875</v>
          </cell>
          <cell r="AP64">
            <v>135850</v>
          </cell>
          <cell r="AQ64">
            <v>126385</v>
          </cell>
          <cell r="AR64">
            <v>126664</v>
          </cell>
          <cell r="AS64">
            <v>109089.60000000001</v>
          </cell>
          <cell r="AT64">
            <v>103566.5</v>
          </cell>
          <cell r="AU64">
            <v>106557</v>
          </cell>
          <cell r="AV64">
            <v>112730.2</v>
          </cell>
          <cell r="AW64">
            <v>97542</v>
          </cell>
          <cell r="AX64">
            <v>94329</v>
          </cell>
          <cell r="AY64">
            <v>99516</v>
          </cell>
          <cell r="AZ64">
            <v>78379</v>
          </cell>
          <cell r="BA64">
            <v>106512</v>
          </cell>
          <cell r="BB64">
            <v>101098</v>
          </cell>
          <cell r="BC64">
            <v>112814</v>
          </cell>
          <cell r="BD64">
            <v>-26618</v>
          </cell>
          <cell r="BE64">
            <v>69400</v>
          </cell>
          <cell r="BF64">
            <v>58300</v>
          </cell>
          <cell r="BG64">
            <v>49000</v>
          </cell>
          <cell r="BH64">
            <v>16260</v>
          </cell>
          <cell r="BI64">
            <v>47580</v>
          </cell>
          <cell r="BJ64">
            <v>42400</v>
          </cell>
          <cell r="BK64">
            <v>27880</v>
          </cell>
          <cell r="BL64">
            <v>120420</v>
          </cell>
          <cell r="BM64">
            <v>15780</v>
          </cell>
          <cell r="BN64">
            <v>17340</v>
          </cell>
          <cell r="BO64">
            <v>12560</v>
          </cell>
          <cell r="BP64">
            <v>-75300</v>
          </cell>
          <cell r="BQ64">
            <v>10960</v>
          </cell>
          <cell r="BR64">
            <v>-78180</v>
          </cell>
          <cell r="BS64">
            <v>-7460</v>
          </cell>
          <cell r="BT64">
            <v>-154478.76573491786</v>
          </cell>
        </row>
        <row r="65">
          <cell r="A65" t="str">
            <v>Discontinued operations</v>
          </cell>
          <cell r="F65">
            <v>108</v>
          </cell>
          <cell r="G65">
            <v>0</v>
          </cell>
          <cell r="H65">
            <v>0</v>
          </cell>
          <cell r="I65">
            <v>0</v>
          </cell>
          <cell r="J65">
            <v>0</v>
          </cell>
          <cell r="K65">
            <v>0</v>
          </cell>
          <cell r="L65">
            <v>0</v>
          </cell>
          <cell r="M65">
            <v>0</v>
          </cell>
          <cell r="N65">
            <v>-100</v>
          </cell>
          <cell r="O65">
            <v>0</v>
          </cell>
          <cell r="P65">
            <v>6000</v>
          </cell>
          <cell r="Q65">
            <v>0</v>
          </cell>
          <cell r="R65">
            <v>0</v>
          </cell>
          <cell r="S65">
            <v>0</v>
          </cell>
          <cell r="T65">
            <v>0</v>
          </cell>
          <cell r="U65">
            <v>0</v>
          </cell>
          <cell r="V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R65">
            <v>0</v>
          </cell>
          <cell r="AS65">
            <v>0</v>
          </cell>
          <cell r="AT65">
            <v>0</v>
          </cell>
          <cell r="AU65">
            <v>0</v>
          </cell>
          <cell r="AV65">
            <v>0</v>
          </cell>
          <cell r="AW65">
            <v>0</v>
          </cell>
          <cell r="AX65">
            <v>0</v>
          </cell>
          <cell r="AY65">
            <v>0</v>
          </cell>
          <cell r="AZ65">
            <v>0</v>
          </cell>
          <cell r="BA65">
            <v>0</v>
          </cell>
          <cell r="BB65">
            <v>0</v>
          </cell>
          <cell r="BC65">
            <v>0</v>
          </cell>
          <cell r="BD65">
            <v>-100</v>
          </cell>
          <cell r="BE65">
            <v>-100</v>
          </cell>
          <cell r="BF65">
            <v>-500</v>
          </cell>
          <cell r="BG65">
            <v>0</v>
          </cell>
          <cell r="BH65">
            <v>-1200</v>
          </cell>
          <cell r="BI65">
            <v>300</v>
          </cell>
          <cell r="BJ65">
            <v>400</v>
          </cell>
          <cell r="BK65">
            <v>0</v>
          </cell>
          <cell r="BL65">
            <v>5300</v>
          </cell>
          <cell r="BM65">
            <v>0</v>
          </cell>
          <cell r="BN65">
            <v>0</v>
          </cell>
          <cell r="BO65">
            <v>0</v>
          </cell>
          <cell r="BP65">
            <v>0</v>
          </cell>
          <cell r="BQ65">
            <v>0</v>
          </cell>
          <cell r="BR65">
            <v>0</v>
          </cell>
          <cell r="BS65">
            <v>0</v>
          </cell>
          <cell r="BT65">
            <v>0</v>
          </cell>
          <cell r="BV65" t="str">
            <v>mstag:incomeLossFromDiscontinuedOperationsNetOfTax</v>
          </cell>
          <cell r="BW65">
            <v>3</v>
          </cell>
          <cell r="BX65" t="str">
            <v>ISO4217:USD</v>
          </cell>
          <cell r="BY65" t="b">
            <v>0</v>
          </cell>
          <cell r="BZ65" t="b">
            <v>0</v>
          </cell>
        </row>
        <row r="66">
          <cell r="A66" t="str">
            <v>Net income (loss)</v>
          </cell>
          <cell r="F66">
            <v>-8334</v>
          </cell>
          <cell r="G66">
            <v>25028</v>
          </cell>
          <cell r="H66">
            <v>-87028</v>
          </cell>
          <cell r="I66">
            <v>94264.96101386752</v>
          </cell>
          <cell r="J66">
            <v>476132.3</v>
          </cell>
          <cell r="K66">
            <v>524774</v>
          </cell>
          <cell r="L66">
            <v>431943.3</v>
          </cell>
          <cell r="M66">
            <v>369766</v>
          </cell>
          <cell r="N66">
            <v>293706</v>
          </cell>
          <cell r="O66">
            <v>192960</v>
          </cell>
          <cell r="P66">
            <v>244280</v>
          </cell>
          <cell r="Q66">
            <v>-29620</v>
          </cell>
          <cell r="R66">
            <v>-229158.76573491783</v>
          </cell>
          <cell r="S66">
            <v>-403329.25614337437</v>
          </cell>
          <cell r="T66">
            <v>-426235.5631408692</v>
          </cell>
          <cell r="U66">
            <v>-458227.23228138866</v>
          </cell>
          <cell r="V66">
            <v>-472397.28301216476</v>
          </cell>
          <cell r="W66" t="str">
            <v>nm</v>
          </cell>
          <cell r="Y66">
            <v>16021.952156657004</v>
          </cell>
          <cell r="Z66">
            <v>-792.6167022009613</v>
          </cell>
          <cell r="AA66">
            <v>-3173.009197362815</v>
          </cell>
          <cell r="AB66">
            <v>12971.673742906773</v>
          </cell>
          <cell r="AC66">
            <v>-18261</v>
          </cell>
          <cell r="AD66">
            <v>-17361</v>
          </cell>
          <cell r="AE66">
            <v>-42305</v>
          </cell>
          <cell r="AF66">
            <v>-9101</v>
          </cell>
          <cell r="AG66">
            <v>-44187</v>
          </cell>
          <cell r="AH66">
            <v>-56494.566159094538</v>
          </cell>
          <cell r="AI66">
            <v>82758</v>
          </cell>
          <cell r="AJ66">
            <v>122621.92466734111</v>
          </cell>
          <cell r="AK66">
            <v>108995.2</v>
          </cell>
          <cell r="AL66">
            <v>113798.1</v>
          </cell>
          <cell r="AM66">
            <v>118115</v>
          </cell>
          <cell r="AN66">
            <v>135224</v>
          </cell>
          <cell r="AO66">
            <v>135875</v>
          </cell>
          <cell r="AP66">
            <v>135850</v>
          </cell>
          <cell r="AQ66">
            <v>126385</v>
          </cell>
          <cell r="AR66">
            <v>126664</v>
          </cell>
          <cell r="AS66">
            <v>109089.60000000001</v>
          </cell>
          <cell r="AT66">
            <v>103566.5</v>
          </cell>
          <cell r="AU66">
            <v>106557</v>
          </cell>
          <cell r="AV66">
            <v>112730.2</v>
          </cell>
          <cell r="AW66">
            <v>97542</v>
          </cell>
          <cell r="AX66">
            <v>94329</v>
          </cell>
          <cell r="AY66">
            <v>99516</v>
          </cell>
          <cell r="AZ66">
            <v>78379</v>
          </cell>
          <cell r="BA66">
            <v>106512</v>
          </cell>
          <cell r="BB66">
            <v>101098</v>
          </cell>
          <cell r="BC66">
            <v>112814</v>
          </cell>
          <cell r="BD66">
            <v>-26718</v>
          </cell>
          <cell r="BE66">
            <v>69300</v>
          </cell>
          <cell r="BF66">
            <v>57800</v>
          </cell>
          <cell r="BG66">
            <v>49000</v>
          </cell>
          <cell r="BH66">
            <v>15060</v>
          </cell>
          <cell r="BI66">
            <v>47880</v>
          </cell>
          <cell r="BJ66">
            <v>42800</v>
          </cell>
          <cell r="BK66">
            <v>27880</v>
          </cell>
          <cell r="BL66">
            <v>125720</v>
          </cell>
          <cell r="BM66">
            <v>15780</v>
          </cell>
          <cell r="BN66">
            <v>17340</v>
          </cell>
          <cell r="BO66">
            <v>12560</v>
          </cell>
          <cell r="BP66">
            <v>-75300</v>
          </cell>
          <cell r="BQ66">
            <v>10960</v>
          </cell>
          <cell r="BR66">
            <v>-78180</v>
          </cell>
          <cell r="BS66">
            <v>-7460</v>
          </cell>
          <cell r="BT66">
            <v>-154478.76573491786</v>
          </cell>
          <cell r="BV66" t="str">
            <v>mstag:netIncomeAsReported</v>
          </cell>
          <cell r="BW66">
            <v>3</v>
          </cell>
          <cell r="BX66" t="str">
            <v>ISO4217:USD</v>
          </cell>
          <cell r="BY66" t="b">
            <v>0</v>
          </cell>
        </row>
        <row r="67">
          <cell r="A67" t="str">
            <v>Other comprehensive loss:</v>
          </cell>
          <cell r="F67" t="str">
            <v/>
          </cell>
          <cell r="G67" t="str">
            <v/>
          </cell>
        </row>
        <row r="68">
          <cell r="A68" t="str">
            <v>Minimum pension liability adjustment, net of tax</v>
          </cell>
          <cell r="F68">
            <v>-2813</v>
          </cell>
          <cell r="G68">
            <v>-523</v>
          </cell>
          <cell r="H68">
            <v>462</v>
          </cell>
          <cell r="I68">
            <v>4111</v>
          </cell>
          <cell r="J68">
            <v>0</v>
          </cell>
          <cell r="K68">
            <v>0</v>
          </cell>
          <cell r="L68">
            <v>0</v>
          </cell>
          <cell r="M68">
            <v>0</v>
          </cell>
          <cell r="N68">
            <v>0</v>
          </cell>
          <cell r="O68">
            <v>0</v>
          </cell>
          <cell r="T68">
            <v>0</v>
          </cell>
          <cell r="U68">
            <v>0</v>
          </cell>
          <cell r="V68">
            <v>0</v>
          </cell>
          <cell r="Y68">
            <v>0</v>
          </cell>
          <cell r="Z68">
            <v>0</v>
          </cell>
          <cell r="AA68">
            <v>0</v>
          </cell>
          <cell r="AB68">
            <v>-523</v>
          </cell>
          <cell r="AC68">
            <v>0</v>
          </cell>
          <cell r="AD68">
            <v>0</v>
          </cell>
          <cell r="AE68">
            <v>0</v>
          </cell>
          <cell r="AF68">
            <v>0</v>
          </cell>
          <cell r="AG68">
            <v>0</v>
          </cell>
          <cell r="AH68">
            <v>0</v>
          </cell>
        </row>
        <row r="69">
          <cell r="A69" t="str">
            <v>Interest rate hedging arrangements, net of tax</v>
          </cell>
          <cell r="F69">
            <v>0</v>
          </cell>
          <cell r="G69">
            <v>0</v>
          </cell>
          <cell r="H69">
            <v>-9101</v>
          </cell>
          <cell r="I69">
            <v>-96570.566159094538</v>
          </cell>
          <cell r="J69">
            <v>0</v>
          </cell>
          <cell r="K69">
            <v>0</v>
          </cell>
          <cell r="L69">
            <v>0</v>
          </cell>
          <cell r="M69">
            <v>0</v>
          </cell>
          <cell r="N69">
            <v>0</v>
          </cell>
          <cell r="O69">
            <v>0</v>
          </cell>
          <cell r="T69">
            <v>0</v>
          </cell>
          <cell r="U69">
            <v>0</v>
          </cell>
          <cell r="V69">
            <v>0</v>
          </cell>
          <cell r="Y69">
            <v>0</v>
          </cell>
          <cell r="Z69">
            <v>0</v>
          </cell>
          <cell r="AA69">
            <v>0</v>
          </cell>
          <cell r="AB69">
            <v>0</v>
          </cell>
          <cell r="AC69">
            <v>210</v>
          </cell>
          <cell r="AD69">
            <v>-2883</v>
          </cell>
          <cell r="AE69">
            <v>3135</v>
          </cell>
          <cell r="AF69">
            <v>0</v>
          </cell>
          <cell r="AG69">
            <v>2423</v>
          </cell>
          <cell r="AH69">
            <v>1688</v>
          </cell>
        </row>
        <row r="70">
          <cell r="A70" t="str">
            <v>Comprehensive income (loss)</v>
          </cell>
          <cell r="F70">
            <v>-11147</v>
          </cell>
          <cell r="G70">
            <v>24505</v>
          </cell>
          <cell r="H70">
            <v>-95667</v>
          </cell>
          <cell r="I70">
            <v>1805.3948547729815</v>
          </cell>
          <cell r="J70">
            <v>476132.3</v>
          </cell>
          <cell r="K70">
            <v>524774</v>
          </cell>
          <cell r="L70">
            <v>431943.3</v>
          </cell>
          <cell r="M70">
            <v>369766</v>
          </cell>
          <cell r="N70">
            <v>293706</v>
          </cell>
          <cell r="O70">
            <v>192960</v>
          </cell>
          <cell r="P70">
            <v>244280</v>
          </cell>
          <cell r="Q70">
            <v>-29620</v>
          </cell>
          <cell r="R70">
            <v>-271066.26573491783</v>
          </cell>
          <cell r="S70">
            <v>-398151.75614337437</v>
          </cell>
          <cell r="T70">
            <v>-404524.3131408692</v>
          </cell>
          <cell r="U70">
            <v>-420427.23228138866</v>
          </cell>
          <cell r="V70">
            <v>-436565.61634549813</v>
          </cell>
          <cell r="Y70">
            <v>16021.952156657004</v>
          </cell>
          <cell r="Z70">
            <v>-792.6167022009613</v>
          </cell>
          <cell r="AA70">
            <v>-3173.009197362815</v>
          </cell>
          <cell r="AB70">
            <v>12448.673742906773</v>
          </cell>
          <cell r="AC70">
            <v>-18051</v>
          </cell>
          <cell r="AD70">
            <v>-20244</v>
          </cell>
          <cell r="AE70">
            <v>-39170</v>
          </cell>
          <cell r="AF70">
            <v>-9101</v>
          </cell>
          <cell r="AG70">
            <v>-41764</v>
          </cell>
          <cell r="AH70">
            <v>-54806.566159094538</v>
          </cell>
          <cell r="AW70">
            <v>97542</v>
          </cell>
          <cell r="AX70">
            <v>94329</v>
          </cell>
          <cell r="AY70">
            <v>99516</v>
          </cell>
          <cell r="AZ70">
            <v>78379</v>
          </cell>
          <cell r="BA70">
            <v>106512</v>
          </cell>
          <cell r="BB70">
            <v>101098</v>
          </cell>
          <cell r="BC70">
            <v>112814</v>
          </cell>
          <cell r="BD70">
            <v>-26718</v>
          </cell>
          <cell r="BE70">
            <v>57100</v>
          </cell>
          <cell r="BF70">
            <v>50100</v>
          </cell>
          <cell r="BG70">
            <v>45800</v>
          </cell>
          <cell r="BH70">
            <v>10100</v>
          </cell>
          <cell r="BI70">
            <v>52300</v>
          </cell>
          <cell r="BJ70">
            <v>39700</v>
          </cell>
          <cell r="BK70">
            <v>30600</v>
          </cell>
          <cell r="BL70">
            <v>118400</v>
          </cell>
          <cell r="BM70">
            <v>16000</v>
          </cell>
          <cell r="BN70">
            <v>14000</v>
          </cell>
          <cell r="BO70">
            <v>8000</v>
          </cell>
          <cell r="BP70">
            <v>-77500</v>
          </cell>
          <cell r="BQ70">
            <v>5300</v>
          </cell>
          <cell r="BR70">
            <v>-111200</v>
          </cell>
          <cell r="BS70">
            <v>-7200</v>
          </cell>
          <cell r="BT70">
            <v>-157966.26573491786</v>
          </cell>
        </row>
        <row r="71">
          <cell r="A71" t="str">
            <v xml:space="preserve">  % margin</v>
          </cell>
          <cell r="P71">
            <v>4.07942419131277E-2</v>
          </cell>
          <cell r="Q71">
            <v>-5.1190764232138539E-3</v>
          </cell>
          <cell r="R71">
            <v>-3.9843952343763651E-2</v>
          </cell>
          <cell r="S71">
            <v>-7.2704719548456281E-2</v>
          </cell>
          <cell r="T71">
            <v>-7.767445727266406E-2</v>
          </cell>
          <cell r="U71">
            <v>-8.3966805929627783E-2</v>
          </cell>
          <cell r="V71">
            <v>-8.6781075819078832E-2</v>
          </cell>
          <cell r="Y71" t="str">
            <v/>
          </cell>
          <cell r="Z71" t="str">
            <v/>
          </cell>
          <cell r="AC71" t="str">
            <v/>
          </cell>
          <cell r="AD71" t="str">
            <v/>
          </cell>
          <cell r="AE71" t="str">
            <v/>
          </cell>
          <cell r="BM71">
            <v>1.0858047202917498E-2</v>
          </cell>
          <cell r="BN71">
            <v>1.1918344903429788E-2</v>
          </cell>
          <cell r="BO71">
            <v>8.6926430894871624E-3</v>
          </cell>
          <cell r="BP71">
            <v>-5.2543437303747123E-2</v>
          </cell>
          <cell r="BQ71">
            <v>7.7780143353913846E-3</v>
          </cell>
          <cell r="BR71">
            <v>-5.5102903862418944E-2</v>
          </cell>
          <cell r="BS71">
            <v>-4.9779794474843191E-3</v>
          </cell>
          <cell r="BT71">
            <v>-0.10841326627728022</v>
          </cell>
        </row>
        <row r="72">
          <cell r="A72" t="str">
            <v>EPS basic</v>
          </cell>
          <cell r="H72">
            <v>-1.25481427294259</v>
          </cell>
          <cell r="I72">
            <v>4.8137768552447439E-2</v>
          </cell>
          <cell r="J72">
            <v>1.0096244587336884</v>
          </cell>
          <cell r="K72">
            <v>7.0486769644056411</v>
          </cell>
          <cell r="L72">
            <v>5.497793381417055</v>
          </cell>
          <cell r="M72">
            <v>4.3993691714412932</v>
          </cell>
          <cell r="N72">
            <v>3.4747826086956524</v>
          </cell>
          <cell r="O72">
            <v>1.9817870592262925</v>
          </cell>
          <cell r="P72">
            <v>2.4895834218013499</v>
          </cell>
          <cell r="Q72">
            <v>-0.29812539316418535</v>
          </cell>
          <cell r="R72">
            <v>-2.300829053486483</v>
          </cell>
          <cell r="S72">
            <v>-4.2474116883273805</v>
          </cell>
          <cell r="T72">
            <v>-4.6778681947079965</v>
          </cell>
          <cell r="U72">
            <v>-5.0752577459528876</v>
          </cell>
          <cell r="V72">
            <v>-5.2812976327107606</v>
          </cell>
          <cell r="Y72" t="str">
            <v/>
          </cell>
          <cell r="Z72" t="str">
            <v/>
          </cell>
          <cell r="AA72" t="str">
            <v/>
          </cell>
          <cell r="AC72">
            <v>-0.26350356949141501</v>
          </cell>
          <cell r="AD72">
            <v>-0.25027741206207382</v>
          </cell>
          <cell r="AE72">
            <v>-0.60984273049013571</v>
          </cell>
          <cell r="AF72">
            <v>-0.13119056089896539</v>
          </cell>
          <cell r="AG72">
            <v>-0.63324427089274737</v>
          </cell>
          <cell r="AH72">
            <v>-0.80935606694277107</v>
          </cell>
          <cell r="AI72">
            <v>0.17442419235179066</v>
          </cell>
          <cell r="AJ72">
            <v>0.2589615611520274</v>
          </cell>
          <cell r="AK72">
            <v>0.23019049630411825</v>
          </cell>
          <cell r="AL72">
            <v>0.24033389651531153</v>
          </cell>
          <cell r="AM72">
            <v>0.2492929506120726</v>
          </cell>
          <cell r="AN72">
            <v>0.289807115302186</v>
          </cell>
          <cell r="AO72">
            <v>0.30234757454383621</v>
          </cell>
          <cell r="AP72">
            <v>0.30784047133469294</v>
          </cell>
          <cell r="AQ72">
            <v>0.28994035329203943</v>
          </cell>
          <cell r="AR72">
            <v>0.29044714515019493</v>
          </cell>
          <cell r="AS72">
            <v>1.2979165828249815</v>
          </cell>
          <cell r="AT72">
            <v>1.2322043327241408</v>
          </cell>
          <cell r="AU72">
            <v>1.2677844388106798</v>
          </cell>
          <cell r="AV72">
            <v>1.3412313911241467</v>
          </cell>
          <cell r="AW72">
            <v>1.160526570103056</v>
          </cell>
          <cell r="AX72">
            <v>1.1222992232192406</v>
          </cell>
          <cell r="AY72">
            <v>1.1840126525022627</v>
          </cell>
          <cell r="AZ72">
            <v>0.93253072561673356</v>
          </cell>
          <cell r="BA72">
            <v>1.2712790928983491</v>
          </cell>
          <cell r="BB72">
            <v>1.1980801896109028</v>
          </cell>
          <cell r="BC72">
            <v>1.3353403038074572</v>
          </cell>
          <cell r="BD72">
            <v>-0.31267407840842598</v>
          </cell>
          <cell r="BE72">
            <v>0.71235223573753648</v>
          </cell>
          <cell r="BF72">
            <v>0.593733949666153</v>
          </cell>
          <cell r="BG72">
            <v>0.50308008213552358</v>
          </cell>
          <cell r="BH72">
            <v>0.1545672254533014</v>
          </cell>
          <cell r="BI72">
            <v>0.48973747016706443</v>
          </cell>
          <cell r="BJ72">
            <v>0.43695763144461458</v>
          </cell>
          <cell r="BK72">
            <v>0.28434472208057116</v>
          </cell>
          <cell r="BL72">
            <v>1.273543812257302</v>
          </cell>
          <cell r="BM72">
            <v>0.15936710991415587</v>
          </cell>
          <cell r="BN72">
            <v>0.17459305252559154</v>
          </cell>
          <cell r="BO72">
            <v>0.12610441767068273</v>
          </cell>
          <cell r="BP72">
            <v>-0.75691070531077231</v>
          </cell>
          <cell r="BQ72">
            <v>0.11070707070707071</v>
          </cell>
          <cell r="BR72">
            <v>-0.77868525896414342</v>
          </cell>
          <cell r="BS72">
            <v>-7.5125881168177241E-2</v>
          </cell>
          <cell r="BT72">
            <v>-1.5495388566308343</v>
          </cell>
        </row>
        <row r="73">
          <cell r="A73" t="str">
            <v>EPS diluted</v>
          </cell>
          <cell r="H73">
            <v>-0.991310703451175</v>
          </cell>
          <cell r="I73">
            <v>4.8181819039065932E-2</v>
          </cell>
          <cell r="J73">
            <v>1.0072356964787699</v>
          </cell>
          <cell r="K73">
            <v>6.6793466270683064</v>
          </cell>
          <cell r="L73">
            <v>5.497793381417055</v>
          </cell>
          <cell r="M73">
            <v>4.3993691714412932</v>
          </cell>
          <cell r="N73">
            <v>3.3216832383016821</v>
          </cell>
          <cell r="O73">
            <v>1.9683937603604369</v>
          </cell>
          <cell r="P73">
            <v>2.465606863487257</v>
          </cell>
          <cell r="Q73">
            <v>-0.29812539316418535</v>
          </cell>
          <cell r="R73">
            <v>-2.300829053486483</v>
          </cell>
          <cell r="S73">
            <v>-4.2474116883273805</v>
          </cell>
          <cell r="T73">
            <v>-4.6778681947079965</v>
          </cell>
          <cell r="U73">
            <v>-5.0752577459528876</v>
          </cell>
          <cell r="V73">
            <v>-5.2812976327107606</v>
          </cell>
          <cell r="W73" t="str">
            <v>nm</v>
          </cell>
          <cell r="AA73" t="str">
            <v/>
          </cell>
          <cell r="AD73">
            <v>-0.25027741206207382</v>
          </cell>
          <cell r="AE73">
            <v>-0.60984273049013571</v>
          </cell>
          <cell r="AF73">
            <v>-0.13119056089896539</v>
          </cell>
          <cell r="AG73">
            <v>-0.63324427089274737</v>
          </cell>
          <cell r="AH73">
            <v>-0.80935606694277107</v>
          </cell>
          <cell r="AI73">
            <v>0.17434151623484007</v>
          </cell>
          <cell r="AJ73">
            <v>0.2586414778893506</v>
          </cell>
          <cell r="AK73">
            <v>0.22965697429414242</v>
          </cell>
          <cell r="AL73">
            <v>0.23967586352148273</v>
          </cell>
          <cell r="AM73">
            <v>0.24871551905664349</v>
          </cell>
          <cell r="AN73">
            <v>0.28918733960650128</v>
          </cell>
          <cell r="AO73">
            <v>0.30160932297447279</v>
          </cell>
          <cell r="AP73">
            <v>0.30693628558517849</v>
          </cell>
          <cell r="AQ73">
            <v>0.28907822506861847</v>
          </cell>
          <cell r="AR73">
            <v>0.28978265843056511</v>
          </cell>
          <cell r="AS73">
            <v>1.2979165828249815</v>
          </cell>
          <cell r="AT73">
            <v>1.2322043327241408</v>
          </cell>
          <cell r="AU73">
            <v>1.2677844388106798</v>
          </cell>
          <cell r="AV73">
            <v>1.3412313911241467</v>
          </cell>
          <cell r="AW73">
            <v>1.160526570103056</v>
          </cell>
          <cell r="AX73">
            <v>1.1222992232192406</v>
          </cell>
          <cell r="AY73">
            <v>1.1840126525022627</v>
          </cell>
          <cell r="AZ73">
            <v>0.93253072561673356</v>
          </cell>
          <cell r="BA73">
            <v>1.2712790928983491</v>
          </cell>
          <cell r="BB73">
            <v>1.1893882352941176</v>
          </cell>
          <cell r="BC73">
            <v>1.3197192435172547</v>
          </cell>
          <cell r="BD73">
            <v>-0.31267407840842598</v>
          </cell>
          <cell r="BE73">
            <v>0.70798569725864113</v>
          </cell>
          <cell r="BF73">
            <v>0.58959537572254328</v>
          </cell>
          <cell r="BG73">
            <v>0.49991498044550242</v>
          </cell>
          <cell r="BH73">
            <v>0.15363427697016066</v>
          </cell>
          <cell r="BI73">
            <v>0.48654416123295796</v>
          </cell>
          <cell r="BJ73">
            <v>0.43323492197385072</v>
          </cell>
          <cell r="BK73">
            <v>0.28140297754226595</v>
          </cell>
          <cell r="BL73">
            <v>1.2653191310911682</v>
          </cell>
          <cell r="BM73">
            <v>0.15794478271749102</v>
          </cell>
          <cell r="BN73">
            <v>0.17262319561971129</v>
          </cell>
          <cell r="BO73">
            <v>0.12506845904904157</v>
          </cell>
          <cell r="BP73">
            <v>-0.75691070531077231</v>
          </cell>
          <cell r="BQ73">
            <v>0.10873015873015873</v>
          </cell>
          <cell r="BR73">
            <v>-0.77868525896414342</v>
          </cell>
          <cell r="BS73">
            <v>-7.5125881168177241E-2</v>
          </cell>
          <cell r="BT73">
            <v>-1.5495388566308343</v>
          </cell>
          <cell r="BV73" t="str">
            <v>mstag:adjEpsForConsensus</v>
          </cell>
          <cell r="BW73">
            <v>0</v>
          </cell>
          <cell r="BX73" t="str">
            <v>ISO4217:USD</v>
          </cell>
          <cell r="BY73" t="b">
            <v>0</v>
          </cell>
        </row>
        <row r="74">
          <cell r="P74">
            <v>2.4583696746058368</v>
          </cell>
          <cell r="Q74">
            <v>-0.29477525294410351</v>
          </cell>
          <cell r="R74">
            <v>-2.7551091924043427</v>
          </cell>
          <cell r="BM74">
            <v>0.15928322548531607</v>
          </cell>
          <cell r="BN74">
            <v>0.13937282229965156</v>
          </cell>
          <cell r="BO74">
            <v>7.9681274900398405E-2</v>
          </cell>
          <cell r="BP74">
            <v>-0.77127218444186441</v>
          </cell>
          <cell r="BQ74">
            <v>5.257936507936508E-2</v>
          </cell>
          <cell r="BR74">
            <v>-1.0682036503362151</v>
          </cell>
          <cell r="BS74">
            <v>-7.1287128712871281E-2</v>
          </cell>
          <cell r="BT74">
            <v>-1.6055642690767937</v>
          </cell>
        </row>
        <row r="75">
          <cell r="A75" t="str">
            <v>Period end basic shares</v>
          </cell>
          <cell r="H75">
            <v>70518.990000000005</v>
          </cell>
          <cell r="I75">
            <v>79500</v>
          </cell>
          <cell r="J75">
            <v>75666.666666666672</v>
          </cell>
          <cell r="K75">
            <v>73233.333333333328</v>
          </cell>
          <cell r="L75">
            <v>84049.777499999997</v>
          </cell>
          <cell r="M75">
            <v>84049.777499999997</v>
          </cell>
          <cell r="N75">
            <v>97716.666666666672</v>
          </cell>
          <cell r="O75">
            <v>98033.333333333328</v>
          </cell>
          <cell r="P75">
            <v>99366.666666666672</v>
          </cell>
          <cell r="Q75">
            <v>100483.33333333333</v>
          </cell>
          <cell r="R75">
            <v>98386.759581881532</v>
          </cell>
          <cell r="S75">
            <v>91530.905923344937</v>
          </cell>
          <cell r="T75">
            <v>90704.054703832735</v>
          </cell>
          <cell r="U75">
            <v>89868.934972125411</v>
          </cell>
          <cell r="V75">
            <v>89025.464043101019</v>
          </cell>
          <cell r="AC75">
            <v>70646.607229999994</v>
          </cell>
          <cell r="AD75">
            <v>70833.308000000005</v>
          </cell>
          <cell r="AE75">
            <v>70584.869000000006</v>
          </cell>
          <cell r="AF75">
            <v>70518.990000000005</v>
          </cell>
          <cell r="AG75">
            <v>70767.501000000004</v>
          </cell>
          <cell r="AH75">
            <v>70710.329000000012</v>
          </cell>
          <cell r="AI75">
            <v>474477</v>
          </cell>
          <cell r="AJ75">
            <v>477000</v>
          </cell>
          <cell r="AK75">
            <v>477230.81</v>
          </cell>
          <cell r="AL75">
            <v>477400</v>
          </cell>
          <cell r="AM75">
            <v>470200</v>
          </cell>
          <cell r="AN75">
            <v>454000</v>
          </cell>
          <cell r="AO75">
            <v>447300</v>
          </cell>
          <cell r="AP75">
            <v>439600</v>
          </cell>
          <cell r="AQ75">
            <v>439442</v>
          </cell>
          <cell r="AR75">
            <v>439400</v>
          </cell>
          <cell r="AS75">
            <v>84049.777499999997</v>
          </cell>
          <cell r="AT75">
            <v>84049.777499999997</v>
          </cell>
          <cell r="AU75">
            <v>84049.777499999997</v>
          </cell>
          <cell r="AV75">
            <v>84049.777499999997</v>
          </cell>
          <cell r="AW75">
            <v>84049.777499999997</v>
          </cell>
          <cell r="AX75">
            <v>84049.777499999997</v>
          </cell>
          <cell r="AY75">
            <v>84049.777499999997</v>
          </cell>
          <cell r="AZ75">
            <v>84049.777499999997</v>
          </cell>
          <cell r="BA75">
            <v>85000</v>
          </cell>
          <cell r="BB75">
            <v>85000</v>
          </cell>
          <cell r="BC75">
            <v>85966.666666666672</v>
          </cell>
          <cell r="BD75">
            <v>97716.666666666672</v>
          </cell>
          <cell r="BE75">
            <v>98050</v>
          </cell>
          <cell r="BF75">
            <v>98016.666666666672</v>
          </cell>
          <cell r="BG75">
            <v>98016.666666666672</v>
          </cell>
          <cell r="BH75">
            <v>98033.333333333328</v>
          </cell>
          <cell r="BI75">
            <v>98783.333333333328</v>
          </cell>
          <cell r="BJ75">
            <v>98800</v>
          </cell>
          <cell r="BK75">
            <v>99350</v>
          </cell>
          <cell r="BL75">
            <v>99366.666666666672</v>
          </cell>
          <cell r="BM75">
            <v>100450</v>
          </cell>
          <cell r="BN75">
            <v>100450</v>
          </cell>
          <cell r="BO75">
            <v>100400</v>
          </cell>
          <cell r="BP75">
            <v>100483.33333333333</v>
          </cell>
          <cell r="BQ75">
            <v>100800</v>
          </cell>
          <cell r="BR75">
            <v>104100</v>
          </cell>
          <cell r="BS75">
            <v>101000</v>
          </cell>
          <cell r="BT75">
            <v>98386.759581881532</v>
          </cell>
          <cell r="BV75" t="str">
            <v>mstag:periodEndBasicSharesOutstanding</v>
          </cell>
          <cell r="BW75">
            <v>3</v>
          </cell>
          <cell r="BX75" t="str">
            <v>ms_eqr_gcim_Decimal:ms_eqr_gcim_decimal</v>
          </cell>
          <cell r="BY75" t="b">
            <v>0</v>
          </cell>
          <cell r="BZ75" t="b">
            <v>0</v>
          </cell>
        </row>
        <row r="76">
          <cell r="A76" t="str">
            <v>Weighted average basic shares</v>
          </cell>
          <cell r="H76">
            <v>69352.627250000005</v>
          </cell>
          <cell r="I76">
            <v>75009.494999999995</v>
          </cell>
          <cell r="J76">
            <v>77583.333333333343</v>
          </cell>
          <cell r="K76">
            <v>74450</v>
          </cell>
          <cell r="L76">
            <v>78566.666666666672</v>
          </cell>
          <cell r="M76">
            <v>84049.777499999997</v>
          </cell>
          <cell r="N76">
            <v>84525</v>
          </cell>
          <cell r="O76">
            <v>97366.666666666657</v>
          </cell>
          <cell r="P76">
            <v>98120.833333333343</v>
          </cell>
          <cell r="Q76">
            <v>99354.166666666672</v>
          </cell>
          <cell r="R76">
            <v>99598.344947735197</v>
          </cell>
          <cell r="S76">
            <v>94958.832752613234</v>
          </cell>
          <cell r="T76">
            <v>91117.480313588836</v>
          </cell>
          <cell r="U76">
            <v>90286.494837979073</v>
          </cell>
          <cell r="V76">
            <v>89447.199507613215</v>
          </cell>
          <cell r="AC76">
            <v>69300.769</v>
          </cell>
          <cell r="AD76">
            <v>69367.027000000002</v>
          </cell>
          <cell r="AE76">
            <v>69370.343999999997</v>
          </cell>
          <cell r="AF76">
            <v>69372.369000000006</v>
          </cell>
          <cell r="AG76">
            <v>69778.759999999995</v>
          </cell>
          <cell r="AH76">
            <v>69801.869000000006</v>
          </cell>
          <cell r="AI76">
            <v>474464</v>
          </cell>
          <cell r="AJ76">
            <v>473514</v>
          </cell>
          <cell r="AK76">
            <v>473500</v>
          </cell>
          <cell r="AL76">
            <v>473500</v>
          </cell>
          <cell r="AM76">
            <v>473800</v>
          </cell>
          <cell r="AN76">
            <v>466600</v>
          </cell>
          <cell r="AO76">
            <v>449400</v>
          </cell>
          <cell r="AP76">
            <v>441300</v>
          </cell>
          <cell r="AQ76">
            <v>435900</v>
          </cell>
          <cell r="AR76">
            <v>436100</v>
          </cell>
          <cell r="AS76">
            <v>84049.777499999997</v>
          </cell>
          <cell r="AT76">
            <v>84049.777499999997</v>
          </cell>
          <cell r="AU76">
            <v>84049.777499999997</v>
          </cell>
          <cell r="AV76">
            <v>84049.777499999997</v>
          </cell>
          <cell r="AW76">
            <v>84049.777499999997</v>
          </cell>
          <cell r="AX76">
            <v>84049.777499999997</v>
          </cell>
          <cell r="AY76">
            <v>84049.777499999997</v>
          </cell>
          <cell r="AZ76">
            <v>84049.777499999997</v>
          </cell>
          <cell r="BA76">
            <v>83783.333333333328</v>
          </cell>
          <cell r="BB76">
            <v>84383.333333333328</v>
          </cell>
          <cell r="BC76">
            <v>84483.333333333328</v>
          </cell>
          <cell r="BD76">
            <v>85450</v>
          </cell>
          <cell r="BE76">
            <v>97283.333333333328</v>
          </cell>
          <cell r="BF76">
            <v>97350</v>
          </cell>
          <cell r="BG76">
            <v>97400</v>
          </cell>
          <cell r="BH76">
            <v>97433.333333333328</v>
          </cell>
          <cell r="BI76">
            <v>97766.666666666672</v>
          </cell>
          <cell r="BJ76">
            <v>97950</v>
          </cell>
          <cell r="BK76">
            <v>98050</v>
          </cell>
          <cell r="BL76">
            <v>98716.666666666672</v>
          </cell>
          <cell r="BM76">
            <v>99016.666666666672</v>
          </cell>
          <cell r="BN76">
            <v>99316.666666666672</v>
          </cell>
          <cell r="BO76">
            <v>99600</v>
          </cell>
          <cell r="BP76">
            <v>99483.333333333328</v>
          </cell>
          <cell r="BQ76">
            <v>99000</v>
          </cell>
          <cell r="BR76">
            <v>100400</v>
          </cell>
          <cell r="BS76">
            <v>99300</v>
          </cell>
          <cell r="BT76">
            <v>99693.379790940759</v>
          </cell>
          <cell r="BV76" t="str">
            <v>mstag:averageBasicSharesOutstanding</v>
          </cell>
          <cell r="BW76">
            <v>3</v>
          </cell>
          <cell r="BX76" t="str">
            <v>ms_eqr_gcim_Decimal:ms_eqr_gcim_decimal</v>
          </cell>
          <cell r="BY76" t="b">
            <v>0</v>
          </cell>
          <cell r="BZ76" t="b">
            <v>0</v>
          </cell>
        </row>
        <row r="77">
          <cell r="A77" t="str">
            <v>Retired Shares</v>
          </cell>
          <cell r="H77">
            <v>248.5109999999986</v>
          </cell>
          <cell r="I77">
            <v>586</v>
          </cell>
          <cell r="J77">
            <v>1000</v>
          </cell>
          <cell r="K77">
            <v>58841.703750000008</v>
          </cell>
          <cell r="L77">
            <v>0</v>
          </cell>
          <cell r="M77">
            <v>0</v>
          </cell>
          <cell r="N77">
            <v>0</v>
          </cell>
          <cell r="O77">
            <v>0</v>
          </cell>
          <cell r="P77">
            <v>0</v>
          </cell>
          <cell r="Q77">
            <v>0</v>
          </cell>
          <cell r="R77">
            <v>-2613.240418118467</v>
          </cell>
          <cell r="S77">
            <v>-7839.7212543554006</v>
          </cell>
          <cell r="T77">
            <v>-1742.1602787456445</v>
          </cell>
          <cell r="U77">
            <v>-1742.1602787456445</v>
          </cell>
          <cell r="V77">
            <v>-1742.1602787456445</v>
          </cell>
          <cell r="AC77">
            <v>1.50177</v>
          </cell>
          <cell r="AD77">
            <v>35.469000000000001</v>
          </cell>
          <cell r="AE77">
            <v>182.63200000000001</v>
          </cell>
          <cell r="AF77">
            <v>248.5109999999986</v>
          </cell>
          <cell r="AG77">
            <v>0</v>
          </cell>
          <cell r="AH77">
            <v>57.171999999991385</v>
          </cell>
          <cell r="AI77">
            <v>225</v>
          </cell>
          <cell r="AJ77">
            <v>586</v>
          </cell>
          <cell r="AK77">
            <v>1100</v>
          </cell>
          <cell r="AL77">
            <v>1300</v>
          </cell>
          <cell r="AM77">
            <v>1100</v>
          </cell>
          <cell r="AN77">
            <v>1000</v>
          </cell>
          <cell r="AO77">
            <v>1100</v>
          </cell>
          <cell r="AP77">
            <v>1300</v>
          </cell>
          <cell r="AQ77">
            <v>1300</v>
          </cell>
          <cell r="AR77">
            <v>353050.22250000003</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-2613.240418118467</v>
          </cell>
        </row>
        <row r="78">
          <cell r="A78" t="str">
            <v>Weighted avg diluted shares</v>
          </cell>
          <cell r="H78" t="str">
            <v>NA</v>
          </cell>
          <cell r="I78">
            <v>74940.917166666666</v>
          </cell>
          <cell r="J78">
            <v>78785.316694746391</v>
          </cell>
          <cell r="K78">
            <v>78566.666666666672</v>
          </cell>
          <cell r="L78">
            <v>78566.666666666672</v>
          </cell>
          <cell r="M78">
            <v>84049.777499999997</v>
          </cell>
          <cell r="N78">
            <v>88420.833333333343</v>
          </cell>
          <cell r="O78">
            <v>98029.166666666672</v>
          </cell>
          <cell r="P78">
            <v>99075</v>
          </cell>
          <cell r="Q78">
            <v>100445.83333333333</v>
          </cell>
          <cell r="R78">
            <v>101071.68989547038</v>
          </cell>
          <cell r="S78">
            <v>94958.832752613234</v>
          </cell>
          <cell r="T78">
            <v>91117.480313588836</v>
          </cell>
          <cell r="U78">
            <v>90286.494837979073</v>
          </cell>
          <cell r="V78">
            <v>89447.199507613215</v>
          </cell>
          <cell r="AC78">
            <v>69302.270770000003</v>
          </cell>
          <cell r="AD78">
            <v>69402.495999999999</v>
          </cell>
          <cell r="AE78">
            <v>69552.975999999995</v>
          </cell>
          <cell r="AF78">
            <v>69620.88</v>
          </cell>
          <cell r="AG78">
            <v>69778.759999999995</v>
          </cell>
          <cell r="AH78">
            <v>69859.040999999997</v>
          </cell>
          <cell r="AI78">
            <v>474689</v>
          </cell>
          <cell r="AJ78">
            <v>474100</v>
          </cell>
          <cell r="AK78">
            <v>474600</v>
          </cell>
          <cell r="AL78">
            <v>474800</v>
          </cell>
          <cell r="AM78">
            <v>474900</v>
          </cell>
          <cell r="AN78">
            <v>467600</v>
          </cell>
          <cell r="AO78">
            <v>450500</v>
          </cell>
          <cell r="AP78">
            <v>442600</v>
          </cell>
          <cell r="AQ78">
            <v>437200</v>
          </cell>
          <cell r="AR78">
            <v>437100</v>
          </cell>
          <cell r="AS78">
            <v>84049.777499999997</v>
          </cell>
          <cell r="AT78">
            <v>84049.777499999997</v>
          </cell>
          <cell r="AU78">
            <v>84049.777499999997</v>
          </cell>
          <cell r="AV78">
            <v>84049.777499999997</v>
          </cell>
          <cell r="AW78">
            <v>84049.777499999997</v>
          </cell>
          <cell r="AX78">
            <v>84049.777499999997</v>
          </cell>
          <cell r="AY78">
            <v>84049.777499999997</v>
          </cell>
          <cell r="AZ78">
            <v>84049.777499999997</v>
          </cell>
          <cell r="BA78">
            <v>83783.333333333328</v>
          </cell>
          <cell r="BB78">
            <v>85000</v>
          </cell>
          <cell r="BC78">
            <v>85483.333333333343</v>
          </cell>
          <cell r="BD78">
            <v>91841.666666666672</v>
          </cell>
          <cell r="BE78">
            <v>97883.333333333343</v>
          </cell>
          <cell r="BF78">
            <v>98033.333333333343</v>
          </cell>
          <cell r="BG78">
            <v>98016.666666666672</v>
          </cell>
          <cell r="BH78">
            <v>98025</v>
          </cell>
          <cell r="BI78">
            <v>98408.333333333328</v>
          </cell>
          <cell r="BJ78">
            <v>98791.666666666657</v>
          </cell>
          <cell r="BK78">
            <v>99075</v>
          </cell>
          <cell r="BL78">
            <v>99358.333333333343</v>
          </cell>
          <cell r="BM78">
            <v>99908.333333333343</v>
          </cell>
          <cell r="BN78">
            <v>100450</v>
          </cell>
          <cell r="BO78">
            <v>100425</v>
          </cell>
          <cell r="BP78">
            <v>100441.66666666666</v>
          </cell>
          <cell r="BQ78">
            <v>100641.66666666666</v>
          </cell>
          <cell r="BR78">
            <v>102450</v>
          </cell>
          <cell r="BS78">
            <v>102550</v>
          </cell>
          <cell r="BT78">
            <v>99693.379790940759</v>
          </cell>
          <cell r="BV78" t="str">
            <v>mstag:averageDilutedSharesOutstanding</v>
          </cell>
          <cell r="BW78">
            <v>3</v>
          </cell>
          <cell r="BX78" t="str">
            <v>ms_eqr_gcim_Decimal:ms_eqr_gcim_decimal</v>
          </cell>
          <cell r="BY78" t="b">
            <v>0</v>
          </cell>
          <cell r="BZ78" t="b">
            <v>0</v>
          </cell>
        </row>
        <row r="79">
          <cell r="A79" t="str">
            <v>Period end diluted shares</v>
          </cell>
          <cell r="H79">
            <v>70767.501000000004</v>
          </cell>
          <cell r="I79">
            <v>79114.333333333328</v>
          </cell>
          <cell r="J79">
            <v>75833.333333333328</v>
          </cell>
          <cell r="K79">
            <v>78566.666666666672</v>
          </cell>
          <cell r="L79">
            <v>78566.666666666672</v>
          </cell>
          <cell r="M79">
            <v>84049.777499999997</v>
          </cell>
          <cell r="N79">
            <v>97716.666666666672</v>
          </cell>
          <cell r="O79">
            <v>98033.333333333328</v>
          </cell>
          <cell r="P79">
            <v>99366.666666666672</v>
          </cell>
          <cell r="Q79">
            <v>100483.33333333333</v>
          </cell>
          <cell r="R79">
            <v>98386.759581881532</v>
          </cell>
          <cell r="S79">
            <v>91530.905923344937</v>
          </cell>
          <cell r="T79">
            <v>90704.054703832735</v>
          </cell>
          <cell r="U79">
            <v>89868.934972125411</v>
          </cell>
          <cell r="V79">
            <v>89025.464043101019</v>
          </cell>
          <cell r="AC79">
            <v>70648.108999999997</v>
          </cell>
          <cell r="AD79">
            <v>70868.777000000002</v>
          </cell>
          <cell r="AE79">
            <v>70767.501000000004</v>
          </cell>
          <cell r="AF79">
            <v>70767.501000000004</v>
          </cell>
          <cell r="AG79">
            <v>70767.501000000004</v>
          </cell>
          <cell r="AH79">
            <v>70767.501000000004</v>
          </cell>
          <cell r="AI79">
            <v>474914</v>
          </cell>
          <cell r="AJ79">
            <v>474686</v>
          </cell>
          <cell r="AK79">
            <v>478330.81</v>
          </cell>
          <cell r="AL79">
            <v>478700</v>
          </cell>
          <cell r="AM79">
            <v>471300</v>
          </cell>
          <cell r="AN79">
            <v>455000</v>
          </cell>
          <cell r="AO79">
            <v>448400</v>
          </cell>
          <cell r="AP79">
            <v>440900</v>
          </cell>
          <cell r="AQ79">
            <v>440742</v>
          </cell>
          <cell r="AR79">
            <v>792450.22250000003</v>
          </cell>
          <cell r="AS79">
            <v>84049.777499999997</v>
          </cell>
          <cell r="AT79">
            <v>84049.777499999997</v>
          </cell>
          <cell r="AU79">
            <v>84049.777499999997</v>
          </cell>
          <cell r="AV79">
            <v>84049.777499999997</v>
          </cell>
          <cell r="AW79">
            <v>84049.777499999997</v>
          </cell>
          <cell r="AX79">
            <v>84049.777499999997</v>
          </cell>
          <cell r="AY79">
            <v>84049.777499999997</v>
          </cell>
          <cell r="AZ79">
            <v>84049.777499999997</v>
          </cell>
          <cell r="BA79">
            <v>85000</v>
          </cell>
          <cell r="BB79">
            <v>85000</v>
          </cell>
          <cell r="BC79">
            <v>85966.666666666672</v>
          </cell>
          <cell r="BD79">
            <v>97716.666666666672</v>
          </cell>
          <cell r="BE79">
            <v>98050</v>
          </cell>
          <cell r="BF79">
            <v>98016.666666666672</v>
          </cell>
          <cell r="BG79">
            <v>98016.666666666672</v>
          </cell>
          <cell r="BH79">
            <v>98033.333333333328</v>
          </cell>
          <cell r="BI79">
            <v>98783.333333333328</v>
          </cell>
          <cell r="BJ79">
            <v>98800</v>
          </cell>
          <cell r="BK79">
            <v>99350</v>
          </cell>
          <cell r="BL79">
            <v>99366.666666666672</v>
          </cell>
          <cell r="BM79">
            <v>100450</v>
          </cell>
          <cell r="BN79">
            <v>100450</v>
          </cell>
          <cell r="BO79">
            <v>100400</v>
          </cell>
          <cell r="BP79">
            <v>100483.33333333333</v>
          </cell>
          <cell r="BQ79">
            <v>100800</v>
          </cell>
          <cell r="BR79">
            <v>104100</v>
          </cell>
          <cell r="BS79">
            <v>101000</v>
          </cell>
          <cell r="BT79">
            <v>98386.759581881532</v>
          </cell>
          <cell r="BV79" t="str">
            <v>mstag:periodEndDilutedSharesOutstanding</v>
          </cell>
          <cell r="BW79">
            <v>3</v>
          </cell>
          <cell r="BX79" t="str">
            <v>ms_eqr_gcim_Decimal:ms_eqr_gcim_decimal</v>
          </cell>
          <cell r="BY79" t="b">
            <v>0</v>
          </cell>
          <cell r="BZ79" t="b">
            <v>0</v>
          </cell>
        </row>
        <row r="80">
          <cell r="A80" t="str">
            <v>Options</v>
          </cell>
          <cell r="BM80">
            <v>0</v>
          </cell>
          <cell r="BN80">
            <v>0</v>
          </cell>
          <cell r="BO80">
            <v>0</v>
          </cell>
          <cell r="BP80">
            <v>0</v>
          </cell>
          <cell r="BQ80">
            <v>0</v>
          </cell>
          <cell r="BR80">
            <v>0</v>
          </cell>
          <cell r="BS80">
            <v>0</v>
          </cell>
        </row>
        <row r="81">
          <cell r="A81" t="str">
            <v>Dividends</v>
          </cell>
        </row>
        <row r="82">
          <cell r="A82" t="str">
            <v>Dividends per share</v>
          </cell>
          <cell r="H82">
            <v>1.26</v>
          </cell>
          <cell r="I82">
            <v>0.98053820732447561</v>
          </cell>
          <cell r="J82">
            <v>1</v>
          </cell>
          <cell r="K82">
            <v>1</v>
          </cell>
          <cell r="L82">
            <v>1</v>
          </cell>
          <cell r="M82">
            <v>6</v>
          </cell>
          <cell r="N82">
            <v>6</v>
          </cell>
          <cell r="O82">
            <v>6</v>
          </cell>
          <cell r="P82">
            <v>6</v>
          </cell>
          <cell r="Q82">
            <v>6</v>
          </cell>
          <cell r="R82">
            <v>6</v>
          </cell>
          <cell r="S82">
            <v>0.6</v>
          </cell>
          <cell r="T82">
            <v>0.6</v>
          </cell>
          <cell r="U82">
            <v>0.6</v>
          </cell>
          <cell r="V82">
            <v>0.6</v>
          </cell>
          <cell r="Z82" t="str">
            <v/>
          </cell>
          <cell r="AA82" t="str">
            <v/>
          </cell>
          <cell r="AC82">
            <v>0.18</v>
          </cell>
          <cell r="AD82">
            <v>0.36</v>
          </cell>
          <cell r="AE82">
            <v>0.36</v>
          </cell>
          <cell r="AF82">
            <v>0.36</v>
          </cell>
          <cell r="AG82">
            <v>0.36</v>
          </cell>
          <cell r="AH82">
            <v>0.36</v>
          </cell>
          <cell r="AI82">
            <v>1.0538207324475619E-2</v>
          </cell>
          <cell r="AJ82">
            <v>0.25</v>
          </cell>
          <cell r="AK82">
            <v>0.25</v>
          </cell>
          <cell r="AL82">
            <v>0.25</v>
          </cell>
          <cell r="AM82">
            <v>0.25</v>
          </cell>
          <cell r="AN82">
            <v>0.25</v>
          </cell>
          <cell r="AO82">
            <v>0.25</v>
          </cell>
          <cell r="AP82">
            <v>0.25</v>
          </cell>
          <cell r="AQ82">
            <v>0.25</v>
          </cell>
          <cell r="AR82">
            <v>0.25</v>
          </cell>
          <cell r="AS82">
            <v>0.25</v>
          </cell>
          <cell r="AT82">
            <v>0.25</v>
          </cell>
          <cell r="AU82">
            <v>0.25</v>
          </cell>
          <cell r="AV82">
            <v>0.25</v>
          </cell>
          <cell r="AW82">
            <v>1.5</v>
          </cell>
          <cell r="AX82">
            <v>1.5</v>
          </cell>
          <cell r="AY82">
            <v>1.5</v>
          </cell>
          <cell r="AZ82">
            <v>1.5</v>
          </cell>
          <cell r="BA82">
            <v>1.5</v>
          </cell>
          <cell r="BB82">
            <v>1.5</v>
          </cell>
          <cell r="BC82">
            <v>1.5</v>
          </cell>
          <cell r="BD82">
            <v>1.5</v>
          </cell>
          <cell r="BE82">
            <v>1.5</v>
          </cell>
          <cell r="BF82">
            <v>1.5</v>
          </cell>
          <cell r="BG82">
            <v>1.5</v>
          </cell>
          <cell r="BH82">
            <v>1.5</v>
          </cell>
          <cell r="BI82">
            <v>1.5</v>
          </cell>
          <cell r="BJ82">
            <v>1.5</v>
          </cell>
          <cell r="BK82">
            <v>1.5</v>
          </cell>
          <cell r="BL82">
            <v>1.5</v>
          </cell>
          <cell r="BM82">
            <v>1.5</v>
          </cell>
          <cell r="BN82">
            <v>1.5</v>
          </cell>
          <cell r="BO82">
            <v>1.5</v>
          </cell>
          <cell r="BP82">
            <v>1.5</v>
          </cell>
          <cell r="BQ82">
            <v>1.5</v>
          </cell>
          <cell r="BR82">
            <v>1.5</v>
          </cell>
          <cell r="BS82">
            <v>1.5</v>
          </cell>
          <cell r="BT82">
            <v>1.5</v>
          </cell>
          <cell r="BV82" t="str">
            <v>mstag:dividendsPerShare</v>
          </cell>
          <cell r="BW82">
            <v>0</v>
          </cell>
          <cell r="BX82" t="str">
            <v>ISO4217:USD</v>
          </cell>
          <cell r="BY82" t="b">
            <v>0</v>
          </cell>
          <cell r="BZ82" t="b">
            <v>0</v>
          </cell>
        </row>
        <row r="83">
          <cell r="A83" t="str">
            <v>Common dividends</v>
          </cell>
          <cell r="H83">
            <v>87393.644820000001</v>
          </cell>
          <cell r="I83">
            <v>173627.52643999999</v>
          </cell>
          <cell r="J83">
            <v>476800</v>
          </cell>
          <cell r="K83">
            <v>445200</v>
          </cell>
          <cell r="L83">
            <v>437400</v>
          </cell>
          <cell r="M83">
            <v>464600</v>
          </cell>
          <cell r="N83">
            <v>509600</v>
          </cell>
          <cell r="O83">
            <v>588000</v>
          </cell>
          <cell r="P83">
            <v>593600</v>
          </cell>
          <cell r="Q83">
            <v>602200</v>
          </cell>
          <cell r="R83">
            <v>503640.06968641112</v>
          </cell>
          <cell r="S83">
            <v>56975.299651567941</v>
          </cell>
          <cell r="T83">
            <v>54670.4881881533</v>
          </cell>
          <cell r="U83">
            <v>54171.896902787441</v>
          </cell>
          <cell r="V83">
            <v>53668.319704567926</v>
          </cell>
          <cell r="AC83">
            <v>12474.138419999999</v>
          </cell>
          <cell r="AD83">
            <v>24972.129720000001</v>
          </cell>
          <cell r="AE83">
            <v>24973.323839999997</v>
          </cell>
          <cell r="AF83">
            <v>24974.05284</v>
          </cell>
          <cell r="AG83">
            <v>25120.353599999999</v>
          </cell>
          <cell r="AH83">
            <v>25128.672840000003</v>
          </cell>
          <cell r="AI83">
            <v>5000</v>
          </cell>
          <cell r="AJ83">
            <v>118378.5</v>
          </cell>
          <cell r="AK83">
            <v>119100</v>
          </cell>
          <cell r="AL83">
            <v>119400</v>
          </cell>
          <cell r="AM83">
            <v>119200</v>
          </cell>
          <cell r="AN83">
            <v>119100</v>
          </cell>
          <cell r="AO83">
            <v>113600</v>
          </cell>
          <cell r="AP83">
            <v>111800</v>
          </cell>
          <cell r="AQ83">
            <v>109900</v>
          </cell>
          <cell r="AR83">
            <v>109900</v>
          </cell>
          <cell r="AS83">
            <v>109900</v>
          </cell>
          <cell r="AT83">
            <v>109500</v>
          </cell>
          <cell r="AU83">
            <v>109200</v>
          </cell>
          <cell r="AV83">
            <v>108800</v>
          </cell>
          <cell r="AW83">
            <v>109200</v>
          </cell>
          <cell r="AX83">
            <v>114000</v>
          </cell>
          <cell r="AY83">
            <v>120600</v>
          </cell>
          <cell r="AZ83">
            <v>120800</v>
          </cell>
          <cell r="BA83">
            <v>125900</v>
          </cell>
          <cell r="BB83">
            <v>127400</v>
          </cell>
          <cell r="BC83">
            <v>127400</v>
          </cell>
          <cell r="BD83">
            <v>128900</v>
          </cell>
          <cell r="BE83">
            <v>146500</v>
          </cell>
          <cell r="BF83">
            <v>147000</v>
          </cell>
          <cell r="BG83">
            <v>147000</v>
          </cell>
          <cell r="BH83">
            <v>147500</v>
          </cell>
          <cell r="BI83">
            <v>148100</v>
          </cell>
          <cell r="BJ83">
            <v>148200</v>
          </cell>
          <cell r="BK83">
            <v>148300</v>
          </cell>
          <cell r="BL83">
            <v>149000</v>
          </cell>
          <cell r="BM83">
            <v>150200</v>
          </cell>
          <cell r="BN83">
            <v>150700</v>
          </cell>
          <cell r="BO83">
            <v>150700</v>
          </cell>
          <cell r="BP83">
            <v>150600</v>
          </cell>
          <cell r="BQ83">
            <v>151500</v>
          </cell>
          <cell r="BR83">
            <v>191100</v>
          </cell>
          <cell r="BS83">
            <v>11500</v>
          </cell>
          <cell r="BT83">
            <v>149540.06968641112</v>
          </cell>
          <cell r="BV83" t="str">
            <v>mstag:commonDividends</v>
          </cell>
          <cell r="BW83">
            <v>3</v>
          </cell>
          <cell r="BX83" t="str">
            <v>ISO4217:USD</v>
          </cell>
          <cell r="BY83" t="b">
            <v>0</v>
          </cell>
          <cell r="BZ83" t="b">
            <v>0</v>
          </cell>
        </row>
        <row r="84">
          <cell r="A84" t="str">
            <v>Common dividends</v>
          </cell>
          <cell r="M84">
            <v>504298.66499999998</v>
          </cell>
          <cell r="N84">
            <v>519162.5</v>
          </cell>
          <cell r="O84">
            <v>587937.5</v>
          </cell>
          <cell r="P84">
            <v>593450</v>
          </cell>
          <cell r="Q84">
            <v>601837.5</v>
          </cell>
          <cell r="R84">
            <v>608002.56968641118</v>
          </cell>
          <cell r="S84">
            <v>56975.299651567941</v>
          </cell>
          <cell r="T84">
            <v>54670.4881881533</v>
          </cell>
          <cell r="U84">
            <v>54171.896902787441</v>
          </cell>
          <cell r="V84">
            <v>53668.319704567926</v>
          </cell>
          <cell r="AW84">
            <v>126074.66624999999</v>
          </cell>
          <cell r="AX84">
            <v>126074.66624999999</v>
          </cell>
          <cell r="AY84">
            <v>126074.66624999999</v>
          </cell>
          <cell r="AZ84">
            <v>126074.66624999999</v>
          </cell>
          <cell r="BA84">
            <v>125675</v>
          </cell>
          <cell r="BB84">
            <v>127500</v>
          </cell>
          <cell r="BC84">
            <v>128225.00000000001</v>
          </cell>
          <cell r="BD84">
            <v>137762.5</v>
          </cell>
          <cell r="BE84">
            <v>146825</v>
          </cell>
          <cell r="BF84">
            <v>147050</v>
          </cell>
          <cell r="BG84">
            <v>147025</v>
          </cell>
          <cell r="BH84">
            <v>147037.5</v>
          </cell>
          <cell r="BI84">
            <v>147612.5</v>
          </cell>
          <cell r="BJ84">
            <v>148187.5</v>
          </cell>
          <cell r="BK84">
            <v>148612.5</v>
          </cell>
          <cell r="BL84">
            <v>149037.5</v>
          </cell>
          <cell r="BM84">
            <v>149862.5</v>
          </cell>
          <cell r="BN84">
            <v>150675</v>
          </cell>
          <cell r="BO84">
            <v>150637.5</v>
          </cell>
          <cell r="BP84">
            <v>150662.5</v>
          </cell>
          <cell r="BQ84">
            <v>150962.5</v>
          </cell>
          <cell r="BR84">
            <v>153675</v>
          </cell>
          <cell r="BS84">
            <v>153825</v>
          </cell>
          <cell r="BT84">
            <v>149540.06968641112</v>
          </cell>
        </row>
        <row r="85">
          <cell r="A85" t="str">
            <v xml:space="preserve">  Latest announced dividend annualized</v>
          </cell>
          <cell r="BV85" t="str">
            <v>mstag:latestDividendDeclaredAnnualized</v>
          </cell>
          <cell r="BW85">
            <v>0</v>
          </cell>
          <cell r="BX85" t="str">
            <v>ISO4217:USD</v>
          </cell>
          <cell r="BY85" t="b">
            <v>0</v>
          </cell>
        </row>
        <row r="86">
          <cell r="A86" t="str">
            <v>Net Income Reconciliation</v>
          </cell>
        </row>
        <row r="87">
          <cell r="A87" t="str">
            <v>Reported Net Income</v>
          </cell>
          <cell r="F87">
            <v>58233</v>
          </cell>
          <cell r="G87">
            <v>-27755</v>
          </cell>
          <cell r="H87">
            <v>35347</v>
          </cell>
          <cell r="I87">
            <v>391764.35850824654</v>
          </cell>
          <cell r="J87">
            <v>917100</v>
          </cell>
          <cell r="K87">
            <v>412700</v>
          </cell>
          <cell r="L87">
            <v>334500</v>
          </cell>
          <cell r="M87">
            <v>310700</v>
          </cell>
          <cell r="N87">
            <v>169500</v>
          </cell>
          <cell r="O87">
            <v>175200</v>
          </cell>
          <cell r="P87">
            <v>241000</v>
          </cell>
          <cell r="Q87">
            <v>-39500</v>
          </cell>
          <cell r="R87">
            <v>-229158.76573491786</v>
          </cell>
          <cell r="S87">
            <v>-403329.25614337437</v>
          </cell>
          <cell r="T87">
            <v>-426235.5631408692</v>
          </cell>
          <cell r="U87">
            <v>-458227.23228138866</v>
          </cell>
          <cell r="V87">
            <v>-472397.28301216476</v>
          </cell>
          <cell r="Y87">
            <v>15614</v>
          </cell>
          <cell r="Z87">
            <v>3291</v>
          </cell>
          <cell r="AA87">
            <v>6266</v>
          </cell>
          <cell r="AB87">
            <v>-52926</v>
          </cell>
          <cell r="AC87">
            <v>-12636</v>
          </cell>
          <cell r="AD87">
            <v>18242</v>
          </cell>
          <cell r="AE87">
            <v>13321</v>
          </cell>
          <cell r="AF87">
            <v>16420</v>
          </cell>
          <cell r="AG87">
            <v>-44187</v>
          </cell>
          <cell r="AH87">
            <v>-56494.566159094538</v>
          </cell>
          <cell r="AI87">
            <v>396394</v>
          </cell>
          <cell r="AJ87">
            <v>96051.924667341111</v>
          </cell>
          <cell r="AK87">
            <v>99900</v>
          </cell>
          <cell r="AL87">
            <v>115900</v>
          </cell>
          <cell r="AM87">
            <v>117700</v>
          </cell>
          <cell r="AN87">
            <v>583600</v>
          </cell>
          <cell r="AO87">
            <v>123700</v>
          </cell>
          <cell r="AP87">
            <v>102000</v>
          </cell>
          <cell r="AQ87">
            <v>105900</v>
          </cell>
          <cell r="AR87">
            <v>81100</v>
          </cell>
          <cell r="AS87">
            <v>88200</v>
          </cell>
          <cell r="AT87">
            <v>90800</v>
          </cell>
          <cell r="AU87">
            <v>80000</v>
          </cell>
          <cell r="AV87">
            <v>75500</v>
          </cell>
          <cell r="AW87">
            <v>74100</v>
          </cell>
          <cell r="AX87">
            <v>79000</v>
          </cell>
          <cell r="AY87">
            <v>85200</v>
          </cell>
          <cell r="AZ87">
            <v>72400</v>
          </cell>
          <cell r="BA87">
            <v>29400</v>
          </cell>
          <cell r="BB87">
            <v>96700</v>
          </cell>
          <cell r="BC87">
            <v>78100</v>
          </cell>
          <cell r="BD87">
            <v>-34700</v>
          </cell>
          <cell r="BE87">
            <v>60400</v>
          </cell>
          <cell r="BF87">
            <v>51000</v>
          </cell>
          <cell r="BG87">
            <v>53700</v>
          </cell>
          <cell r="BH87">
            <v>10100</v>
          </cell>
          <cell r="BI87">
            <v>52300</v>
          </cell>
          <cell r="BJ87">
            <v>39700</v>
          </cell>
          <cell r="BK87">
            <v>30600</v>
          </cell>
          <cell r="BL87">
            <v>118400</v>
          </cell>
          <cell r="BM87">
            <v>16000</v>
          </cell>
          <cell r="BN87">
            <v>14000</v>
          </cell>
          <cell r="BO87">
            <v>8000</v>
          </cell>
          <cell r="BP87">
            <v>-77500</v>
          </cell>
          <cell r="BQ87">
            <v>10960</v>
          </cell>
          <cell r="BR87">
            <v>-78180</v>
          </cell>
          <cell r="BS87">
            <v>-7460</v>
          </cell>
          <cell r="BT87">
            <v>-154478.76573491786</v>
          </cell>
          <cell r="BV87" t="str">
            <v>mstag:netIncomeAdjustedForConsensus</v>
          </cell>
          <cell r="BW87">
            <v>3</v>
          </cell>
          <cell r="BX87" t="str">
            <v>ISO4217:USD</v>
          </cell>
          <cell r="BY87" t="b">
            <v>0</v>
          </cell>
        </row>
        <row r="88">
          <cell r="A88" t="str">
            <v>Restructuring costs</v>
          </cell>
          <cell r="J88">
            <v>1032.3000000000002</v>
          </cell>
          <cell r="K88">
            <v>13474</v>
          </cell>
          <cell r="L88">
            <v>6274.1</v>
          </cell>
          <cell r="M88">
            <v>51534</v>
          </cell>
          <cell r="N88">
            <v>193647</v>
          </cell>
          <cell r="O88">
            <v>15960</v>
          </cell>
          <cell r="P88">
            <v>3280</v>
          </cell>
          <cell r="Q88">
            <v>-10620</v>
          </cell>
          <cell r="R88">
            <v>822.5</v>
          </cell>
          <cell r="AJ88">
            <v>26570</v>
          </cell>
          <cell r="AK88">
            <v>2995.2</v>
          </cell>
          <cell r="AL88">
            <v>-7101.9</v>
          </cell>
          <cell r="AM88">
            <v>2015</v>
          </cell>
          <cell r="AN88">
            <v>3124</v>
          </cell>
          <cell r="AO88">
            <v>1375</v>
          </cell>
          <cell r="AP88">
            <v>3250</v>
          </cell>
          <cell r="AQ88">
            <v>4785</v>
          </cell>
          <cell r="AR88">
            <v>4064</v>
          </cell>
          <cell r="AS88">
            <v>-57.400000000000006</v>
          </cell>
          <cell r="AT88">
            <v>925.5</v>
          </cell>
          <cell r="AU88">
            <v>5406</v>
          </cell>
          <cell r="AW88">
            <v>12834.6</v>
          </cell>
          <cell r="AX88">
            <v>20600</v>
          </cell>
          <cell r="AY88">
            <v>14799.513999999996</v>
          </cell>
          <cell r="AZ88">
            <v>3300</v>
          </cell>
          <cell r="BA88">
            <v>78099.600000000006</v>
          </cell>
          <cell r="BB88">
            <v>15900</v>
          </cell>
          <cell r="BC88">
            <v>47600</v>
          </cell>
          <cell r="BD88">
            <v>52047</v>
          </cell>
          <cell r="BE88">
            <v>8900</v>
          </cell>
          <cell r="BF88">
            <v>6800</v>
          </cell>
          <cell r="BG88">
            <v>-4700</v>
          </cell>
          <cell r="BH88">
            <v>4960</v>
          </cell>
          <cell r="BI88">
            <v>-4420</v>
          </cell>
          <cell r="BJ88">
            <v>3100</v>
          </cell>
          <cell r="BK88">
            <v>-2720</v>
          </cell>
          <cell r="BL88">
            <v>7320</v>
          </cell>
          <cell r="BM88">
            <v>-6057.5</v>
          </cell>
          <cell r="BP88">
            <v>-2412.5</v>
          </cell>
          <cell r="BQ88">
            <v>822.5</v>
          </cell>
          <cell r="BR88">
            <v>0</v>
          </cell>
          <cell r="BS88">
            <v>0</v>
          </cell>
          <cell r="BT88">
            <v>0</v>
          </cell>
        </row>
        <row r="89">
          <cell r="A89" t="str">
            <v>(Gain) Loss on sale of assets</v>
          </cell>
          <cell r="J89">
            <v>-451300</v>
          </cell>
          <cell r="K89">
            <v>0</v>
          </cell>
          <cell r="L89">
            <v>0</v>
          </cell>
          <cell r="M89">
            <v>0</v>
          </cell>
          <cell r="N89">
            <v>0</v>
          </cell>
          <cell r="O89">
            <v>0</v>
          </cell>
          <cell r="P89">
            <v>0</v>
          </cell>
          <cell r="Q89">
            <v>0</v>
          </cell>
          <cell r="R89">
            <v>0</v>
          </cell>
          <cell r="AN89">
            <v>-451300</v>
          </cell>
        </row>
        <row r="90">
          <cell r="A90" t="str">
            <v>Asset impairment</v>
          </cell>
          <cell r="F90">
            <v>0</v>
          </cell>
          <cell r="G90">
            <v>-6678</v>
          </cell>
          <cell r="H90">
            <v>-4035</v>
          </cell>
          <cell r="I90">
            <v>200283</v>
          </cell>
          <cell r="J90">
            <v>0</v>
          </cell>
          <cell r="K90">
            <v>0</v>
          </cell>
          <cell r="L90">
            <v>0</v>
          </cell>
          <cell r="M90">
            <v>0</v>
          </cell>
          <cell r="N90">
            <v>0</v>
          </cell>
          <cell r="O90">
            <v>0</v>
          </cell>
          <cell r="P90">
            <v>0</v>
          </cell>
          <cell r="Q90">
            <v>0</v>
          </cell>
          <cell r="R90">
            <v>0</v>
          </cell>
          <cell r="S90">
            <v>0</v>
          </cell>
          <cell r="T90">
            <v>0</v>
          </cell>
          <cell r="U90">
            <v>0</v>
          </cell>
          <cell r="V90">
            <v>0</v>
          </cell>
          <cell r="Y90">
            <v>0</v>
          </cell>
          <cell r="Z90">
            <v>0</v>
          </cell>
          <cell r="AA90">
            <v>-6678</v>
          </cell>
          <cell r="AB90">
            <v>0</v>
          </cell>
          <cell r="AC90">
            <v>0</v>
          </cell>
          <cell r="AD90">
            <v>0</v>
          </cell>
          <cell r="AE90">
            <v>-2953</v>
          </cell>
          <cell r="AF90">
            <v>-1082</v>
          </cell>
          <cell r="AG90">
            <v>0</v>
          </cell>
          <cell r="AH90">
            <v>0</v>
          </cell>
          <cell r="AI90">
            <v>200283</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row>
        <row r="91">
          <cell r="A91" t="str">
            <v>Cum. effect of change in accounting principal</v>
          </cell>
          <cell r="J91">
            <v>0</v>
          </cell>
          <cell r="K91">
            <v>0</v>
          </cell>
          <cell r="L91">
            <v>0</v>
          </cell>
          <cell r="M91">
            <v>0</v>
          </cell>
          <cell r="N91">
            <v>0</v>
          </cell>
          <cell r="O91">
            <v>0</v>
          </cell>
          <cell r="P91">
            <v>0</v>
          </cell>
          <cell r="Q91">
            <v>0</v>
          </cell>
          <cell r="R91">
            <v>0</v>
          </cell>
          <cell r="AF91">
            <v>-269</v>
          </cell>
          <cell r="AI91">
            <v>75974</v>
          </cell>
        </row>
        <row r="92">
          <cell r="A92" t="str">
            <v>Loss on debt extinguishment</v>
          </cell>
          <cell r="F92">
            <v>0</v>
          </cell>
          <cell r="G92">
            <v>-62975</v>
          </cell>
          <cell r="H92">
            <v>-29262</v>
          </cell>
          <cell r="I92">
            <v>0</v>
          </cell>
          <cell r="J92">
            <v>0</v>
          </cell>
          <cell r="K92">
            <v>0</v>
          </cell>
          <cell r="L92">
            <v>0</v>
          </cell>
          <cell r="M92">
            <v>0</v>
          </cell>
          <cell r="N92">
            <v>0</v>
          </cell>
          <cell r="O92">
            <v>0</v>
          </cell>
          <cell r="P92">
            <v>0</v>
          </cell>
          <cell r="Q92">
            <v>0</v>
          </cell>
          <cell r="R92">
            <v>0</v>
          </cell>
          <cell r="S92">
            <v>0</v>
          </cell>
          <cell r="T92">
            <v>0</v>
          </cell>
          <cell r="U92">
            <v>0</v>
          </cell>
          <cell r="V92">
            <v>0</v>
          </cell>
          <cell r="Y92">
            <v>0</v>
          </cell>
          <cell r="Z92">
            <v>0</v>
          </cell>
          <cell r="AA92">
            <v>0</v>
          </cell>
          <cell r="AB92">
            <v>-62975</v>
          </cell>
          <cell r="AC92">
            <v>-29262</v>
          </cell>
          <cell r="AD92">
            <v>0</v>
          </cell>
          <cell r="AE92">
            <v>0</v>
          </cell>
          <cell r="AF92">
            <v>0</v>
          </cell>
          <cell r="AG92">
            <v>0</v>
          </cell>
          <cell r="AH92">
            <v>0</v>
          </cell>
          <cell r="AI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row>
        <row r="93">
          <cell r="A93" t="str">
            <v>Income from discontinued operations</v>
          </cell>
          <cell r="F93">
            <v>8334</v>
          </cell>
          <cell r="G93">
            <v>-81325</v>
          </cell>
          <cell r="H93">
            <v>148925.64499999999</v>
          </cell>
          <cell r="I93">
            <v>1658191.527</v>
          </cell>
          <cell r="J93">
            <v>9300</v>
          </cell>
          <cell r="K93">
            <v>98600</v>
          </cell>
          <cell r="L93">
            <v>91169.2</v>
          </cell>
          <cell r="M93">
            <v>7531.8859999999995</v>
          </cell>
          <cell r="N93">
            <v>-69440.600000000006</v>
          </cell>
          <cell r="O93">
            <v>28600</v>
          </cell>
          <cell r="P93">
            <v>31000</v>
          </cell>
          <cell r="Q93">
            <v>35900</v>
          </cell>
          <cell r="R93">
            <v>-382991.25</v>
          </cell>
          <cell r="AI93">
            <v>37379</v>
          </cell>
          <cell r="AK93">
            <v>6100</v>
          </cell>
          <cell r="AL93">
            <v>5000</v>
          </cell>
          <cell r="AM93">
            <v>-1600</v>
          </cell>
          <cell r="AN93">
            <v>-200</v>
          </cell>
          <cell r="AO93">
            <v>10800</v>
          </cell>
          <cell r="AP93">
            <v>30600</v>
          </cell>
          <cell r="AQ93">
            <v>15700</v>
          </cell>
          <cell r="AR93">
            <v>41500</v>
          </cell>
          <cell r="AS93">
            <v>20947</v>
          </cell>
          <cell r="AT93">
            <v>11841</v>
          </cell>
          <cell r="AU93">
            <v>21151</v>
          </cell>
          <cell r="AV93">
            <v>37230.199999999997</v>
          </cell>
          <cell r="AW93">
            <v>10607.4</v>
          </cell>
          <cell r="AX93">
            <v>-5271</v>
          </cell>
          <cell r="AY93">
            <v>-483.51400000000001</v>
          </cell>
          <cell r="AZ93">
            <v>2679</v>
          </cell>
          <cell r="BA93">
            <v>-987.6</v>
          </cell>
          <cell r="BB93">
            <v>-11502</v>
          </cell>
          <cell r="BC93">
            <v>-12886</v>
          </cell>
          <cell r="BD93">
            <v>-44065</v>
          </cell>
          <cell r="BE93">
            <v>900</v>
          </cell>
          <cell r="BF93">
            <v>10300</v>
          </cell>
          <cell r="BG93">
            <v>12100</v>
          </cell>
          <cell r="BH93">
            <v>4100</v>
          </cell>
          <cell r="BI93">
            <v>18700</v>
          </cell>
          <cell r="BJ93">
            <v>2600</v>
          </cell>
          <cell r="BK93">
            <v>15500</v>
          </cell>
          <cell r="BM93">
            <v>12400</v>
          </cell>
          <cell r="BN93">
            <v>3800</v>
          </cell>
          <cell r="BO93">
            <v>3600</v>
          </cell>
          <cell r="BP93">
            <v>16100</v>
          </cell>
          <cell r="BQ93">
            <v>1877.5</v>
          </cell>
          <cell r="BR93">
            <v>-73500</v>
          </cell>
          <cell r="BS93">
            <v>-156175</v>
          </cell>
          <cell r="BT93">
            <v>-155193.75</v>
          </cell>
        </row>
        <row r="94">
          <cell r="A94" t="str">
            <v>Normalized Net Income</v>
          </cell>
          <cell r="F94">
            <v>58233</v>
          </cell>
          <cell r="G94">
            <v>41898</v>
          </cell>
          <cell r="H94">
            <v>68644</v>
          </cell>
          <cell r="I94">
            <v>191481.35850824654</v>
          </cell>
          <cell r="J94">
            <v>476132.3</v>
          </cell>
          <cell r="K94">
            <v>524774</v>
          </cell>
          <cell r="L94">
            <v>431943.3</v>
          </cell>
          <cell r="M94">
            <v>369765.886</v>
          </cell>
          <cell r="N94">
            <v>293706.40000000002</v>
          </cell>
          <cell r="O94">
            <v>219760</v>
          </cell>
          <cell r="P94">
            <v>275280</v>
          </cell>
          <cell r="Q94">
            <v>-14220</v>
          </cell>
          <cell r="R94">
            <v>-611327.51573491783</v>
          </cell>
          <cell r="S94">
            <v>-403329.25614337437</v>
          </cell>
          <cell r="T94">
            <v>-426235.5631408692</v>
          </cell>
          <cell r="U94">
            <v>-458227.23228138866</v>
          </cell>
          <cell r="V94">
            <v>-472397.28301216476</v>
          </cell>
          <cell r="Y94">
            <v>15614</v>
          </cell>
          <cell r="Z94">
            <v>3291</v>
          </cell>
          <cell r="AA94">
            <v>12944</v>
          </cell>
          <cell r="AB94">
            <v>10049</v>
          </cell>
          <cell r="AC94">
            <v>16626</v>
          </cell>
          <cell r="AD94">
            <v>18242</v>
          </cell>
          <cell r="AE94">
            <v>16274</v>
          </cell>
          <cell r="AF94">
            <v>17771</v>
          </cell>
          <cell r="AG94">
            <v>-44187</v>
          </cell>
          <cell r="AH94">
            <v>-56494.566159094538</v>
          </cell>
          <cell r="AI94">
            <v>82758</v>
          </cell>
          <cell r="AJ94">
            <v>122621.92466734111</v>
          </cell>
          <cell r="AK94">
            <v>108995.2</v>
          </cell>
          <cell r="AL94">
            <v>113798.1</v>
          </cell>
          <cell r="AM94">
            <v>118115</v>
          </cell>
          <cell r="AN94">
            <v>135224</v>
          </cell>
          <cell r="AO94">
            <v>135875</v>
          </cell>
          <cell r="AP94">
            <v>135850</v>
          </cell>
          <cell r="AQ94">
            <v>126385</v>
          </cell>
          <cell r="AR94">
            <v>126664</v>
          </cell>
          <cell r="AS94">
            <v>109089.60000000001</v>
          </cell>
          <cell r="AT94">
            <v>103566.5</v>
          </cell>
          <cell r="AU94">
            <v>106557</v>
          </cell>
          <cell r="AV94">
            <v>112730.2</v>
          </cell>
          <cell r="AW94">
            <v>97542</v>
          </cell>
          <cell r="AX94">
            <v>94329</v>
          </cell>
          <cell r="AY94">
            <v>99516</v>
          </cell>
          <cell r="AZ94">
            <v>78379</v>
          </cell>
          <cell r="BA94">
            <v>106512</v>
          </cell>
          <cell r="BB94">
            <v>101098</v>
          </cell>
          <cell r="BC94">
            <v>112814</v>
          </cell>
          <cell r="BD94">
            <v>-26718</v>
          </cell>
          <cell r="BE94">
            <v>70200</v>
          </cell>
          <cell r="BF94">
            <v>68100</v>
          </cell>
          <cell r="BG94">
            <v>61100</v>
          </cell>
          <cell r="BH94">
            <v>19160</v>
          </cell>
          <cell r="BI94">
            <v>66580</v>
          </cell>
          <cell r="BJ94">
            <v>45400</v>
          </cell>
          <cell r="BK94">
            <v>43380</v>
          </cell>
          <cell r="BL94">
            <v>125720</v>
          </cell>
          <cell r="BM94">
            <v>22342.5</v>
          </cell>
          <cell r="BN94">
            <v>17800</v>
          </cell>
          <cell r="BO94">
            <v>11600</v>
          </cell>
          <cell r="BP94">
            <v>-63812.5</v>
          </cell>
          <cell r="BQ94">
            <v>13660</v>
          </cell>
          <cell r="BR94">
            <v>-151680</v>
          </cell>
          <cell r="BS94">
            <v>-163635</v>
          </cell>
          <cell r="BT94">
            <v>-309672.51573491783</v>
          </cell>
        </row>
        <row r="95">
          <cell r="A95" t="str">
            <v xml:space="preserve"> check</v>
          </cell>
          <cell r="F95">
            <v>66567</v>
          </cell>
          <cell r="G95">
            <v>16870</v>
          </cell>
          <cell r="H95">
            <v>155672</v>
          </cell>
          <cell r="I95">
            <v>97216.397494379024</v>
          </cell>
          <cell r="J95">
            <v>0</v>
          </cell>
          <cell r="K95">
            <v>0</v>
          </cell>
          <cell r="L95">
            <v>0</v>
          </cell>
          <cell r="M95">
            <v>-0.11400000000139698</v>
          </cell>
          <cell r="N95">
            <v>0.40000000002328306</v>
          </cell>
          <cell r="O95">
            <v>26800</v>
          </cell>
          <cell r="P95">
            <v>31000</v>
          </cell>
          <cell r="Q95">
            <v>15400</v>
          </cell>
          <cell r="R95">
            <v>-382168.75</v>
          </cell>
          <cell r="S95">
            <v>0</v>
          </cell>
          <cell r="T95">
            <v>0</v>
          </cell>
          <cell r="U95">
            <v>0</v>
          </cell>
          <cell r="V95">
            <v>0</v>
          </cell>
          <cell r="Y95">
            <v>-407.9521566570038</v>
          </cell>
          <cell r="Z95">
            <v>4083.6167022009613</v>
          </cell>
          <cell r="AA95">
            <v>16117.009197362815</v>
          </cell>
          <cell r="AB95">
            <v>-2922.6737429067725</v>
          </cell>
          <cell r="AC95">
            <v>34887</v>
          </cell>
          <cell r="AD95">
            <v>35603</v>
          </cell>
          <cell r="AE95">
            <v>58579</v>
          </cell>
          <cell r="AF95">
            <v>26872</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900</v>
          </cell>
          <cell r="BF95">
            <v>10300</v>
          </cell>
          <cell r="BG95">
            <v>12100</v>
          </cell>
          <cell r="BH95">
            <v>4100</v>
          </cell>
          <cell r="BI95">
            <v>18700</v>
          </cell>
          <cell r="BJ95">
            <v>2600</v>
          </cell>
          <cell r="BK95">
            <v>15500</v>
          </cell>
          <cell r="BL95">
            <v>0</v>
          </cell>
          <cell r="BM95">
            <v>6562.5</v>
          </cell>
          <cell r="BN95">
            <v>460</v>
          </cell>
          <cell r="BO95">
            <v>-960</v>
          </cell>
          <cell r="BP95">
            <v>11487.5</v>
          </cell>
          <cell r="BQ95">
            <v>2700</v>
          </cell>
          <cell r="BR95">
            <v>-73500</v>
          </cell>
          <cell r="BS95">
            <v>-156175</v>
          </cell>
          <cell r="BT95">
            <v>-155193.74999999997</v>
          </cell>
        </row>
        <row r="96">
          <cell r="A96" t="str">
            <v>EPS diluted (GAAP)</v>
          </cell>
          <cell r="P96">
            <v>2.4325006308352259</v>
          </cell>
          <cell r="Q96">
            <v>-0.39324677479570253</v>
          </cell>
          <cell r="R96">
            <v>-2.2672893465214319</v>
          </cell>
          <cell r="S96">
            <v>-4.2474116883273805</v>
          </cell>
          <cell r="T96">
            <v>-4.6778681947079965</v>
          </cell>
          <cell r="BM96">
            <v>0.1601468012344649</v>
          </cell>
          <cell r="BN96">
            <v>0.13937282229965156</v>
          </cell>
          <cell r="BO96">
            <v>7.9661438884739852E-2</v>
          </cell>
          <cell r="BP96">
            <v>-0.77159213473823951</v>
          </cell>
          <cell r="BQ96">
            <v>0.10890121718969945</v>
          </cell>
          <cell r="BR96">
            <v>-0.76310395314787705</v>
          </cell>
          <cell r="BS96">
            <v>-7.2745002437835202E-2</v>
          </cell>
          <cell r="BT96">
            <v>-1.5495388566308343</v>
          </cell>
        </row>
        <row r="99">
          <cell r="F99" t="str">
            <v>2003-FY</v>
          </cell>
          <cell r="G99" t="str">
            <v>2004-FY</v>
          </cell>
          <cell r="H99" t="str">
            <v>2005-FY</v>
          </cell>
          <cell r="I99" t="str">
            <v>2006-FY</v>
          </cell>
          <cell r="J99" t="str">
            <v>2007-FY</v>
          </cell>
          <cell r="K99" t="str">
            <v>2008-FY</v>
          </cell>
          <cell r="L99" t="str">
            <v>2009-FY</v>
          </cell>
          <cell r="M99" t="str">
            <v>2010-FY</v>
          </cell>
          <cell r="N99" t="str">
            <v>2011-FY</v>
          </cell>
          <cell r="O99" t="str">
            <v>2012-FY</v>
          </cell>
          <cell r="P99" t="str">
            <v>2013-FY</v>
          </cell>
          <cell r="Q99" t="str">
            <v>2014-FY</v>
          </cell>
          <cell r="R99" t="str">
            <v>2015-FY</v>
          </cell>
          <cell r="S99" t="str">
            <v>2016-FY</v>
          </cell>
          <cell r="T99" t="str">
            <v>2017-FY</v>
          </cell>
          <cell r="U99" t="str">
            <v>2018-FY</v>
          </cell>
          <cell r="V99" t="str">
            <v>2019-FY</v>
          </cell>
          <cell r="Y99" t="str">
            <v>2004-Q1</v>
          </cell>
          <cell r="Z99" t="str">
            <v>2004-Q2</v>
          </cell>
          <cell r="AA99" t="str">
            <v>2004-Q3</v>
          </cell>
          <cell r="AB99" t="str">
            <v>2004-Q4</v>
          </cell>
          <cell r="AC99" t="str">
            <v>2005-Q1</v>
          </cell>
          <cell r="AD99" t="str">
            <v>2005-Q2</v>
          </cell>
          <cell r="AE99" t="str">
            <v>2005-Q3</v>
          </cell>
          <cell r="AF99" t="str">
            <v>2005-Q4</v>
          </cell>
          <cell r="AG99" t="str">
            <v>2006-Q1</v>
          </cell>
          <cell r="AH99" t="str">
            <v>2006-Q2</v>
          </cell>
          <cell r="AI99" t="str">
            <v>2006-Q3</v>
          </cell>
          <cell r="AJ99" t="str">
            <v>2006-Q4</v>
          </cell>
          <cell r="AK99" t="str">
            <v>2007-Q1</v>
          </cell>
          <cell r="AL99" t="str">
            <v>2007-Q2</v>
          </cell>
          <cell r="AM99" t="str">
            <v>2007-Q3</v>
          </cell>
          <cell r="AN99" t="str">
            <v>2007-Q4</v>
          </cell>
          <cell r="AO99" t="str">
            <v>2008-Q1</v>
          </cell>
          <cell r="AP99" t="str">
            <v>2008-Q2</v>
          </cell>
          <cell r="AQ99" t="str">
            <v>2008-Q3</v>
          </cell>
          <cell r="AR99" t="str">
            <v>2008-Q4</v>
          </cell>
          <cell r="AS99" t="str">
            <v>2009-Q1</v>
          </cell>
          <cell r="AT99" t="str">
            <v>2009-Q2</v>
          </cell>
          <cell r="AU99" t="str">
            <v>2009-Q3</v>
          </cell>
          <cell r="AV99" t="str">
            <v>2009-Q4</v>
          </cell>
          <cell r="AW99" t="str">
            <v>2010-Q1</v>
          </cell>
          <cell r="AX99" t="str">
            <v>2010-Q2</v>
          </cell>
          <cell r="AY99" t="str">
            <v>2010-Q3</v>
          </cell>
          <cell r="AZ99" t="str">
            <v>2010-Q4</v>
          </cell>
          <cell r="BA99" t="str">
            <v>2011-Q1</v>
          </cell>
          <cell r="BB99" t="str">
            <v>2011-Q2</v>
          </cell>
          <cell r="BC99" t="str">
            <v>2011-Q3</v>
          </cell>
          <cell r="BD99" t="str">
            <v>2011-Q4</v>
          </cell>
          <cell r="BE99" t="str">
            <v>2012-Q1</v>
          </cell>
          <cell r="BF99" t="str">
            <v>2012-Q2</v>
          </cell>
          <cell r="BG99" t="str">
            <v>2012-Q3</v>
          </cell>
          <cell r="BH99" t="str">
            <v>2012-Q4</v>
          </cell>
          <cell r="BI99" t="str">
            <v>2013-Q1</v>
          </cell>
          <cell r="BJ99" t="str">
            <v>2013-Q2</v>
          </cell>
          <cell r="BK99" t="str">
            <v>2013-Q3</v>
          </cell>
          <cell r="BL99" t="str">
            <v>2013-Q4</v>
          </cell>
          <cell r="BM99" t="str">
            <v>2014-Q1</v>
          </cell>
          <cell r="BN99" t="str">
            <v>2014-Q2</v>
          </cell>
          <cell r="BO99" t="str">
            <v>2014-Q3</v>
          </cell>
          <cell r="BP99" t="str">
            <v>2014-Q4</v>
          </cell>
          <cell r="BQ99" t="str">
            <v>2015-Q1</v>
          </cell>
          <cell r="BR99" t="str">
            <v>2015-Q2</v>
          </cell>
          <cell r="BS99" t="str">
            <v>2015-Q3</v>
          </cell>
          <cell r="BT99" t="str">
            <v>2015-Q4</v>
          </cell>
        </row>
        <row r="104">
          <cell r="AV104">
            <v>0</v>
          </cell>
        </row>
      </sheetData>
      <sheetData sheetId="5">
        <row r="1">
          <cell r="A1" t="str">
            <v>Windstream Communications</v>
          </cell>
          <cell r="BT1" t="str">
            <v>ElementName</v>
          </cell>
          <cell r="BU1" t="str">
            <v>ScaleOverride</v>
          </cell>
          <cell r="BV1" t="str">
            <v>UnitOverride</v>
          </cell>
          <cell r="BW1" t="str">
            <v>ReverseSign</v>
          </cell>
          <cell r="BX1" t="str">
            <v>IsDrivingAssumption</v>
          </cell>
          <cell r="BY1" t="str">
            <v>SegmentID</v>
          </cell>
        </row>
        <row r="2">
          <cell r="A2" t="str">
            <v>Morgan Stanley</v>
          </cell>
        </row>
        <row r="3">
          <cell r="A3" t="str">
            <v>Simon Flannery (212) 761-6432</v>
          </cell>
        </row>
        <row r="5">
          <cell r="A5" t="str">
            <v>Cash Flow Statement</v>
          </cell>
          <cell r="D5">
            <v>2002</v>
          </cell>
          <cell r="E5">
            <v>2003</v>
          </cell>
          <cell r="F5">
            <v>2004</v>
          </cell>
          <cell r="G5">
            <v>2005</v>
          </cell>
          <cell r="H5">
            <v>2006</v>
          </cell>
          <cell r="I5">
            <v>2007</v>
          </cell>
          <cell r="J5">
            <v>2008</v>
          </cell>
          <cell r="K5">
            <v>2009</v>
          </cell>
          <cell r="L5">
            <v>2010</v>
          </cell>
          <cell r="M5">
            <v>2011</v>
          </cell>
          <cell r="N5">
            <v>2012</v>
          </cell>
          <cell r="O5">
            <v>2013</v>
          </cell>
          <cell r="P5">
            <v>2014</v>
          </cell>
          <cell r="Q5">
            <v>2015</v>
          </cell>
          <cell r="R5">
            <v>2016</v>
          </cell>
          <cell r="S5">
            <v>2017</v>
          </cell>
          <cell r="T5">
            <v>2018</v>
          </cell>
          <cell r="U5">
            <v>2019</v>
          </cell>
          <cell r="W5" t="str">
            <v>1Q04</v>
          </cell>
          <cell r="X5" t="str">
            <v>2Q04</v>
          </cell>
          <cell r="Y5" t="str">
            <v>3Q04</v>
          </cell>
          <cell r="Z5" t="str">
            <v>4Q04</v>
          </cell>
          <cell r="AA5" t="str">
            <v>1Q05</v>
          </cell>
          <cell r="AB5" t="str">
            <v>2Q05</v>
          </cell>
          <cell r="AC5" t="str">
            <v>3Q05</v>
          </cell>
          <cell r="AD5" t="str">
            <v>4Q05</v>
          </cell>
          <cell r="AE5" t="str">
            <v>1Q06</v>
          </cell>
          <cell r="AF5" t="str">
            <v>2Q06</v>
          </cell>
          <cell r="AG5" t="str">
            <v>3Q06</v>
          </cell>
          <cell r="AH5" t="str">
            <v>4Q06</v>
          </cell>
          <cell r="AI5" t="str">
            <v>1Q07</v>
          </cell>
          <cell r="AJ5" t="str">
            <v>2Q07</v>
          </cell>
          <cell r="AK5" t="str">
            <v>3Q07</v>
          </cell>
          <cell r="AL5" t="str">
            <v>4Q07</v>
          </cell>
          <cell r="AM5" t="str">
            <v>1Q08</v>
          </cell>
          <cell r="AN5" t="str">
            <v>2Q08</v>
          </cell>
          <cell r="AO5" t="str">
            <v>3Q08</v>
          </cell>
          <cell r="AP5" t="str">
            <v>4Q08</v>
          </cell>
          <cell r="AQ5" t="str">
            <v>1Q09</v>
          </cell>
          <cell r="AR5" t="str">
            <v>2Q09</v>
          </cell>
          <cell r="AS5" t="str">
            <v>3Q09</v>
          </cell>
          <cell r="AT5" t="str">
            <v>4Q09</v>
          </cell>
          <cell r="AU5" t="str">
            <v>1Q10</v>
          </cell>
          <cell r="AV5" t="str">
            <v>2Q10</v>
          </cell>
          <cell r="AW5" t="str">
            <v>3Q10</v>
          </cell>
          <cell r="AX5" t="str">
            <v>4Q10</v>
          </cell>
          <cell r="AY5" t="str">
            <v>1Q11</v>
          </cell>
          <cell r="AZ5" t="str">
            <v>2Q11</v>
          </cell>
          <cell r="BA5" t="str">
            <v>3Q11</v>
          </cell>
          <cell r="BB5" t="str">
            <v>4Q11</v>
          </cell>
          <cell r="BC5" t="str">
            <v>1Q12</v>
          </cell>
          <cell r="BD5" t="str">
            <v>2Q12</v>
          </cell>
          <cell r="BE5" t="str">
            <v>3Q12</v>
          </cell>
          <cell r="BF5" t="str">
            <v>4Q12</v>
          </cell>
          <cell r="BG5" t="str">
            <v>1Q13</v>
          </cell>
          <cell r="BH5" t="str">
            <v>2Q13</v>
          </cell>
          <cell r="BI5" t="str">
            <v>3Q13</v>
          </cell>
          <cell r="BJ5" t="str">
            <v>4Q13</v>
          </cell>
          <cell r="BK5" t="str">
            <v>1Q14</v>
          </cell>
          <cell r="BL5" t="str">
            <v>2Q14</v>
          </cell>
          <cell r="BM5" t="str">
            <v>3Q14</v>
          </cell>
          <cell r="BN5" t="str">
            <v>4Q14</v>
          </cell>
          <cell r="BO5" t="str">
            <v>1Q15</v>
          </cell>
          <cell r="BP5" t="str">
            <v>2Q15</v>
          </cell>
          <cell r="BQ5" t="str">
            <v>3Q15</v>
          </cell>
          <cell r="BR5" t="str">
            <v>4Q15E</v>
          </cell>
        </row>
        <row r="6">
          <cell r="A6" t="str">
            <v>EPS (Proforma)</v>
          </cell>
          <cell r="I6">
            <v>1.0072356964787699</v>
          </cell>
          <cell r="J6">
            <v>6.6793466270683064</v>
          </cell>
          <cell r="K6">
            <v>5.497793381417055</v>
          </cell>
          <cell r="L6">
            <v>4.3993691714412932</v>
          </cell>
          <cell r="M6">
            <v>3.3216832383016821</v>
          </cell>
          <cell r="N6">
            <v>1.9683937603604369</v>
          </cell>
          <cell r="O6">
            <v>2.465606863487257</v>
          </cell>
          <cell r="P6">
            <v>-0.29812539316418535</v>
          </cell>
          <cell r="Q6">
            <v>-2.300829053486483</v>
          </cell>
          <cell r="R6">
            <v>-4.2474116883273805</v>
          </cell>
          <cell r="S6">
            <v>-4.6778681947079965</v>
          </cell>
          <cell r="T6">
            <v>-5.0752577459528876</v>
          </cell>
          <cell r="U6">
            <v>-5.2812976327107606</v>
          </cell>
          <cell r="AG6">
            <v>0.17434151623484007</v>
          </cell>
          <cell r="AH6">
            <v>0.2586414778893506</v>
          </cell>
          <cell r="AI6">
            <v>0.22965697429414242</v>
          </cell>
          <cell r="AJ6">
            <v>0.23967586352148273</v>
          </cell>
          <cell r="AK6">
            <v>0.24871551905664349</v>
          </cell>
          <cell r="AL6">
            <v>0.28918733960650128</v>
          </cell>
          <cell r="AM6">
            <v>0.30160932297447279</v>
          </cell>
          <cell r="AN6">
            <v>0.30693628558517849</v>
          </cell>
          <cell r="AO6">
            <v>0.28907822506861847</v>
          </cell>
          <cell r="AP6">
            <v>0.28978265843056511</v>
          </cell>
          <cell r="AQ6">
            <v>1.2979165828249815</v>
          </cell>
          <cell r="AR6">
            <v>1.2322043327241408</v>
          </cell>
          <cell r="AS6">
            <v>1.2677844388106798</v>
          </cell>
          <cell r="AT6">
            <v>1.3412313911241467</v>
          </cell>
          <cell r="AU6">
            <v>1.160526570103056</v>
          </cell>
          <cell r="AV6">
            <v>1.1222992232192406</v>
          </cell>
          <cell r="AW6">
            <v>1.1840126525022627</v>
          </cell>
          <cell r="AX6">
            <v>0.93253072561673356</v>
          </cell>
          <cell r="AY6">
            <v>1.2712790928983491</v>
          </cell>
          <cell r="AZ6">
            <v>1.1893882352941176</v>
          </cell>
          <cell r="BA6">
            <v>1.3197192435172547</v>
          </cell>
          <cell r="BB6">
            <v>-0.31267407840842598</v>
          </cell>
          <cell r="BC6">
            <v>0.70798569725864113</v>
          </cell>
          <cell r="BD6">
            <v>0.58959537572254328</v>
          </cell>
          <cell r="BE6">
            <v>0.49991498044550242</v>
          </cell>
          <cell r="BF6">
            <v>0.15363427697016066</v>
          </cell>
          <cell r="BG6">
            <v>0.48654416123295796</v>
          </cell>
          <cell r="BH6">
            <v>0.43323492197385072</v>
          </cell>
          <cell r="BI6">
            <v>0.28140297754226595</v>
          </cell>
          <cell r="BJ6">
            <v>1.2653191310911682</v>
          </cell>
          <cell r="BK6">
            <v>0.15794478271749102</v>
          </cell>
          <cell r="BL6">
            <v>0.17262319561971129</v>
          </cell>
          <cell r="BM6">
            <v>0.12506845904904157</v>
          </cell>
          <cell r="BN6">
            <v>-0.75691070531077231</v>
          </cell>
          <cell r="BO6">
            <v>0.10873015873015873</v>
          </cell>
          <cell r="BP6">
            <v>-0.77868525896414342</v>
          </cell>
          <cell r="BQ6">
            <v>-7.5125881168177241E-2</v>
          </cell>
          <cell r="BR6">
            <v>-1.5495388566308343</v>
          </cell>
        </row>
        <row r="7">
          <cell r="A7" t="str">
            <v>y/y growth %</v>
          </cell>
          <cell r="I7">
            <v>0</v>
          </cell>
          <cell r="J7">
            <v>5.6313640892780761</v>
          </cell>
          <cell r="K7" t="str">
            <v>na</v>
          </cell>
          <cell r="L7">
            <v>-0.199793650610537</v>
          </cell>
          <cell r="M7">
            <v>-0.24496374165083912</v>
          </cell>
          <cell r="N7">
            <v>-0.40741075558822948</v>
          </cell>
          <cell r="O7">
            <v>0.25259839425409192</v>
          </cell>
          <cell r="P7">
            <v>-1.1209135963965191</v>
          </cell>
          <cell r="Q7">
            <v>6.717655410249999</v>
          </cell>
          <cell r="R7">
            <v>0.84603531578811109</v>
          </cell>
          <cell r="S7">
            <v>0.10134560479823151</v>
          </cell>
          <cell r="T7">
            <v>8.49509936373265E-2</v>
          </cell>
          <cell r="U7">
            <v>4.0596930652866403E-2</v>
          </cell>
          <cell r="AG7">
            <v>0</v>
          </cell>
          <cell r="AH7">
            <v>0</v>
          </cell>
          <cell r="AI7">
            <v>0</v>
          </cell>
          <cell r="AJ7">
            <v>0</v>
          </cell>
          <cell r="AK7">
            <v>0.42659949522075258</v>
          </cell>
          <cell r="AL7">
            <v>0.11810117219566196</v>
          </cell>
          <cell r="AM7">
            <v>0.31330356459444819</v>
          </cell>
          <cell r="AN7">
            <v>0.28063076972148693</v>
          </cell>
          <cell r="AO7">
            <v>0.16228463010698824</v>
          </cell>
          <cell r="AP7">
            <v>2.0585922774969401E-3</v>
          </cell>
          <cell r="AQ7" t="str">
            <v>na</v>
          </cell>
          <cell r="AR7" t="str">
            <v>na</v>
          </cell>
          <cell r="AS7" t="str">
            <v>na</v>
          </cell>
          <cell r="AT7" t="str">
            <v>na</v>
          </cell>
          <cell r="AU7">
            <v>-0.10585427025124305</v>
          </cell>
          <cell r="AV7">
            <v>-8.9193899571772706E-2</v>
          </cell>
          <cell r="AW7">
            <v>-6.6077310735099593E-2</v>
          </cell>
          <cell r="AX7">
            <v>-0.30472047419413784</v>
          </cell>
          <cell r="AY7">
            <v>9.5432991926637234E-2</v>
          </cell>
          <cell r="AZ7">
            <v>5.9778186322215099E-2</v>
          </cell>
          <cell r="BA7">
            <v>0.11461582841044216</v>
          </cell>
          <cell r="BB7">
            <v>-1.3352962747706114</v>
          </cell>
          <cell r="BC7">
            <v>-0.44309184252804246</v>
          </cell>
          <cell r="BD7">
            <v>-0.50428686090312191</v>
          </cell>
          <cell r="BE7">
            <v>-0.62119596050357484</v>
          </cell>
          <cell r="BF7">
            <v>-1.4913559760124346</v>
          </cell>
          <cell r="BG7">
            <v>-0.31277684970631014</v>
          </cell>
          <cell r="BH7">
            <v>-0.26519959312278252</v>
          </cell>
          <cell r="BI7">
            <v>-0.43709832961698425</v>
          </cell>
          <cell r="BJ7">
            <v>7.2359168542637295</v>
          </cell>
          <cell r="BK7">
            <v>-0.67537420998488384</v>
          </cell>
          <cell r="BL7">
            <v>-0.60154828970567031</v>
          </cell>
          <cell r="BM7">
            <v>-0.55555388879900303</v>
          </cell>
          <cell r="BN7">
            <v>-1.5981974718567942</v>
          </cell>
          <cell r="BO7">
            <v>-0.31159385666673367</v>
          </cell>
          <cell r="BP7">
            <v>-5.5108958629151221</v>
          </cell>
          <cell r="BQ7">
            <v>-1.600678074547309</v>
          </cell>
          <cell r="BR7">
            <v>1.0471884540127161</v>
          </cell>
        </row>
        <row r="8">
          <cell r="A8" t="str">
            <v>Operating activities</v>
          </cell>
          <cell r="K8" t="str">
            <v>NOT Pf</v>
          </cell>
          <cell r="L8" t="str">
            <v>NOT Pf</v>
          </cell>
          <cell r="M8" t="str">
            <v>NOT Pf</v>
          </cell>
          <cell r="AU8" t="str">
            <v>NOT PROFORMA FOR PAETEC</v>
          </cell>
          <cell r="AY8" t="str">
            <v>NOT PROFORMA FOR PAETEC</v>
          </cell>
        </row>
        <row r="9">
          <cell r="A9" t="str">
            <v>Net income (loss)</v>
          </cell>
          <cell r="D9">
            <v>16302</v>
          </cell>
          <cell r="E9">
            <v>58233</v>
          </cell>
          <cell r="F9">
            <v>-27755</v>
          </cell>
          <cell r="G9">
            <v>35347</v>
          </cell>
          <cell r="H9">
            <v>545295</v>
          </cell>
          <cell r="I9">
            <v>917100</v>
          </cell>
          <cell r="J9">
            <v>412700</v>
          </cell>
          <cell r="K9">
            <v>334500</v>
          </cell>
          <cell r="L9">
            <v>310700</v>
          </cell>
          <cell r="M9">
            <v>169500</v>
          </cell>
          <cell r="N9">
            <v>175200</v>
          </cell>
          <cell r="O9">
            <v>241000</v>
          </cell>
          <cell r="P9">
            <v>-39500</v>
          </cell>
          <cell r="Q9">
            <v>-267578.76573491783</v>
          </cell>
          <cell r="R9">
            <v>-403329.25614337437</v>
          </cell>
          <cell r="S9">
            <v>-426235.5631408692</v>
          </cell>
          <cell r="T9">
            <v>-458227.23228138866</v>
          </cell>
          <cell r="U9">
            <v>-472397.28301216476</v>
          </cell>
          <cell r="W9">
            <v>15614</v>
          </cell>
          <cell r="X9">
            <v>3291</v>
          </cell>
          <cell r="Y9">
            <v>6266</v>
          </cell>
          <cell r="Z9">
            <v>-52926</v>
          </cell>
          <cell r="AA9">
            <v>-12636</v>
          </cell>
          <cell r="AB9">
            <v>18242</v>
          </cell>
          <cell r="AC9">
            <v>13321</v>
          </cell>
          <cell r="AD9">
            <v>16420</v>
          </cell>
          <cell r="AE9">
            <v>16001</v>
          </cell>
          <cell r="AF9">
            <v>15181</v>
          </cell>
          <cell r="AG9">
            <v>396394</v>
          </cell>
          <cell r="AH9">
            <v>117719</v>
          </cell>
          <cell r="AI9">
            <v>99900</v>
          </cell>
          <cell r="AJ9">
            <v>115900</v>
          </cell>
          <cell r="AK9">
            <v>117700</v>
          </cell>
          <cell r="AL9">
            <v>583600</v>
          </cell>
          <cell r="AM9">
            <v>123700</v>
          </cell>
          <cell r="AN9">
            <v>102000</v>
          </cell>
          <cell r="AO9">
            <v>105900</v>
          </cell>
          <cell r="AP9">
            <v>81100</v>
          </cell>
          <cell r="AQ9">
            <v>88200</v>
          </cell>
          <cell r="AR9">
            <v>90800</v>
          </cell>
          <cell r="AS9">
            <v>80000</v>
          </cell>
          <cell r="AT9">
            <v>75500</v>
          </cell>
          <cell r="AU9">
            <v>74100</v>
          </cell>
          <cell r="AV9">
            <v>79000</v>
          </cell>
          <cell r="AW9">
            <v>85200</v>
          </cell>
          <cell r="AX9">
            <v>72400</v>
          </cell>
          <cell r="AY9">
            <v>29400</v>
          </cell>
          <cell r="AZ9">
            <v>96700</v>
          </cell>
          <cell r="BA9">
            <v>78100</v>
          </cell>
          <cell r="BB9">
            <v>-34700</v>
          </cell>
          <cell r="BC9">
            <v>60400</v>
          </cell>
          <cell r="BD9">
            <v>51000</v>
          </cell>
          <cell r="BE9">
            <v>53700</v>
          </cell>
          <cell r="BF9">
            <v>10100</v>
          </cell>
          <cell r="BG9">
            <v>52300</v>
          </cell>
          <cell r="BH9">
            <v>39700</v>
          </cell>
          <cell r="BI9">
            <v>30600</v>
          </cell>
          <cell r="BJ9">
            <v>118400</v>
          </cell>
          <cell r="BK9">
            <v>16000</v>
          </cell>
          <cell r="BL9">
            <v>14000</v>
          </cell>
          <cell r="BM9">
            <v>8000</v>
          </cell>
          <cell r="BN9">
            <v>-77500</v>
          </cell>
          <cell r="BO9">
            <v>5300</v>
          </cell>
          <cell r="BP9">
            <v>-111200</v>
          </cell>
          <cell r="BQ9">
            <v>-7200</v>
          </cell>
          <cell r="BR9">
            <v>-154478.76573491786</v>
          </cell>
          <cell r="BT9" t="str">
            <v>mstag:netIncomeReported</v>
          </cell>
          <cell r="BU9">
            <v>3</v>
          </cell>
          <cell r="BV9" t="str">
            <v>ISO4217:USD</v>
          </cell>
          <cell r="BW9" t="b">
            <v>0</v>
          </cell>
          <cell r="BX9" t="b">
            <v>0</v>
          </cell>
        </row>
        <row r="10">
          <cell r="A10" t="str">
            <v>Depreciation and amortization</v>
          </cell>
          <cell r="D10">
            <v>73273</v>
          </cell>
          <cell r="E10">
            <v>81638</v>
          </cell>
          <cell r="F10">
            <v>86451</v>
          </cell>
          <cell r="G10">
            <v>89928</v>
          </cell>
          <cell r="H10">
            <v>449582</v>
          </cell>
          <cell r="I10">
            <v>507500</v>
          </cell>
          <cell r="J10">
            <v>494500</v>
          </cell>
          <cell r="K10">
            <v>537800</v>
          </cell>
          <cell r="L10">
            <v>693600</v>
          </cell>
          <cell r="M10">
            <v>847500</v>
          </cell>
          <cell r="N10">
            <v>1297600</v>
          </cell>
          <cell r="O10">
            <v>1341500</v>
          </cell>
          <cell r="P10">
            <v>1386400</v>
          </cell>
          <cell r="Q10">
            <v>1383438.4229929911</v>
          </cell>
          <cell r="R10">
            <v>1396269.6375361998</v>
          </cell>
          <cell r="S10">
            <v>1382909.6154974971</v>
          </cell>
          <cell r="T10">
            <v>1419414.4050792865</v>
          </cell>
          <cell r="U10">
            <v>1443512.8755962907</v>
          </cell>
          <cell r="W10">
            <v>20827</v>
          </cell>
          <cell r="X10">
            <v>21144</v>
          </cell>
          <cell r="Y10">
            <v>22022</v>
          </cell>
          <cell r="Z10">
            <v>22458</v>
          </cell>
          <cell r="AA10">
            <v>22235</v>
          </cell>
          <cell r="AB10">
            <v>22489</v>
          </cell>
          <cell r="AC10">
            <v>22460</v>
          </cell>
          <cell r="AD10">
            <v>22744</v>
          </cell>
          <cell r="AE10">
            <v>22010</v>
          </cell>
          <cell r="AF10">
            <v>22448</v>
          </cell>
          <cell r="AG10">
            <v>281200</v>
          </cell>
          <cell r="AH10">
            <v>123924</v>
          </cell>
          <cell r="AI10">
            <v>125100</v>
          </cell>
          <cell r="AJ10">
            <v>126900</v>
          </cell>
          <cell r="AK10">
            <v>132700</v>
          </cell>
          <cell r="AL10">
            <v>122800</v>
          </cell>
          <cell r="AM10">
            <v>122800</v>
          </cell>
          <cell r="AN10">
            <v>124300</v>
          </cell>
          <cell r="AO10">
            <v>123800</v>
          </cell>
          <cell r="AP10">
            <v>123600</v>
          </cell>
          <cell r="AQ10">
            <v>132000</v>
          </cell>
          <cell r="AR10">
            <v>133300</v>
          </cell>
          <cell r="AS10">
            <v>133800</v>
          </cell>
          <cell r="AT10">
            <v>138700</v>
          </cell>
          <cell r="AU10">
            <v>155400</v>
          </cell>
          <cell r="AV10">
            <v>167700</v>
          </cell>
          <cell r="AW10">
            <v>179900</v>
          </cell>
          <cell r="AX10">
            <v>190600</v>
          </cell>
          <cell r="AY10">
            <v>205200</v>
          </cell>
          <cell r="AZ10">
            <v>196800</v>
          </cell>
          <cell r="BA10">
            <v>203800</v>
          </cell>
          <cell r="BB10">
            <v>241700</v>
          </cell>
          <cell r="BC10">
            <v>312100</v>
          </cell>
          <cell r="BD10">
            <v>320000</v>
          </cell>
          <cell r="BE10">
            <v>326400</v>
          </cell>
          <cell r="BF10">
            <v>339100</v>
          </cell>
          <cell r="BG10">
            <v>329500</v>
          </cell>
          <cell r="BH10">
            <v>332400</v>
          </cell>
          <cell r="BI10">
            <v>338400</v>
          </cell>
          <cell r="BJ10">
            <v>341200</v>
          </cell>
          <cell r="BK10">
            <v>338900</v>
          </cell>
          <cell r="BL10">
            <v>344000</v>
          </cell>
          <cell r="BM10">
            <v>348500</v>
          </cell>
          <cell r="BN10">
            <v>355000</v>
          </cell>
          <cell r="BO10">
            <v>340700</v>
          </cell>
          <cell r="BP10">
            <v>341800</v>
          </cell>
          <cell r="BQ10">
            <v>350500</v>
          </cell>
          <cell r="BR10">
            <v>350438.42299299105</v>
          </cell>
          <cell r="BT10" t="str">
            <v>mstag:depreciation</v>
          </cell>
          <cell r="BU10">
            <v>3</v>
          </cell>
          <cell r="BV10" t="str">
            <v>ISO4217:USD</v>
          </cell>
          <cell r="BW10" t="b">
            <v>0</v>
          </cell>
          <cell r="BX10" t="b">
            <v>0</v>
          </cell>
        </row>
        <row r="11">
          <cell r="A11" t="str">
            <v>Extraordinary Item</v>
          </cell>
          <cell r="G11">
            <v>0</v>
          </cell>
          <cell r="H11">
            <v>-99703</v>
          </cell>
          <cell r="I11">
            <v>0</v>
          </cell>
          <cell r="J11">
            <v>0</v>
          </cell>
          <cell r="K11">
            <v>0</v>
          </cell>
          <cell r="L11">
            <v>0</v>
          </cell>
          <cell r="M11">
            <v>0</v>
          </cell>
          <cell r="N11">
            <v>0</v>
          </cell>
          <cell r="Q11">
            <v>0</v>
          </cell>
          <cell r="AG11">
            <v>-99704</v>
          </cell>
          <cell r="AH11">
            <v>1</v>
          </cell>
          <cell r="BT11" t="str">
            <v>mstag:incomeLossFromExtraordinaryitemsCashFlowStatement</v>
          </cell>
          <cell r="BU11">
            <v>3</v>
          </cell>
          <cell r="BV11" t="str">
            <v>ISO4217:USD</v>
          </cell>
          <cell r="BW11" t="b">
            <v>1</v>
          </cell>
          <cell r="BX11" t="b">
            <v>0</v>
          </cell>
        </row>
        <row r="12">
          <cell r="A12" t="str">
            <v>(Gain)/Loss on Sale of Assets</v>
          </cell>
          <cell r="G12">
            <v>0</v>
          </cell>
          <cell r="H12">
            <v>0</v>
          </cell>
          <cell r="I12">
            <v>-451300</v>
          </cell>
          <cell r="J12">
            <v>21300</v>
          </cell>
          <cell r="K12">
            <v>0</v>
          </cell>
          <cell r="L12">
            <v>0</v>
          </cell>
          <cell r="M12">
            <v>0</v>
          </cell>
          <cell r="N12">
            <v>0</v>
          </cell>
          <cell r="Q12">
            <v>0</v>
          </cell>
          <cell r="AL12">
            <v>-451300</v>
          </cell>
          <cell r="AN12">
            <v>16400</v>
          </cell>
          <cell r="AO12">
            <v>0</v>
          </cell>
          <cell r="AP12">
            <v>4900</v>
          </cell>
          <cell r="BT12" t="str">
            <v>mstag:gainsLossesFromSaleOfOperatingAssetsOneTime</v>
          </cell>
          <cell r="BU12">
            <v>3</v>
          </cell>
          <cell r="BV12" t="str">
            <v>ISO4217:USD</v>
          </cell>
          <cell r="BW12" t="b">
            <v>1</v>
          </cell>
          <cell r="BX12" t="b">
            <v>0</v>
          </cell>
        </row>
        <row r="13">
          <cell r="A13" t="str">
            <v>Loss on debt extinguishment</v>
          </cell>
          <cell r="D13" t="str">
            <v/>
          </cell>
          <cell r="E13" t="str">
            <v/>
          </cell>
          <cell r="F13">
            <v>62975</v>
          </cell>
          <cell r="G13">
            <v>29262</v>
          </cell>
          <cell r="H13">
            <v>0</v>
          </cell>
          <cell r="I13">
            <v>0</v>
          </cell>
          <cell r="J13">
            <v>0</v>
          </cell>
          <cell r="K13">
            <v>0</v>
          </cell>
          <cell r="L13">
            <v>0</v>
          </cell>
          <cell r="M13">
            <v>0</v>
          </cell>
          <cell r="N13">
            <v>0</v>
          </cell>
          <cell r="Q13">
            <v>0</v>
          </cell>
          <cell r="X13" t="str">
            <v/>
          </cell>
          <cell r="Y13" t="str">
            <v/>
          </cell>
          <cell r="Z13">
            <v>62975</v>
          </cell>
          <cell r="AA13">
            <v>29262</v>
          </cell>
          <cell r="BT13" t="str">
            <v>mstag:gainLossOnRedemptionAndExtinguishmentOfDebtCashFlowStatement</v>
          </cell>
          <cell r="BU13">
            <v>3</v>
          </cell>
          <cell r="BV13" t="str">
            <v>ISO4217:USD</v>
          </cell>
          <cell r="BW13" t="b">
            <v>1</v>
          </cell>
          <cell r="BX13" t="b">
            <v>0</v>
          </cell>
        </row>
        <row r="14">
          <cell r="A14" t="str">
            <v>Deferred income taxes</v>
          </cell>
          <cell r="D14">
            <v>93</v>
          </cell>
          <cell r="E14">
            <v>450</v>
          </cell>
          <cell r="F14">
            <v>203</v>
          </cell>
          <cell r="G14">
            <v>14174</v>
          </cell>
          <cell r="H14">
            <v>30192</v>
          </cell>
          <cell r="I14">
            <v>13000</v>
          </cell>
          <cell r="J14">
            <v>110000</v>
          </cell>
          <cell r="K14">
            <v>96800</v>
          </cell>
          <cell r="L14">
            <v>120400</v>
          </cell>
          <cell r="M14">
            <v>173800</v>
          </cell>
          <cell r="N14">
            <v>79000</v>
          </cell>
          <cell r="O14">
            <v>134800</v>
          </cell>
          <cell r="P14">
            <v>-13400</v>
          </cell>
          <cell r="Q14">
            <v>-120614.73275</v>
          </cell>
          <cell r="R14">
            <v>27087.452367500024</v>
          </cell>
          <cell r="S14">
            <v>13024.731427050021</v>
          </cell>
          <cell r="T14">
            <v>-515.82752598819206</v>
          </cell>
          <cell r="U14">
            <v>0</v>
          </cell>
          <cell r="W14">
            <v>123</v>
          </cell>
          <cell r="X14">
            <v>-4807</v>
          </cell>
          <cell r="Y14">
            <v>-2072</v>
          </cell>
          <cell r="Z14">
            <v>6959</v>
          </cell>
          <cell r="AA14">
            <v>-5437</v>
          </cell>
          <cell r="AB14">
            <v>7771</v>
          </cell>
          <cell r="AC14">
            <v>6518</v>
          </cell>
          <cell r="AD14">
            <v>5322</v>
          </cell>
          <cell r="AE14">
            <v>8619</v>
          </cell>
          <cell r="AF14">
            <v>8096</v>
          </cell>
          <cell r="AG14">
            <v>-2746</v>
          </cell>
          <cell r="AH14">
            <v>16223</v>
          </cell>
          <cell r="AI14">
            <v>-5700</v>
          </cell>
          <cell r="AJ14">
            <v>0</v>
          </cell>
          <cell r="AK14">
            <v>15400</v>
          </cell>
          <cell r="AL14">
            <v>3300</v>
          </cell>
          <cell r="AM14">
            <v>15600</v>
          </cell>
          <cell r="AN14">
            <v>46100</v>
          </cell>
          <cell r="AO14">
            <v>12600</v>
          </cell>
          <cell r="AP14">
            <v>35700</v>
          </cell>
          <cell r="AQ14">
            <v>36400</v>
          </cell>
          <cell r="AR14">
            <v>-9200</v>
          </cell>
          <cell r="AS14">
            <v>65200</v>
          </cell>
          <cell r="AT14">
            <v>4400</v>
          </cell>
          <cell r="AU14">
            <v>7100</v>
          </cell>
          <cell r="AV14">
            <v>-6300</v>
          </cell>
          <cell r="AW14">
            <v>59000</v>
          </cell>
          <cell r="AX14">
            <v>60600</v>
          </cell>
          <cell r="AY14">
            <v>52200</v>
          </cell>
          <cell r="AZ14">
            <v>44300</v>
          </cell>
          <cell r="BA14">
            <v>85400</v>
          </cell>
          <cell r="BB14">
            <v>-8100</v>
          </cell>
          <cell r="BC14">
            <v>35800</v>
          </cell>
          <cell r="BD14">
            <v>28200</v>
          </cell>
          <cell r="BE14">
            <v>27900</v>
          </cell>
          <cell r="BF14">
            <v>-12900</v>
          </cell>
          <cell r="BG14">
            <v>26900</v>
          </cell>
          <cell r="BH14">
            <v>17100</v>
          </cell>
          <cell r="BI14">
            <v>15600</v>
          </cell>
          <cell r="BJ14">
            <v>75200</v>
          </cell>
          <cell r="BK14">
            <v>9300</v>
          </cell>
          <cell r="BL14">
            <v>1200</v>
          </cell>
          <cell r="BM14">
            <v>300</v>
          </cell>
          <cell r="BN14">
            <v>-24200</v>
          </cell>
          <cell r="BO14">
            <v>-33800</v>
          </cell>
          <cell r="BP14">
            <v>-49600</v>
          </cell>
          <cell r="BQ14">
            <v>-19900</v>
          </cell>
          <cell r="BR14">
            <v>-17314.732749999996</v>
          </cell>
          <cell r="BT14" t="str">
            <v>mstag:deferredTax</v>
          </cell>
          <cell r="BU14">
            <v>3</v>
          </cell>
          <cell r="BV14" t="str">
            <v>ISO4217:USD</v>
          </cell>
          <cell r="BW14" t="b">
            <v>0</v>
          </cell>
          <cell r="BX14" t="b">
            <v>0</v>
          </cell>
        </row>
        <row r="15">
          <cell r="A15" t="str">
            <v>Loss (income) from discontinued operations</v>
          </cell>
          <cell r="D15">
            <v>3461</v>
          </cell>
          <cell r="E15">
            <v>-108</v>
          </cell>
          <cell r="F15" t="str">
            <v/>
          </cell>
          <cell r="G15">
            <v>0</v>
          </cell>
          <cell r="H15">
            <v>0</v>
          </cell>
          <cell r="I15">
            <v>0</v>
          </cell>
          <cell r="J15">
            <v>0</v>
          </cell>
          <cell r="K15">
            <v>0</v>
          </cell>
          <cell r="L15">
            <v>0</v>
          </cell>
          <cell r="M15">
            <v>0</v>
          </cell>
          <cell r="N15">
            <v>0</v>
          </cell>
          <cell r="Q15">
            <v>0</v>
          </cell>
        </row>
        <row r="16">
          <cell r="A16" t="str">
            <v>Amortization of debt issuance costs</v>
          </cell>
          <cell r="D16">
            <v>6801</v>
          </cell>
          <cell r="E16">
            <v>8105</v>
          </cell>
          <cell r="F16">
            <v>7399</v>
          </cell>
          <cell r="G16">
            <v>3690</v>
          </cell>
          <cell r="H16">
            <v>0</v>
          </cell>
          <cell r="I16">
            <v>0</v>
          </cell>
          <cell r="J16">
            <v>0</v>
          </cell>
          <cell r="K16">
            <v>0</v>
          </cell>
          <cell r="L16">
            <v>0</v>
          </cell>
          <cell r="M16">
            <v>0</v>
          </cell>
          <cell r="N16">
            <v>0</v>
          </cell>
          <cell r="Q16">
            <v>0</v>
          </cell>
          <cell r="W16">
            <v>2019</v>
          </cell>
          <cell r="X16">
            <v>2065</v>
          </cell>
          <cell r="Y16">
            <v>2108</v>
          </cell>
          <cell r="Z16">
            <v>1207</v>
          </cell>
          <cell r="AA16">
            <v>910</v>
          </cell>
          <cell r="AB16">
            <v>942</v>
          </cell>
          <cell r="AC16">
            <v>921</v>
          </cell>
          <cell r="AD16">
            <v>917</v>
          </cell>
          <cell r="AE16">
            <v>925</v>
          </cell>
          <cell r="AF16">
            <v>938</v>
          </cell>
          <cell r="AG16">
            <v>-1863</v>
          </cell>
          <cell r="BT16" t="str">
            <v>mstag:amortizationOfDiscountPremiumOnDebtCashFlowStatement</v>
          </cell>
          <cell r="BU16">
            <v>3</v>
          </cell>
          <cell r="BV16" t="str">
            <v>ISO4217:USD</v>
          </cell>
          <cell r="BW16" t="b">
            <v>0</v>
          </cell>
          <cell r="BX16" t="b">
            <v>0</v>
          </cell>
        </row>
        <row r="17">
          <cell r="A17" t="str">
            <v>Expense incurred related to cash payment to minority shareholders in connection with reorganization</v>
          </cell>
          <cell r="D17" t="str">
            <v/>
          </cell>
          <cell r="E17" t="str">
            <v/>
          </cell>
          <cell r="F17">
            <v>17988</v>
          </cell>
          <cell r="G17">
            <v>0</v>
          </cell>
          <cell r="H17">
            <v>0</v>
          </cell>
          <cell r="I17">
            <v>0</v>
          </cell>
          <cell r="J17">
            <v>0</v>
          </cell>
          <cell r="K17">
            <v>0</v>
          </cell>
          <cell r="L17">
            <v>0</v>
          </cell>
          <cell r="M17">
            <v>0</v>
          </cell>
          <cell r="N17">
            <v>0</v>
          </cell>
          <cell r="Q17">
            <v>0</v>
          </cell>
          <cell r="W17">
            <v>0</v>
          </cell>
          <cell r="X17">
            <v>17988</v>
          </cell>
          <cell r="Y17">
            <v>0</v>
          </cell>
          <cell r="Z17">
            <v>0</v>
          </cell>
          <cell r="AB17" t="str">
            <v/>
          </cell>
          <cell r="BT17" t="str">
            <v>mstag:otherProvisionsOneTimeCashFlowStatement</v>
          </cell>
          <cell r="BU17">
            <v>3</v>
          </cell>
          <cell r="BV17" t="str">
            <v>ISO4217:USD</v>
          </cell>
          <cell r="BW17" t="b">
            <v>0</v>
          </cell>
          <cell r="BX17" t="b">
            <v>0</v>
          </cell>
        </row>
        <row r="18">
          <cell r="A18" t="str">
            <v>Non-cash interest expense</v>
          </cell>
          <cell r="D18">
            <v>32612</v>
          </cell>
          <cell r="E18">
            <v>17788</v>
          </cell>
          <cell r="F18" t="str">
            <v/>
          </cell>
          <cell r="G18">
            <v>0</v>
          </cell>
          <cell r="H18">
            <v>0</v>
          </cell>
          <cell r="I18">
            <v>0</v>
          </cell>
          <cell r="J18">
            <v>0</v>
          </cell>
          <cell r="K18">
            <v>0</v>
          </cell>
          <cell r="L18">
            <v>0</v>
          </cell>
          <cell r="M18">
            <v>0</v>
          </cell>
          <cell r="N18">
            <v>0</v>
          </cell>
          <cell r="Q18">
            <v>0</v>
          </cell>
          <cell r="BT18" t="str">
            <v>mstag:otherProvisionsOneTimeCashFlowStatement</v>
          </cell>
          <cell r="BU18">
            <v>3</v>
          </cell>
          <cell r="BV18" t="str">
            <v>ISO4217:USD</v>
          </cell>
          <cell r="BW18" t="b">
            <v>0</v>
          </cell>
          <cell r="BX18" t="b">
            <v>0</v>
          </cell>
        </row>
        <row r="19">
          <cell r="A19" t="str">
            <v>Non-cash unrealized loss (gain) on interest rate hedging arrangements</v>
          </cell>
          <cell r="D19">
            <v>2748</v>
          </cell>
          <cell r="E19">
            <v>-8487</v>
          </cell>
          <cell r="F19">
            <v>-8867</v>
          </cell>
          <cell r="G19">
            <v>378</v>
          </cell>
          <cell r="H19">
            <v>0</v>
          </cell>
          <cell r="I19">
            <v>0</v>
          </cell>
          <cell r="J19">
            <v>0</v>
          </cell>
          <cell r="K19">
            <v>0</v>
          </cell>
          <cell r="L19">
            <v>0</v>
          </cell>
          <cell r="M19">
            <v>0</v>
          </cell>
          <cell r="N19">
            <v>0</v>
          </cell>
          <cell r="Q19">
            <v>0</v>
          </cell>
          <cell r="W19">
            <v>-2351</v>
          </cell>
          <cell r="X19">
            <v>-2993</v>
          </cell>
          <cell r="Y19">
            <v>-2469</v>
          </cell>
          <cell r="Z19">
            <v>-1054</v>
          </cell>
          <cell r="AA19">
            <v>40</v>
          </cell>
          <cell r="AB19">
            <v>516</v>
          </cell>
          <cell r="AC19">
            <v>-178</v>
          </cell>
          <cell r="AE19">
            <v>-304</v>
          </cell>
          <cell r="AF19">
            <v>-466</v>
          </cell>
          <cell r="AG19">
            <v>770</v>
          </cell>
          <cell r="BT19" t="str">
            <v>mstag:unrealizedGainsLossesOnSecuritiesAndOtherInvestments</v>
          </cell>
          <cell r="BU19">
            <v>3</v>
          </cell>
          <cell r="BV19" t="str">
            <v>ISO4217:USD</v>
          </cell>
          <cell r="BW19" t="b">
            <v>1</v>
          </cell>
          <cell r="BX19" t="b">
            <v>0</v>
          </cell>
        </row>
        <row r="20">
          <cell r="A20" t="str">
            <v>Asset impairment</v>
          </cell>
          <cell r="G20">
            <v>1696</v>
          </cell>
          <cell r="H20">
            <v>0</v>
          </cell>
          <cell r="I20">
            <v>0</v>
          </cell>
          <cell r="J20">
            <v>0</v>
          </cell>
          <cell r="K20">
            <v>0</v>
          </cell>
          <cell r="L20">
            <v>0</v>
          </cell>
          <cell r="M20">
            <v>0</v>
          </cell>
          <cell r="N20">
            <v>0</v>
          </cell>
          <cell r="Q20">
            <v>0</v>
          </cell>
          <cell r="Y20" t="str">
            <v/>
          </cell>
          <cell r="AA20">
            <v>0</v>
          </cell>
          <cell r="AB20">
            <v>0</v>
          </cell>
          <cell r="AC20">
            <v>614</v>
          </cell>
          <cell r="AD20">
            <v>1082</v>
          </cell>
          <cell r="BT20" t="str">
            <v>mstag:assetImpairmentNonGoodwillOneTime</v>
          </cell>
          <cell r="BU20">
            <v>3</v>
          </cell>
          <cell r="BV20" t="str">
            <v>ISO4217:USD</v>
          </cell>
          <cell r="BW20" t="b">
            <v>0</v>
          </cell>
          <cell r="BX20" t="b">
            <v>0</v>
          </cell>
        </row>
        <row r="21">
          <cell r="A21" t="str">
            <v>Impairment on investment in cellular partnerships</v>
          </cell>
          <cell r="D21" t="str">
            <v/>
          </cell>
          <cell r="E21" t="str">
            <v/>
          </cell>
          <cell r="F21">
            <v>6678</v>
          </cell>
          <cell r="G21">
            <v>2339</v>
          </cell>
          <cell r="H21">
            <v>0</v>
          </cell>
          <cell r="I21">
            <v>0</v>
          </cell>
          <cell r="J21">
            <v>0</v>
          </cell>
          <cell r="K21">
            <v>0</v>
          </cell>
          <cell r="L21">
            <v>0</v>
          </cell>
          <cell r="M21">
            <v>0</v>
          </cell>
          <cell r="N21">
            <v>0</v>
          </cell>
          <cell r="Q21">
            <v>0</v>
          </cell>
          <cell r="W21">
            <v>0</v>
          </cell>
          <cell r="X21">
            <v>0</v>
          </cell>
          <cell r="Y21">
            <v>6678</v>
          </cell>
          <cell r="Z21">
            <v>0</v>
          </cell>
          <cell r="AA21">
            <v>0</v>
          </cell>
          <cell r="AB21">
            <v>0</v>
          </cell>
          <cell r="AC21">
            <v>2339</v>
          </cell>
          <cell r="BT21" t="str">
            <v>mstag:assetImpairmentNonGoodwillOneTime</v>
          </cell>
          <cell r="BU21">
            <v>3</v>
          </cell>
          <cell r="BV21" t="str">
            <v>ISO4217:USD</v>
          </cell>
          <cell r="BW21" t="b">
            <v>0</v>
          </cell>
          <cell r="BX21" t="b">
            <v>0</v>
          </cell>
        </row>
        <row r="22">
          <cell r="A22" t="str">
            <v>Earnings from unconsolidated cellular partnerships</v>
          </cell>
          <cell r="D22">
            <v>-2757</v>
          </cell>
          <cell r="E22">
            <v>-3258</v>
          </cell>
          <cell r="F22">
            <v>-1113</v>
          </cell>
          <cell r="G22">
            <v>-421</v>
          </cell>
          <cell r="H22">
            <v>0</v>
          </cell>
          <cell r="I22">
            <v>0</v>
          </cell>
          <cell r="J22">
            <v>0</v>
          </cell>
          <cell r="K22">
            <v>0</v>
          </cell>
          <cell r="L22">
            <v>0</v>
          </cell>
          <cell r="M22">
            <v>0</v>
          </cell>
          <cell r="N22">
            <v>0</v>
          </cell>
          <cell r="Q22">
            <v>0</v>
          </cell>
          <cell r="W22">
            <v>-325</v>
          </cell>
          <cell r="X22">
            <v>-343</v>
          </cell>
          <cell r="Y22">
            <v>-339</v>
          </cell>
          <cell r="Z22">
            <v>-106</v>
          </cell>
          <cell r="AA22">
            <v>-29</v>
          </cell>
          <cell r="AB22">
            <v>-32</v>
          </cell>
          <cell r="AC22">
            <v>-146</v>
          </cell>
          <cell r="AD22">
            <v>-214</v>
          </cell>
          <cell r="AE22">
            <v>-140</v>
          </cell>
          <cell r="AF22">
            <v>-252</v>
          </cell>
          <cell r="AG22">
            <v>392</v>
          </cell>
          <cell r="BT22" t="str">
            <v>mstag:incomeLossFromEquityinvestmentsNetOfDividendsReceivedOperating</v>
          </cell>
          <cell r="BU22">
            <v>3</v>
          </cell>
          <cell r="BV22" t="str">
            <v>ISO4217:USD</v>
          </cell>
          <cell r="BW22" t="b">
            <v>1</v>
          </cell>
          <cell r="BX22" t="b">
            <v>0</v>
          </cell>
        </row>
        <row r="23">
          <cell r="A23" t="str">
            <v>Provision for doubtful accounts receivable</v>
          </cell>
          <cell r="D23">
            <v>11393</v>
          </cell>
          <cell r="E23">
            <v>3298</v>
          </cell>
          <cell r="F23">
            <v>4438</v>
          </cell>
          <cell r="G23">
            <v>6073</v>
          </cell>
          <cell r="H23">
            <v>18457</v>
          </cell>
          <cell r="I23">
            <v>28500</v>
          </cell>
          <cell r="J23">
            <v>38700</v>
          </cell>
          <cell r="K23">
            <v>44000</v>
          </cell>
          <cell r="L23">
            <v>48900</v>
          </cell>
          <cell r="M23">
            <v>48500</v>
          </cell>
          <cell r="N23">
            <v>59400</v>
          </cell>
          <cell r="O23">
            <v>63500</v>
          </cell>
          <cell r="P23">
            <v>54900</v>
          </cell>
          <cell r="Q23">
            <v>50700</v>
          </cell>
          <cell r="R23">
            <v>50700</v>
          </cell>
          <cell r="S23">
            <v>50700</v>
          </cell>
          <cell r="T23">
            <v>50700</v>
          </cell>
          <cell r="U23">
            <v>50700</v>
          </cell>
          <cell r="W23">
            <v>1769</v>
          </cell>
          <cell r="X23">
            <v>500</v>
          </cell>
          <cell r="Y23">
            <v>890</v>
          </cell>
          <cell r="Z23">
            <v>1279</v>
          </cell>
          <cell r="AA23">
            <v>1093</v>
          </cell>
          <cell r="AB23">
            <v>1358</v>
          </cell>
          <cell r="AC23">
            <v>1795</v>
          </cell>
          <cell r="AD23">
            <v>1827</v>
          </cell>
          <cell r="AE23">
            <v>1076</v>
          </cell>
          <cell r="AF23">
            <v>1229</v>
          </cell>
          <cell r="AG23">
            <v>13477</v>
          </cell>
          <cell r="AH23">
            <v>2675</v>
          </cell>
          <cell r="AI23">
            <v>3700</v>
          </cell>
          <cell r="AJ23">
            <v>7500</v>
          </cell>
          <cell r="AK23">
            <v>8700</v>
          </cell>
          <cell r="AL23">
            <v>8600</v>
          </cell>
          <cell r="AM23">
            <v>8900</v>
          </cell>
          <cell r="AN23">
            <v>7900</v>
          </cell>
          <cell r="AO23">
            <v>8300</v>
          </cell>
          <cell r="AP23">
            <v>13600</v>
          </cell>
          <cell r="AQ23">
            <v>9300</v>
          </cell>
          <cell r="AR23">
            <v>11700</v>
          </cell>
          <cell r="AS23">
            <v>11400</v>
          </cell>
          <cell r="AT23">
            <v>11600</v>
          </cell>
          <cell r="AU23">
            <v>8600</v>
          </cell>
          <cell r="AV23">
            <v>11300</v>
          </cell>
          <cell r="AW23">
            <v>14100</v>
          </cell>
          <cell r="AX23">
            <v>14900</v>
          </cell>
          <cell r="AY23">
            <v>7900</v>
          </cell>
          <cell r="AZ23">
            <v>11700</v>
          </cell>
          <cell r="BA23">
            <v>12700</v>
          </cell>
          <cell r="BB23">
            <v>16200</v>
          </cell>
          <cell r="BC23">
            <v>14700</v>
          </cell>
          <cell r="BD23">
            <v>10600</v>
          </cell>
          <cell r="BE23">
            <v>16400</v>
          </cell>
          <cell r="BF23">
            <v>17700</v>
          </cell>
          <cell r="BG23">
            <v>16100</v>
          </cell>
          <cell r="BH23">
            <v>16900</v>
          </cell>
          <cell r="BI23">
            <v>16800</v>
          </cell>
          <cell r="BJ23">
            <v>13700</v>
          </cell>
          <cell r="BK23">
            <v>12300</v>
          </cell>
          <cell r="BL23">
            <v>10700</v>
          </cell>
          <cell r="BM23">
            <v>15800</v>
          </cell>
          <cell r="BN23">
            <v>16100</v>
          </cell>
          <cell r="BO23">
            <v>10300</v>
          </cell>
          <cell r="BP23">
            <v>13200</v>
          </cell>
          <cell r="BQ23">
            <v>13600</v>
          </cell>
          <cell r="BR23">
            <v>13600</v>
          </cell>
          <cell r="BT23" t="str">
            <v>mstag:provisionForDoubtfulAccountsRecurringCashFlowStatement</v>
          </cell>
          <cell r="BU23">
            <v>3</v>
          </cell>
          <cell r="BV23" t="str">
            <v>ISO4217:USD</v>
          </cell>
          <cell r="BW23" t="b">
            <v>0</v>
          </cell>
          <cell r="BX23" t="b">
            <v>0</v>
          </cell>
        </row>
        <row r="24">
          <cell r="A24" t="str">
            <v>Stock compensation expense</v>
          </cell>
          <cell r="D24">
            <v>0</v>
          </cell>
          <cell r="E24">
            <v>0</v>
          </cell>
          <cell r="F24">
            <v>1345</v>
          </cell>
          <cell r="G24">
            <v>12699</v>
          </cell>
          <cell r="H24">
            <v>0</v>
          </cell>
          <cell r="I24">
            <v>15900</v>
          </cell>
          <cell r="J24">
            <v>18100</v>
          </cell>
          <cell r="K24">
            <v>17400</v>
          </cell>
          <cell r="L24">
            <v>17000</v>
          </cell>
          <cell r="M24">
            <v>24100</v>
          </cell>
          <cell r="N24">
            <v>43200</v>
          </cell>
          <cell r="O24">
            <v>44900</v>
          </cell>
          <cell r="P24">
            <v>41800</v>
          </cell>
          <cell r="Q24">
            <v>57500</v>
          </cell>
          <cell r="R24">
            <v>57500</v>
          </cell>
          <cell r="S24">
            <v>57500</v>
          </cell>
          <cell r="T24">
            <v>57500</v>
          </cell>
          <cell r="U24">
            <v>57500</v>
          </cell>
          <cell r="W24" t="str">
            <v/>
          </cell>
          <cell r="X24" t="str">
            <v/>
          </cell>
          <cell r="Y24" t="str">
            <v/>
          </cell>
          <cell r="AA24">
            <v>6387</v>
          </cell>
          <cell r="AB24">
            <v>1956</v>
          </cell>
          <cell r="AC24">
            <v>2069</v>
          </cell>
          <cell r="AD24">
            <v>2287</v>
          </cell>
          <cell r="AE24">
            <v>2103</v>
          </cell>
          <cell r="AF24">
            <v>2581</v>
          </cell>
          <cell r="AG24">
            <v>-4684</v>
          </cell>
          <cell r="AH24">
            <v>0</v>
          </cell>
          <cell r="AI24">
            <v>3800</v>
          </cell>
          <cell r="AJ24">
            <v>4500</v>
          </cell>
          <cell r="AK24">
            <v>3800</v>
          </cell>
          <cell r="AL24">
            <v>3800</v>
          </cell>
          <cell r="AM24">
            <v>4600</v>
          </cell>
          <cell r="AN24">
            <v>4600</v>
          </cell>
          <cell r="AO24">
            <v>4300</v>
          </cell>
          <cell r="AP24">
            <v>4600</v>
          </cell>
          <cell r="AQ24">
            <v>5200</v>
          </cell>
          <cell r="AR24">
            <v>5400</v>
          </cell>
          <cell r="AS24">
            <v>3700</v>
          </cell>
          <cell r="AT24">
            <v>3100</v>
          </cell>
          <cell r="AU24">
            <v>3500</v>
          </cell>
          <cell r="AV24">
            <v>4000</v>
          </cell>
          <cell r="AW24">
            <v>4700</v>
          </cell>
          <cell r="AX24">
            <v>4800</v>
          </cell>
          <cell r="AY24">
            <v>5300</v>
          </cell>
          <cell r="AZ24">
            <v>6100</v>
          </cell>
          <cell r="BA24">
            <v>6000</v>
          </cell>
          <cell r="BB24">
            <v>6700</v>
          </cell>
          <cell r="BC24">
            <v>7400</v>
          </cell>
          <cell r="BD24">
            <v>6300</v>
          </cell>
          <cell r="BE24">
            <v>5600</v>
          </cell>
          <cell r="BF24">
            <v>23900</v>
          </cell>
          <cell r="BG24">
            <v>12400</v>
          </cell>
          <cell r="BH24">
            <v>10400</v>
          </cell>
          <cell r="BI24">
            <v>11200</v>
          </cell>
          <cell r="BJ24">
            <v>10900</v>
          </cell>
          <cell r="BK24">
            <v>13700</v>
          </cell>
          <cell r="BL24">
            <v>14000</v>
          </cell>
          <cell r="BM24">
            <v>10600</v>
          </cell>
          <cell r="BN24">
            <v>3500</v>
          </cell>
          <cell r="BO24">
            <v>14800</v>
          </cell>
          <cell r="BP24">
            <v>13500</v>
          </cell>
          <cell r="BQ24">
            <v>14600</v>
          </cell>
          <cell r="BR24">
            <v>14600</v>
          </cell>
          <cell r="BT24" t="str">
            <v>mstag:stockBasedCompensationChargePreTax</v>
          </cell>
          <cell r="BU24">
            <v>3</v>
          </cell>
          <cell r="BV24" t="str">
            <v>ISO4217:USD</v>
          </cell>
          <cell r="BW24" t="b">
            <v>0</v>
          </cell>
          <cell r="BX24" t="b">
            <v>0</v>
          </cell>
        </row>
        <row r="25">
          <cell r="A25" t="str">
            <v>Pension and post retirement benefits expense</v>
          </cell>
          <cell r="D25">
            <v>0</v>
          </cell>
          <cell r="E25">
            <v>0</v>
          </cell>
          <cell r="F25">
            <v>0</v>
          </cell>
          <cell r="G25">
            <v>0</v>
          </cell>
          <cell r="H25">
            <v>0</v>
          </cell>
          <cell r="I25">
            <v>39300</v>
          </cell>
          <cell r="J25">
            <v>13900</v>
          </cell>
          <cell r="K25">
            <v>97100</v>
          </cell>
          <cell r="L25">
            <v>20900</v>
          </cell>
          <cell r="M25">
            <v>162600</v>
          </cell>
          <cell r="N25">
            <v>68700</v>
          </cell>
          <cell r="O25">
            <v>-115300</v>
          </cell>
          <cell r="P25">
            <v>122100</v>
          </cell>
          <cell r="Q25">
            <v>2023.482749999996</v>
          </cell>
          <cell r="R25">
            <v>-88252.452367500067</v>
          </cell>
          <cell r="S25">
            <v>-74189.731427050094</v>
          </cell>
          <cell r="T25">
            <v>-60649.172474011881</v>
          </cell>
          <cell r="U25">
            <v>0</v>
          </cell>
          <cell r="AI25">
            <v>8900</v>
          </cell>
          <cell r="AJ25">
            <v>-8900</v>
          </cell>
          <cell r="AK25">
            <v>0</v>
          </cell>
          <cell r="AL25">
            <v>39300</v>
          </cell>
          <cell r="AM25">
            <v>3700</v>
          </cell>
          <cell r="AN25">
            <v>5100</v>
          </cell>
          <cell r="AO25">
            <v>3500</v>
          </cell>
          <cell r="AP25">
            <v>1600</v>
          </cell>
          <cell r="AQ25">
            <v>24500</v>
          </cell>
          <cell r="AR25">
            <v>23900</v>
          </cell>
          <cell r="AS25">
            <v>24400</v>
          </cell>
          <cell r="AT25">
            <v>24300</v>
          </cell>
          <cell r="AU25">
            <v>14900</v>
          </cell>
          <cell r="AV25">
            <v>16100</v>
          </cell>
          <cell r="AW25">
            <v>-25500</v>
          </cell>
          <cell r="AX25">
            <v>15400</v>
          </cell>
          <cell r="AY25">
            <v>-300</v>
          </cell>
          <cell r="AZ25">
            <v>0</v>
          </cell>
          <cell r="BA25">
            <v>0</v>
          </cell>
          <cell r="BB25">
            <v>162900</v>
          </cell>
          <cell r="BC25">
            <v>0</v>
          </cell>
          <cell r="BD25">
            <v>0</v>
          </cell>
          <cell r="BE25">
            <v>0</v>
          </cell>
          <cell r="BF25">
            <v>68700</v>
          </cell>
          <cell r="BG25">
            <v>0</v>
          </cell>
          <cell r="BH25">
            <v>0</v>
          </cell>
          <cell r="BI25">
            <v>0</v>
          </cell>
          <cell r="BJ25">
            <v>-115300</v>
          </cell>
          <cell r="BK25">
            <v>0</v>
          </cell>
          <cell r="BL25">
            <v>0</v>
          </cell>
          <cell r="BM25">
            <v>0</v>
          </cell>
          <cell r="BN25">
            <v>122100</v>
          </cell>
          <cell r="BO25">
            <v>0</v>
          </cell>
          <cell r="BP25">
            <v>0</v>
          </cell>
          <cell r="BQ25">
            <v>0</v>
          </cell>
          <cell r="BR25">
            <v>2023.482749999996</v>
          </cell>
          <cell r="BT25" t="str">
            <v>mstag:netPensionAndOpebExpenseCashFlowStatement</v>
          </cell>
          <cell r="BU25">
            <v>3</v>
          </cell>
          <cell r="BV25" t="str">
            <v>ISO4217:USD</v>
          </cell>
          <cell r="BW25" t="b">
            <v>0</v>
          </cell>
          <cell r="BX25" t="b">
            <v>0</v>
          </cell>
        </row>
        <row r="26">
          <cell r="A26" t="str">
            <v>Amortization of interest rate swaps</v>
          </cell>
          <cell r="D26">
            <v>0</v>
          </cell>
          <cell r="E26">
            <v>0</v>
          </cell>
          <cell r="F26">
            <v>0</v>
          </cell>
          <cell r="G26">
            <v>0</v>
          </cell>
          <cell r="H26">
            <v>0</v>
          </cell>
          <cell r="I26">
            <v>0</v>
          </cell>
          <cell r="J26">
            <v>0</v>
          </cell>
          <cell r="K26">
            <v>0</v>
          </cell>
          <cell r="L26">
            <v>0</v>
          </cell>
          <cell r="M26">
            <v>49000</v>
          </cell>
          <cell r="N26">
            <v>45400</v>
          </cell>
          <cell r="O26">
            <v>35900</v>
          </cell>
          <cell r="P26">
            <v>15800</v>
          </cell>
          <cell r="Q26">
            <v>12900</v>
          </cell>
          <cell r="R26">
            <v>12900</v>
          </cell>
          <cell r="S26">
            <v>12900</v>
          </cell>
          <cell r="T26">
            <v>12900</v>
          </cell>
          <cell r="U26">
            <v>12900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13100</v>
          </cell>
          <cell r="AZ26">
            <v>11900</v>
          </cell>
          <cell r="BA26">
            <v>12300</v>
          </cell>
          <cell r="BB26">
            <v>11700</v>
          </cell>
          <cell r="BC26">
            <v>11100</v>
          </cell>
          <cell r="BD26">
            <v>10500</v>
          </cell>
          <cell r="BE26">
            <v>11400</v>
          </cell>
          <cell r="BF26">
            <v>12400</v>
          </cell>
          <cell r="BG26">
            <v>13200</v>
          </cell>
          <cell r="BH26">
            <v>12400</v>
          </cell>
          <cell r="BI26">
            <v>6000</v>
          </cell>
          <cell r="BJ26">
            <v>4300</v>
          </cell>
          <cell r="BK26">
            <v>4200</v>
          </cell>
          <cell r="BL26">
            <v>4100</v>
          </cell>
          <cell r="BM26">
            <v>3900</v>
          </cell>
          <cell r="BN26">
            <v>3600</v>
          </cell>
          <cell r="BO26">
            <v>3400</v>
          </cell>
          <cell r="BP26">
            <v>3700</v>
          </cell>
          <cell r="BQ26">
            <v>2900</v>
          </cell>
          <cell r="BR26">
            <v>2900</v>
          </cell>
          <cell r="BT26" t="str">
            <v>mstag:unrealizedGainsLossesOnSecuritiesAndOtherInvestments</v>
          </cell>
          <cell r="BU26">
            <v>3</v>
          </cell>
          <cell r="BV26" t="str">
            <v>ISO4217:USD</v>
          </cell>
          <cell r="BW26" t="b">
            <v>1</v>
          </cell>
          <cell r="BX26" t="b">
            <v>0</v>
          </cell>
        </row>
        <row r="27">
          <cell r="A27" t="str">
            <v>Redeemable preferred interests of subsidiary</v>
          </cell>
          <cell r="D27">
            <v>602</v>
          </cell>
          <cell r="E27">
            <v>3314</v>
          </cell>
          <cell r="F27">
            <v>231</v>
          </cell>
          <cell r="G27">
            <v>0</v>
          </cell>
          <cell r="H27">
            <v>0</v>
          </cell>
          <cell r="I27">
            <v>0</v>
          </cell>
          <cell r="J27">
            <v>0</v>
          </cell>
          <cell r="K27">
            <v>0</v>
          </cell>
          <cell r="L27">
            <v>0</v>
          </cell>
          <cell r="M27">
            <v>0</v>
          </cell>
          <cell r="N27">
            <v>0</v>
          </cell>
          <cell r="Q27">
            <v>0</v>
          </cell>
          <cell r="BT27" t="str">
            <v>mstag:otherProvisionsOneTimeCashFlowStatement</v>
          </cell>
          <cell r="BU27">
            <v>3</v>
          </cell>
          <cell r="BV27" t="str">
            <v>ISO4217:USD</v>
          </cell>
          <cell r="BW27" t="b">
            <v>0</v>
          </cell>
          <cell r="BX27" t="b">
            <v>0</v>
          </cell>
        </row>
        <row r="28">
          <cell r="A28" t="str">
            <v>Minority interest</v>
          </cell>
          <cell r="D28">
            <v>13</v>
          </cell>
          <cell r="E28">
            <v>254</v>
          </cell>
          <cell r="F28">
            <v>142</v>
          </cell>
          <cell r="G28">
            <v>468</v>
          </cell>
          <cell r="H28">
            <v>0</v>
          </cell>
          <cell r="I28">
            <v>0</v>
          </cell>
          <cell r="J28">
            <v>0</v>
          </cell>
          <cell r="K28">
            <v>0</v>
          </cell>
          <cell r="L28">
            <v>0</v>
          </cell>
          <cell r="M28">
            <v>0</v>
          </cell>
          <cell r="N28">
            <v>0</v>
          </cell>
          <cell r="Q28">
            <v>0</v>
          </cell>
          <cell r="W28">
            <v>1518</v>
          </cell>
          <cell r="X28">
            <v>1286</v>
          </cell>
          <cell r="Y28">
            <v>367</v>
          </cell>
          <cell r="Z28">
            <v>-3029</v>
          </cell>
          <cell r="AA28">
            <v>468</v>
          </cell>
          <cell r="BT28" t="str">
            <v>mstag:minorityInterestCashFlowStatement</v>
          </cell>
          <cell r="BU28">
            <v>3</v>
          </cell>
          <cell r="BV28" t="str">
            <v>ISO4217:USD</v>
          </cell>
          <cell r="BW28" t="b">
            <v>0</v>
          </cell>
          <cell r="BX28" t="b">
            <v>0</v>
          </cell>
        </row>
        <row r="29">
          <cell r="A29" t="str">
            <v>Other, net</v>
          </cell>
          <cell r="D29">
            <v>0</v>
          </cell>
          <cell r="E29">
            <v>0</v>
          </cell>
          <cell r="F29">
            <v>0</v>
          </cell>
          <cell r="G29">
            <v>0</v>
          </cell>
          <cell r="H29">
            <v>0</v>
          </cell>
          <cell r="I29">
            <v>15600</v>
          </cell>
          <cell r="J29">
            <v>18100</v>
          </cell>
          <cell r="K29">
            <v>6000</v>
          </cell>
          <cell r="L29">
            <v>15900</v>
          </cell>
          <cell r="M29">
            <v>22300</v>
          </cell>
          <cell r="N29">
            <v>-43200</v>
          </cell>
          <cell r="O29">
            <v>-68300</v>
          </cell>
          <cell r="P29">
            <v>13000</v>
          </cell>
          <cell r="Q29">
            <v>-45000</v>
          </cell>
          <cell r="W29">
            <v>0</v>
          </cell>
          <cell r="X29">
            <v>0</v>
          </cell>
          <cell r="Y29">
            <v>0</v>
          </cell>
          <cell r="Z29">
            <v>0</v>
          </cell>
          <cell r="AA29">
            <v>0</v>
          </cell>
          <cell r="AB29">
            <v>0</v>
          </cell>
          <cell r="AC29">
            <v>0</v>
          </cell>
          <cell r="AD29">
            <v>0</v>
          </cell>
          <cell r="AE29">
            <v>0</v>
          </cell>
          <cell r="AF29">
            <v>0</v>
          </cell>
          <cell r="AG29">
            <v>0</v>
          </cell>
          <cell r="AH29">
            <v>0</v>
          </cell>
          <cell r="AI29">
            <v>7200</v>
          </cell>
          <cell r="AJ29">
            <v>-7200</v>
          </cell>
          <cell r="AK29">
            <v>0</v>
          </cell>
          <cell r="AL29">
            <v>15600</v>
          </cell>
          <cell r="AM29">
            <v>-2400</v>
          </cell>
          <cell r="AN29">
            <v>2300</v>
          </cell>
          <cell r="AO29">
            <v>8900</v>
          </cell>
          <cell r="AP29">
            <v>9300</v>
          </cell>
          <cell r="AQ29">
            <v>1500</v>
          </cell>
          <cell r="AR29">
            <v>-100</v>
          </cell>
          <cell r="AS29">
            <v>2800</v>
          </cell>
          <cell r="AT29">
            <v>1800</v>
          </cell>
          <cell r="AU29">
            <v>3300</v>
          </cell>
          <cell r="AV29">
            <v>2400</v>
          </cell>
          <cell r="AW29">
            <v>4800</v>
          </cell>
          <cell r="AX29">
            <v>5400</v>
          </cell>
          <cell r="AY29">
            <v>15700</v>
          </cell>
          <cell r="AZ29">
            <v>11100</v>
          </cell>
          <cell r="BA29">
            <v>-6800</v>
          </cell>
          <cell r="BB29">
            <v>2300</v>
          </cell>
          <cell r="BC29">
            <v>-29300</v>
          </cell>
          <cell r="BD29">
            <v>-11200</v>
          </cell>
          <cell r="BE29">
            <v>-1400</v>
          </cell>
          <cell r="BF29">
            <v>-1300</v>
          </cell>
          <cell r="BG29">
            <v>-61300</v>
          </cell>
          <cell r="BH29">
            <v>-200</v>
          </cell>
          <cell r="BI29">
            <v>4900</v>
          </cell>
          <cell r="BJ29">
            <v>-11700</v>
          </cell>
          <cell r="BK29">
            <v>-4900</v>
          </cell>
          <cell r="BL29">
            <v>10600</v>
          </cell>
          <cell r="BM29">
            <v>5800</v>
          </cell>
          <cell r="BN29">
            <v>1500</v>
          </cell>
          <cell r="BO29">
            <v>6900</v>
          </cell>
          <cell r="BP29">
            <v>-30600</v>
          </cell>
          <cell r="BQ29">
            <v>-21300</v>
          </cell>
          <cell r="BT29" t="str">
            <v>mstag:otherCashFlow</v>
          </cell>
          <cell r="BU29">
            <v>3</v>
          </cell>
          <cell r="BV29" t="str">
            <v>ISO4217:USD</v>
          </cell>
          <cell r="BW29" t="b">
            <v>0</v>
          </cell>
          <cell r="BX29" t="b">
            <v>0</v>
          </cell>
        </row>
        <row r="30">
          <cell r="A30" t="str">
            <v>Changes in current assets and current liabilities:</v>
          </cell>
        </row>
        <row r="31">
          <cell r="A31" t="str">
            <v xml:space="preserve">  Accounts receivable</v>
          </cell>
          <cell r="D31">
            <v>-5147</v>
          </cell>
          <cell r="E31">
            <v>3786</v>
          </cell>
          <cell r="F31">
            <v>-6295</v>
          </cell>
          <cell r="G31">
            <v>-3152</v>
          </cell>
          <cell r="H31">
            <v>-40949</v>
          </cell>
          <cell r="I31">
            <v>-12300</v>
          </cell>
          <cell r="J31">
            <v>-25100</v>
          </cell>
          <cell r="K31">
            <v>-3400</v>
          </cell>
          <cell r="L31">
            <v>-42800</v>
          </cell>
          <cell r="M31">
            <v>-188400</v>
          </cell>
          <cell r="N31">
            <v>47500</v>
          </cell>
          <cell r="O31">
            <v>-45800</v>
          </cell>
          <cell r="P31">
            <v>-55000</v>
          </cell>
          <cell r="Q31">
            <v>-49423.949356531142</v>
          </cell>
          <cell r="R31">
            <v>-289.5912005843129</v>
          </cell>
          <cell r="S31">
            <v>7014.0554804562125</v>
          </cell>
          <cell r="T31">
            <v>3530.4219159827335</v>
          </cell>
          <cell r="U31">
            <v>1599.4953657264123</v>
          </cell>
          <cell r="W31">
            <v>5828</v>
          </cell>
          <cell r="X31">
            <v>-5790</v>
          </cell>
          <cell r="Y31">
            <v>-1086</v>
          </cell>
          <cell r="Z31">
            <v>-5247</v>
          </cell>
          <cell r="AA31">
            <v>2730</v>
          </cell>
          <cell r="AB31">
            <v>-935</v>
          </cell>
          <cell r="AC31">
            <v>-2776</v>
          </cell>
          <cell r="AD31">
            <v>-2171</v>
          </cell>
          <cell r="AE31">
            <v>4401</v>
          </cell>
          <cell r="AF31">
            <v>204</v>
          </cell>
          <cell r="AG31">
            <v>-35601</v>
          </cell>
          <cell r="AH31">
            <v>-9953</v>
          </cell>
          <cell r="AI31">
            <v>16800</v>
          </cell>
          <cell r="AK31">
            <v>-41600</v>
          </cell>
          <cell r="AL31">
            <v>12500</v>
          </cell>
          <cell r="AM31">
            <v>-3300</v>
          </cell>
          <cell r="AN31">
            <v>-11000</v>
          </cell>
          <cell r="AO31">
            <v>-13600</v>
          </cell>
          <cell r="AP31">
            <v>2800</v>
          </cell>
          <cell r="AQ31">
            <v>19400</v>
          </cell>
          <cell r="AR31">
            <v>-20000</v>
          </cell>
          <cell r="AS31">
            <v>-9900</v>
          </cell>
          <cell r="AT31">
            <v>7100</v>
          </cell>
          <cell r="AU31">
            <v>1700</v>
          </cell>
          <cell r="AV31">
            <v>-9200</v>
          </cell>
          <cell r="AW31">
            <v>-20600</v>
          </cell>
          <cell r="AX31">
            <v>-14700</v>
          </cell>
          <cell r="AY31">
            <v>-7700</v>
          </cell>
          <cell r="AZ31">
            <v>-13800</v>
          </cell>
          <cell r="BA31">
            <v>-27100</v>
          </cell>
          <cell r="BB31">
            <v>-139800</v>
          </cell>
          <cell r="BC31">
            <v>111200</v>
          </cell>
          <cell r="BD31">
            <v>-11200</v>
          </cell>
          <cell r="BE31">
            <v>-49600</v>
          </cell>
          <cell r="BF31">
            <v>-2900</v>
          </cell>
          <cell r="BG31">
            <v>3900</v>
          </cell>
          <cell r="BH31">
            <v>-36600</v>
          </cell>
          <cell r="BI31">
            <v>-37200</v>
          </cell>
          <cell r="BJ31">
            <v>24100</v>
          </cell>
          <cell r="BK31">
            <v>-9700</v>
          </cell>
          <cell r="BL31">
            <v>-9000</v>
          </cell>
          <cell r="BM31">
            <v>-2100</v>
          </cell>
          <cell r="BN31">
            <v>-34200</v>
          </cell>
          <cell r="BO31">
            <v>-33300</v>
          </cell>
          <cell r="BP31">
            <v>-20400</v>
          </cell>
          <cell r="BQ31">
            <v>-5200</v>
          </cell>
          <cell r="BR31">
            <v>9476.0506434688577</v>
          </cell>
          <cell r="BT31" t="str">
            <v>mstag:netDecreaseInTradeReceivables</v>
          </cell>
          <cell r="BU31">
            <v>3</v>
          </cell>
          <cell r="BV31" t="str">
            <v>ISO4217:USD</v>
          </cell>
          <cell r="BW31" t="b">
            <v>0</v>
          </cell>
          <cell r="BX31" t="b">
            <v>0</v>
          </cell>
        </row>
        <row r="32">
          <cell r="A32" t="str">
            <v xml:space="preserve">  Inventories</v>
          </cell>
          <cell r="D32">
            <v>0</v>
          </cell>
          <cell r="E32">
            <v>0</v>
          </cell>
          <cell r="F32">
            <v>0</v>
          </cell>
          <cell r="G32">
            <v>0</v>
          </cell>
          <cell r="H32">
            <v>0</v>
          </cell>
          <cell r="I32">
            <v>0</v>
          </cell>
          <cell r="J32">
            <v>0</v>
          </cell>
          <cell r="K32">
            <v>0</v>
          </cell>
          <cell r="L32">
            <v>0</v>
          </cell>
          <cell r="M32">
            <v>0</v>
          </cell>
          <cell r="N32">
            <v>0</v>
          </cell>
          <cell r="O32">
            <v>0</v>
          </cell>
          <cell r="P32">
            <v>0</v>
          </cell>
          <cell r="Q32">
            <v>4215.0554869337793</v>
          </cell>
          <cell r="R32">
            <v>13310.966625822817</v>
          </cell>
          <cell r="S32">
            <v>-584.06071866154525</v>
          </cell>
          <cell r="T32">
            <v>226.35696332545194</v>
          </cell>
          <cell r="U32">
            <v>160.13712846680573</v>
          </cell>
          <cell r="AN32">
            <v>0</v>
          </cell>
          <cell r="BR32">
            <v>4215.0554869337793</v>
          </cell>
          <cell r="BT32" t="str">
            <v>mstag:netDecreaseInInventories</v>
          </cell>
          <cell r="BU32">
            <v>3</v>
          </cell>
          <cell r="BV32" t="str">
            <v>ISO4217:USD</v>
          </cell>
          <cell r="BW32" t="b">
            <v>0</v>
          </cell>
          <cell r="BX32" t="b">
            <v>0</v>
          </cell>
        </row>
        <row r="33">
          <cell r="A33" t="str">
            <v xml:space="preserve">  Prepaid income taxes</v>
          </cell>
          <cell r="D33">
            <v>0</v>
          </cell>
          <cell r="E33">
            <v>0</v>
          </cell>
          <cell r="F33">
            <v>0</v>
          </cell>
          <cell r="G33">
            <v>0</v>
          </cell>
          <cell r="H33">
            <v>0</v>
          </cell>
          <cell r="I33">
            <v>0</v>
          </cell>
          <cell r="J33">
            <v>0</v>
          </cell>
          <cell r="K33">
            <v>0</v>
          </cell>
          <cell r="L33">
            <v>-12200</v>
          </cell>
          <cell r="M33">
            <v>57800</v>
          </cell>
          <cell r="N33">
            <v>-13800</v>
          </cell>
          <cell r="O33">
            <v>-7100</v>
          </cell>
          <cell r="P33">
            <v>-9800</v>
          </cell>
          <cell r="Q33">
            <v>2300</v>
          </cell>
          <cell r="R33">
            <v>0</v>
          </cell>
          <cell r="S33">
            <v>0</v>
          </cell>
          <cell r="T33">
            <v>0</v>
          </cell>
          <cell r="U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-12200</v>
          </cell>
          <cell r="AY33">
            <v>-26400</v>
          </cell>
          <cell r="AZ33">
            <v>16400</v>
          </cell>
          <cell r="BA33">
            <v>-37600</v>
          </cell>
          <cell r="BB33">
            <v>105400</v>
          </cell>
          <cell r="BC33">
            <v>-15700</v>
          </cell>
          <cell r="BD33">
            <v>3500</v>
          </cell>
          <cell r="BE33">
            <v>-1200</v>
          </cell>
          <cell r="BF33">
            <v>-400</v>
          </cell>
          <cell r="BG33">
            <v>-11400</v>
          </cell>
          <cell r="BH33">
            <v>10800</v>
          </cell>
          <cell r="BI33">
            <v>4300</v>
          </cell>
          <cell r="BJ33">
            <v>-10800</v>
          </cell>
          <cell r="BK33">
            <v>-9600</v>
          </cell>
          <cell r="BL33">
            <v>12800</v>
          </cell>
          <cell r="BM33">
            <v>-1100</v>
          </cell>
          <cell r="BN33">
            <v>-11900</v>
          </cell>
          <cell r="BO33">
            <v>-3100</v>
          </cell>
          <cell r="BP33">
            <v>10200</v>
          </cell>
          <cell r="BQ33">
            <v>-4800</v>
          </cell>
          <cell r="BT33" t="str">
            <v>mstag:netDecreaseInPrepaidExpenses</v>
          </cell>
          <cell r="BU33">
            <v>3</v>
          </cell>
          <cell r="BV33" t="str">
            <v>ISO4217:USD</v>
          </cell>
          <cell r="BW33" t="b">
            <v>0</v>
          </cell>
          <cell r="BX33" t="b">
            <v>0</v>
          </cell>
        </row>
        <row r="34">
          <cell r="A34" t="str">
            <v xml:space="preserve">  Accounts payable</v>
          </cell>
          <cell r="D34">
            <v>3235</v>
          </cell>
          <cell r="E34">
            <v>-6668</v>
          </cell>
          <cell r="F34">
            <v>-8611</v>
          </cell>
          <cell r="G34">
            <v>774</v>
          </cell>
          <cell r="H34">
            <v>20554</v>
          </cell>
          <cell r="I34">
            <v>-3000</v>
          </cell>
          <cell r="J34">
            <v>-27600</v>
          </cell>
          <cell r="K34">
            <v>9600</v>
          </cell>
          <cell r="L34">
            <v>-18100</v>
          </cell>
          <cell r="M34">
            <v>23500</v>
          </cell>
          <cell r="N34">
            <v>63600</v>
          </cell>
          <cell r="O34">
            <v>-21000</v>
          </cell>
          <cell r="P34">
            <v>-13100</v>
          </cell>
          <cell r="Q34">
            <v>15683.093576462066</v>
          </cell>
          <cell r="R34">
            <v>-50808.967586927291</v>
          </cell>
          <cell r="S34">
            <v>1683.2623570035212</v>
          </cell>
          <cell r="T34">
            <v>-1236.6812093826011</v>
          </cell>
          <cell r="U34">
            <v>-659.63773377460893</v>
          </cell>
          <cell r="W34">
            <v>-1040</v>
          </cell>
          <cell r="X34">
            <v>2349</v>
          </cell>
          <cell r="Y34">
            <v>-3252</v>
          </cell>
          <cell r="Z34">
            <v>-6668</v>
          </cell>
          <cell r="AA34">
            <v>1515</v>
          </cell>
          <cell r="AB34">
            <v>-283</v>
          </cell>
          <cell r="AC34">
            <v>3825</v>
          </cell>
          <cell r="AD34">
            <v>-4283</v>
          </cell>
          <cell r="AE34">
            <v>2612</v>
          </cell>
          <cell r="AF34">
            <v>1353</v>
          </cell>
          <cell r="AG34">
            <v>24570</v>
          </cell>
          <cell r="AH34">
            <v>-7981</v>
          </cell>
          <cell r="AK34">
            <v>-4300</v>
          </cell>
          <cell r="AL34">
            <v>1300</v>
          </cell>
          <cell r="AM34">
            <v>0</v>
          </cell>
          <cell r="AN34">
            <v>-17300</v>
          </cell>
          <cell r="AO34">
            <v>8600</v>
          </cell>
          <cell r="AP34">
            <v>-18900</v>
          </cell>
          <cell r="AQ34">
            <v>-17100</v>
          </cell>
          <cell r="AR34">
            <v>2900</v>
          </cell>
          <cell r="AS34">
            <v>12100</v>
          </cell>
          <cell r="AT34">
            <v>11700</v>
          </cell>
          <cell r="AU34">
            <v>-17200</v>
          </cell>
          <cell r="AV34">
            <v>-11100</v>
          </cell>
          <cell r="AW34">
            <v>-6600</v>
          </cell>
          <cell r="AX34">
            <v>16800</v>
          </cell>
          <cell r="AY34">
            <v>18900</v>
          </cell>
          <cell r="AZ34">
            <v>3700</v>
          </cell>
          <cell r="BA34">
            <v>9300</v>
          </cell>
          <cell r="BB34">
            <v>-8400</v>
          </cell>
          <cell r="BC34">
            <v>22800</v>
          </cell>
          <cell r="BD34">
            <v>-26100</v>
          </cell>
          <cell r="BE34">
            <v>1100</v>
          </cell>
          <cell r="BF34">
            <v>65800</v>
          </cell>
          <cell r="BG34">
            <v>-69200</v>
          </cell>
          <cell r="BH34">
            <v>35400</v>
          </cell>
          <cell r="BI34">
            <v>59600</v>
          </cell>
          <cell r="BJ34">
            <v>-46800</v>
          </cell>
          <cell r="BK34">
            <v>-46100</v>
          </cell>
          <cell r="BL34">
            <v>7300</v>
          </cell>
          <cell r="BM34">
            <v>-10400</v>
          </cell>
          <cell r="BN34">
            <v>36100</v>
          </cell>
          <cell r="BO34">
            <v>-64200</v>
          </cell>
          <cell r="BP34">
            <v>35000</v>
          </cell>
          <cell r="BQ34">
            <v>-8700</v>
          </cell>
          <cell r="BR34">
            <v>53583.093576462066</v>
          </cell>
          <cell r="BT34" t="str">
            <v>mstag:netIncreaseInTradeAndOtherPayables</v>
          </cell>
          <cell r="BU34">
            <v>3</v>
          </cell>
          <cell r="BV34" t="str">
            <v>ISO4217:USD</v>
          </cell>
          <cell r="BW34" t="b">
            <v>0</v>
          </cell>
          <cell r="BX34" t="b">
            <v>0</v>
          </cell>
        </row>
        <row r="35">
          <cell r="A35" t="str">
            <v xml:space="preserve">  Accrued interest</v>
          </cell>
          <cell r="D35">
            <v>-1466</v>
          </cell>
          <cell r="E35">
            <v>-401</v>
          </cell>
          <cell r="F35">
            <v>2281</v>
          </cell>
          <cell r="G35">
            <v>8234</v>
          </cell>
          <cell r="H35">
            <v>130976</v>
          </cell>
          <cell r="I35">
            <v>-9100</v>
          </cell>
          <cell r="J35">
            <v>-1100</v>
          </cell>
          <cell r="K35">
            <v>4400</v>
          </cell>
          <cell r="L35">
            <v>20600</v>
          </cell>
          <cell r="M35">
            <v>-99100</v>
          </cell>
          <cell r="N35">
            <v>-40800</v>
          </cell>
          <cell r="O35">
            <v>-10200</v>
          </cell>
          <cell r="P35">
            <v>-3100</v>
          </cell>
          <cell r="Q35">
            <v>34200</v>
          </cell>
          <cell r="R35">
            <v>34200</v>
          </cell>
          <cell r="S35">
            <v>34200</v>
          </cell>
          <cell r="T35">
            <v>34200</v>
          </cell>
          <cell r="U35">
            <v>34200</v>
          </cell>
          <cell r="W35">
            <v>7814</v>
          </cell>
          <cell r="X35">
            <v>-8494</v>
          </cell>
          <cell r="Y35">
            <v>7605</v>
          </cell>
          <cell r="Z35">
            <v>-4644</v>
          </cell>
          <cell r="AA35">
            <v>-1179</v>
          </cell>
          <cell r="AB35">
            <v>7454</v>
          </cell>
          <cell r="AC35">
            <v>-5927</v>
          </cell>
          <cell r="AD35">
            <v>7886</v>
          </cell>
          <cell r="AE35">
            <v>-9688</v>
          </cell>
          <cell r="AF35">
            <v>7753</v>
          </cell>
          <cell r="AG35">
            <v>74495</v>
          </cell>
          <cell r="AH35">
            <v>58416</v>
          </cell>
          <cell r="AI35">
            <v>-83900</v>
          </cell>
          <cell r="AJ35">
            <v>0</v>
          </cell>
          <cell r="AK35">
            <v>9900</v>
          </cell>
          <cell r="AL35">
            <v>64900</v>
          </cell>
          <cell r="AM35">
            <v>-68900</v>
          </cell>
          <cell r="AN35">
            <v>66800</v>
          </cell>
          <cell r="AO35">
            <v>-67700</v>
          </cell>
          <cell r="AP35">
            <v>68700</v>
          </cell>
          <cell r="AQ35">
            <v>-72700</v>
          </cell>
          <cell r="AR35">
            <v>66400</v>
          </cell>
          <cell r="AS35">
            <v>-68000</v>
          </cell>
          <cell r="AT35">
            <v>78700</v>
          </cell>
          <cell r="AU35">
            <v>-48000</v>
          </cell>
          <cell r="AV35">
            <v>0</v>
          </cell>
          <cell r="AW35">
            <v>8500</v>
          </cell>
          <cell r="AX35">
            <v>60100</v>
          </cell>
          <cell r="AY35">
            <v>-75500</v>
          </cell>
          <cell r="AZ35">
            <v>15900</v>
          </cell>
          <cell r="BA35">
            <v>4900</v>
          </cell>
          <cell r="BB35">
            <v>-44400</v>
          </cell>
          <cell r="BC35">
            <v>10000</v>
          </cell>
          <cell r="BD35">
            <v>-38400</v>
          </cell>
          <cell r="BE35">
            <v>22900</v>
          </cell>
          <cell r="BF35">
            <v>-35300</v>
          </cell>
          <cell r="BG35">
            <v>47200</v>
          </cell>
          <cell r="BH35">
            <v>-31600</v>
          </cell>
          <cell r="BI35">
            <v>23900</v>
          </cell>
          <cell r="BJ35">
            <v>-49700</v>
          </cell>
          <cell r="BK35">
            <v>66000</v>
          </cell>
          <cell r="BL35">
            <v>-68300</v>
          </cell>
          <cell r="BM35">
            <v>67100</v>
          </cell>
          <cell r="BN35">
            <v>-67900</v>
          </cell>
          <cell r="BO35">
            <v>67400</v>
          </cell>
          <cell r="BP35">
            <v>-87600</v>
          </cell>
          <cell r="BQ35">
            <v>54400</v>
          </cell>
          <cell r="BR35">
            <v>0</v>
          </cell>
          <cell r="BT35" t="str">
            <v>mstag:netIncreaseInOtherLiabilitiesOperating</v>
          </cell>
          <cell r="BU35">
            <v>3</v>
          </cell>
          <cell r="BV35" t="str">
            <v>ISO4217:USD</v>
          </cell>
          <cell r="BW35" t="b">
            <v>0</v>
          </cell>
          <cell r="BX35" t="b">
            <v>0</v>
          </cell>
        </row>
        <row r="36">
          <cell r="A36" t="str">
            <v xml:space="preserve">  Other current assets and current liabilities, net</v>
          </cell>
          <cell r="D36">
            <v>6669</v>
          </cell>
          <cell r="E36">
            <v>3316</v>
          </cell>
          <cell r="F36">
            <v>6556</v>
          </cell>
          <cell r="G36">
            <v>-2937</v>
          </cell>
          <cell r="H36">
            <v>77071</v>
          </cell>
          <cell r="I36">
            <v>-49600</v>
          </cell>
          <cell r="J36">
            <v>-8900</v>
          </cell>
          <cell r="K36">
            <v>-18700</v>
          </cell>
          <cell r="L36">
            <v>-55700</v>
          </cell>
          <cell r="M36">
            <v>-5600</v>
          </cell>
          <cell r="N36">
            <v>-29500</v>
          </cell>
          <cell r="O36">
            <v>-13000</v>
          </cell>
          <cell r="P36">
            <v>-8200</v>
          </cell>
          <cell r="Q36">
            <v>-3217.6529704974673</v>
          </cell>
          <cell r="R36">
            <v>28307.083976761729</v>
          </cell>
          <cell r="S36">
            <v>10739.970758017618</v>
          </cell>
          <cell r="T36">
            <v>-1665.8282867753005</v>
          </cell>
          <cell r="U36">
            <v>-521.02013052132679</v>
          </cell>
          <cell r="W36">
            <v>-4095</v>
          </cell>
          <cell r="X36">
            <v>2530</v>
          </cell>
          <cell r="Y36">
            <v>8735</v>
          </cell>
          <cell r="Z36">
            <v>-614</v>
          </cell>
          <cell r="AA36">
            <v>-6890</v>
          </cell>
          <cell r="AB36">
            <v>-1878</v>
          </cell>
          <cell r="AC36">
            <v>4577</v>
          </cell>
          <cell r="AD36">
            <v>1254</v>
          </cell>
          <cell r="AE36">
            <v>-7026</v>
          </cell>
          <cell r="AF36">
            <v>457</v>
          </cell>
          <cell r="AG36">
            <v>110649</v>
          </cell>
          <cell r="AH36">
            <v>-27009</v>
          </cell>
          <cell r="AI36">
            <v>23600</v>
          </cell>
          <cell r="AJ36">
            <v>-32400</v>
          </cell>
          <cell r="AK36">
            <v>-10200</v>
          </cell>
          <cell r="AL36">
            <v>-30600</v>
          </cell>
          <cell r="AM36">
            <v>16600</v>
          </cell>
          <cell r="AN36">
            <v>-55200</v>
          </cell>
          <cell r="AO36">
            <v>28000</v>
          </cell>
          <cell r="AP36">
            <v>1700</v>
          </cell>
          <cell r="AQ36">
            <v>-5600</v>
          </cell>
          <cell r="AR36">
            <v>-12800</v>
          </cell>
          <cell r="AS36">
            <v>-17500</v>
          </cell>
          <cell r="AT36">
            <v>17200</v>
          </cell>
          <cell r="AU36">
            <v>3600</v>
          </cell>
          <cell r="AV36">
            <v>31000</v>
          </cell>
          <cell r="AW36">
            <v>-98600</v>
          </cell>
          <cell r="AX36">
            <v>8300</v>
          </cell>
          <cell r="AY36">
            <v>-20200</v>
          </cell>
          <cell r="AZ36">
            <v>4600</v>
          </cell>
          <cell r="BA36">
            <v>8100</v>
          </cell>
          <cell r="BB36">
            <v>1900</v>
          </cell>
          <cell r="BC36">
            <v>-56900</v>
          </cell>
          <cell r="BD36">
            <v>5900</v>
          </cell>
          <cell r="BE36">
            <v>7200</v>
          </cell>
          <cell r="BF36">
            <v>14300</v>
          </cell>
          <cell r="BG36">
            <v>-25600</v>
          </cell>
          <cell r="BH36">
            <v>1400</v>
          </cell>
          <cell r="BI36">
            <v>500</v>
          </cell>
          <cell r="BJ36">
            <v>10700</v>
          </cell>
          <cell r="BK36">
            <v>-20100</v>
          </cell>
          <cell r="BL36">
            <v>3400</v>
          </cell>
          <cell r="BM36">
            <v>-17500</v>
          </cell>
          <cell r="BN36">
            <v>26000</v>
          </cell>
          <cell r="BO36">
            <v>-24800</v>
          </cell>
          <cell r="BP36">
            <v>12300</v>
          </cell>
          <cell r="BQ36">
            <v>24100</v>
          </cell>
          <cell r="BR36">
            <v>-14817.652970497467</v>
          </cell>
          <cell r="BT36" t="str">
            <v>mstag:netIncreaseInOtherLiabilitiesOperating</v>
          </cell>
          <cell r="BU36">
            <v>3</v>
          </cell>
          <cell r="BV36" t="str">
            <v>ISO4217:USD</v>
          </cell>
          <cell r="BW36" t="b">
            <v>0</v>
          </cell>
          <cell r="BX36" t="b">
            <v>0</v>
          </cell>
        </row>
        <row r="37">
          <cell r="A37" t="str">
            <v xml:space="preserve">  Other, net</v>
          </cell>
          <cell r="D37">
            <v>2551</v>
          </cell>
          <cell r="E37">
            <v>4805</v>
          </cell>
          <cell r="F37">
            <v>-330</v>
          </cell>
          <cell r="G37">
            <v>-7461</v>
          </cell>
          <cell r="H37">
            <v>-6268</v>
          </cell>
          <cell r="I37">
            <v>22100</v>
          </cell>
          <cell r="J37">
            <v>15800</v>
          </cell>
          <cell r="K37">
            <v>-4700</v>
          </cell>
          <cell r="L37">
            <v>-24700</v>
          </cell>
          <cell r="M37">
            <v>-56700</v>
          </cell>
          <cell r="N37">
            <v>25300</v>
          </cell>
          <cell r="O37">
            <v>-61500</v>
          </cell>
          <cell r="P37">
            <v>-24600</v>
          </cell>
          <cell r="Q37">
            <v>-56600</v>
          </cell>
          <cell r="R37">
            <v>0</v>
          </cell>
          <cell r="S37">
            <v>0</v>
          </cell>
          <cell r="T37">
            <v>0</v>
          </cell>
          <cell r="U37">
            <v>0</v>
          </cell>
          <cell r="W37">
            <v>2408</v>
          </cell>
          <cell r="X37">
            <v>1829</v>
          </cell>
          <cell r="Y37">
            <v>-823</v>
          </cell>
          <cell r="AA37">
            <v>2020</v>
          </cell>
          <cell r="AB37">
            <v>588</v>
          </cell>
          <cell r="AC37">
            <v>-12070</v>
          </cell>
          <cell r="AD37">
            <v>2001</v>
          </cell>
          <cell r="AE37">
            <v>1286</v>
          </cell>
          <cell r="AF37">
            <v>1991</v>
          </cell>
          <cell r="AG37">
            <v>7597</v>
          </cell>
          <cell r="AH37">
            <v>-17142</v>
          </cell>
          <cell r="AI37">
            <v>15900</v>
          </cell>
          <cell r="AJ37">
            <v>91900</v>
          </cell>
          <cell r="AK37">
            <v>-61800</v>
          </cell>
          <cell r="AL37">
            <v>-23900</v>
          </cell>
          <cell r="AM37">
            <v>-6200</v>
          </cell>
          <cell r="AN37">
            <v>-200</v>
          </cell>
          <cell r="AO37">
            <v>300</v>
          </cell>
          <cell r="AP37">
            <v>21900</v>
          </cell>
          <cell r="AQ37">
            <v>-6100</v>
          </cell>
          <cell r="AR37">
            <v>-8100</v>
          </cell>
          <cell r="AS37">
            <v>4200</v>
          </cell>
          <cell r="AT37">
            <v>5300</v>
          </cell>
          <cell r="AU37">
            <v>-33500</v>
          </cell>
          <cell r="AV37">
            <v>200</v>
          </cell>
          <cell r="AW37">
            <v>48000</v>
          </cell>
          <cell r="AX37">
            <v>-39400</v>
          </cell>
          <cell r="AY37">
            <v>-5300</v>
          </cell>
          <cell r="AZ37">
            <v>-31000</v>
          </cell>
          <cell r="BA37">
            <v>-19400</v>
          </cell>
          <cell r="BB37">
            <v>-1000</v>
          </cell>
          <cell r="BC37">
            <v>-44800</v>
          </cell>
          <cell r="BD37">
            <v>48900</v>
          </cell>
          <cell r="BE37">
            <v>-13600</v>
          </cell>
          <cell r="BF37">
            <v>34800</v>
          </cell>
          <cell r="BG37">
            <v>-29400</v>
          </cell>
          <cell r="BH37">
            <v>-100</v>
          </cell>
          <cell r="BI37">
            <v>-26500</v>
          </cell>
          <cell r="BJ37">
            <v>-5500</v>
          </cell>
          <cell r="BK37">
            <v>-50200</v>
          </cell>
          <cell r="BL37">
            <v>17000</v>
          </cell>
          <cell r="BM37">
            <v>2100</v>
          </cell>
          <cell r="BN37">
            <v>6500</v>
          </cell>
          <cell r="BO37">
            <v>-45800</v>
          </cell>
          <cell r="BP37">
            <v>5900</v>
          </cell>
          <cell r="BQ37">
            <v>-16700</v>
          </cell>
          <cell r="BR37">
            <v>0</v>
          </cell>
          <cell r="BT37" t="str">
            <v>mstag:netIncreaseInOtherLiabilitiesOperating</v>
          </cell>
          <cell r="BU37">
            <v>3</v>
          </cell>
          <cell r="BV37" t="str">
            <v>ISO4217:USD</v>
          </cell>
          <cell r="BW37" t="b">
            <v>0</v>
          </cell>
          <cell r="BX37" t="b">
            <v>0</v>
          </cell>
        </row>
        <row r="38">
          <cell r="A38" t="str">
            <v>Operating Cash Flow</v>
          </cell>
          <cell r="D38">
            <v>150383</v>
          </cell>
          <cell r="E38">
            <v>166065</v>
          </cell>
          <cell r="F38">
            <v>143716</v>
          </cell>
          <cell r="G38">
            <v>191091</v>
          </cell>
          <cell r="H38">
            <v>1125207</v>
          </cell>
          <cell r="I38">
            <v>1033700</v>
          </cell>
          <cell r="J38">
            <v>1080400</v>
          </cell>
          <cell r="K38">
            <v>1120800</v>
          </cell>
          <cell r="L38">
            <v>1094500</v>
          </cell>
          <cell r="M38">
            <v>1228800</v>
          </cell>
          <cell r="N38">
            <v>1777600</v>
          </cell>
          <cell r="O38">
            <v>1519400</v>
          </cell>
          <cell r="P38">
            <v>1467300</v>
          </cell>
          <cell r="Q38">
            <v>1020524.9539944406</v>
          </cell>
          <cell r="R38">
            <v>1077594.8732078981</v>
          </cell>
          <cell r="S38">
            <v>1069662.2802334437</v>
          </cell>
          <cell r="T38">
            <v>1056176.442181048</v>
          </cell>
          <cell r="U38">
            <v>1126994.5672140231</v>
          </cell>
          <cell r="W38">
            <v>50109</v>
          </cell>
          <cell r="X38">
            <v>30555</v>
          </cell>
          <cell r="Y38">
            <v>44630</v>
          </cell>
          <cell r="Z38">
            <v>20590</v>
          </cell>
          <cell r="AA38">
            <v>40489</v>
          </cell>
          <cell r="AB38">
            <v>58188</v>
          </cell>
          <cell r="AC38">
            <v>37342</v>
          </cell>
          <cell r="AD38">
            <v>55072</v>
          </cell>
          <cell r="AE38">
            <v>41875</v>
          </cell>
          <cell r="AF38">
            <v>61513</v>
          </cell>
          <cell r="AG38">
            <v>764946</v>
          </cell>
          <cell r="AH38">
            <v>256873</v>
          </cell>
          <cell r="AI38">
            <v>215300</v>
          </cell>
          <cell r="AJ38">
            <v>298200</v>
          </cell>
          <cell r="AK38">
            <v>170300</v>
          </cell>
          <cell r="AL38">
            <v>349900</v>
          </cell>
          <cell r="AM38">
            <v>215100</v>
          </cell>
          <cell r="AN38">
            <v>291800</v>
          </cell>
          <cell r="AO38">
            <v>222900</v>
          </cell>
          <cell r="AP38">
            <v>350600</v>
          </cell>
          <cell r="AQ38">
            <v>215000</v>
          </cell>
          <cell r="AR38">
            <v>284200</v>
          </cell>
          <cell r="AS38">
            <v>242200</v>
          </cell>
          <cell r="AT38">
            <v>379400</v>
          </cell>
          <cell r="AU38">
            <v>173500</v>
          </cell>
          <cell r="AV38">
            <v>285100</v>
          </cell>
          <cell r="AW38">
            <v>252900</v>
          </cell>
          <cell r="AX38">
            <v>383000</v>
          </cell>
          <cell r="AY38">
            <v>212300</v>
          </cell>
          <cell r="AZ38">
            <v>374400</v>
          </cell>
          <cell r="BA38">
            <v>329700</v>
          </cell>
          <cell r="BB38">
            <v>312400</v>
          </cell>
          <cell r="BC38">
            <v>438800</v>
          </cell>
          <cell r="BD38">
            <v>398000</v>
          </cell>
          <cell r="BE38">
            <v>406800</v>
          </cell>
          <cell r="BF38">
            <v>534000</v>
          </cell>
          <cell r="BG38">
            <v>304600</v>
          </cell>
          <cell r="BH38">
            <v>408000</v>
          </cell>
          <cell r="BI38">
            <v>448100</v>
          </cell>
          <cell r="BJ38">
            <v>358700</v>
          </cell>
          <cell r="BK38">
            <v>319800</v>
          </cell>
          <cell r="BL38">
            <v>361800</v>
          </cell>
          <cell r="BM38">
            <v>431000</v>
          </cell>
          <cell r="BN38">
            <v>354700</v>
          </cell>
          <cell r="BO38">
            <v>243800</v>
          </cell>
          <cell r="BP38">
            <v>136200</v>
          </cell>
          <cell r="BQ38">
            <v>376300</v>
          </cell>
          <cell r="BR38">
            <v>264224.95399444038</v>
          </cell>
        </row>
        <row r="40">
          <cell r="A40" t="str">
            <v>Investing activities</v>
          </cell>
          <cell r="D40" t="str">
            <v/>
          </cell>
          <cell r="E40" t="str">
            <v/>
          </cell>
          <cell r="F40" t="str">
            <v/>
          </cell>
          <cell r="W40">
            <v>0.25416253338420453</v>
          </cell>
          <cell r="X40">
            <v>0.28843773584905663</v>
          </cell>
          <cell r="Y40">
            <v>0.26415315753298352</v>
          </cell>
          <cell r="Z40">
            <v>0.23717590475706615</v>
          </cell>
          <cell r="AA40">
            <v>0.30284917661409777</v>
          </cell>
          <cell r="AB40">
            <v>0.24900477707006369</v>
          </cell>
          <cell r="AC40">
            <v>0.29434042883778744</v>
          </cell>
          <cell r="AD40">
            <v>4.8113623161284536E-2</v>
          </cell>
        </row>
        <row r="41">
          <cell r="A41" t="str">
            <v>Acquisition/sale, net of cash acquired</v>
          </cell>
          <cell r="D41">
            <v>-128135</v>
          </cell>
          <cell r="E41" t="str">
            <v/>
          </cell>
          <cell r="F41">
            <v>-1500</v>
          </cell>
          <cell r="G41">
            <v>0</v>
          </cell>
          <cell r="H41">
            <v>69050</v>
          </cell>
          <cell r="I41">
            <v>-506800</v>
          </cell>
          <cell r="J41">
            <v>74500</v>
          </cell>
          <cell r="K41">
            <v>-195300</v>
          </cell>
          <cell r="L41">
            <v>-1043900</v>
          </cell>
          <cell r="M41">
            <v>0</v>
          </cell>
          <cell r="N41">
            <v>0</v>
          </cell>
          <cell r="Q41">
            <v>575000</v>
          </cell>
          <cell r="R41">
            <v>526000</v>
          </cell>
          <cell r="S41">
            <v>0</v>
          </cell>
          <cell r="T41">
            <v>0</v>
          </cell>
          <cell r="U41">
            <v>0</v>
          </cell>
          <cell r="AG41">
            <v>69050</v>
          </cell>
          <cell r="AH41">
            <v>0</v>
          </cell>
          <cell r="AI41">
            <v>0</v>
          </cell>
          <cell r="AJ41">
            <v>0</v>
          </cell>
          <cell r="AK41">
            <v>-547600</v>
          </cell>
          <cell r="AL41">
            <v>40800</v>
          </cell>
          <cell r="AM41">
            <v>16400</v>
          </cell>
          <cell r="AN41">
            <v>900</v>
          </cell>
          <cell r="AO41">
            <v>0</v>
          </cell>
          <cell r="AP41">
            <v>57200</v>
          </cell>
          <cell r="AT41">
            <v>-195300</v>
          </cell>
          <cell r="AU41">
            <v>-198400</v>
          </cell>
          <cell r="AV41">
            <v>-253600</v>
          </cell>
          <cell r="AW41">
            <v>0</v>
          </cell>
          <cell r="AX41">
            <v>-591900</v>
          </cell>
          <cell r="AY41">
            <v>0</v>
          </cell>
          <cell r="AZ41">
            <v>0</v>
          </cell>
          <cell r="BA41">
            <v>0</v>
          </cell>
          <cell r="BB41">
            <v>0</v>
          </cell>
          <cell r="BC41">
            <v>0</v>
          </cell>
          <cell r="BD41">
            <v>0</v>
          </cell>
          <cell r="BE41">
            <v>0</v>
          </cell>
          <cell r="BF41">
            <v>0</v>
          </cell>
          <cell r="BR41">
            <v>575000</v>
          </cell>
          <cell r="BT41" t="str">
            <v>mstag:netDisposalsAcquisitions</v>
          </cell>
          <cell r="BU41">
            <v>3</v>
          </cell>
          <cell r="BV41" t="str">
            <v>ISO4217:USD</v>
          </cell>
          <cell r="BW41" t="b">
            <v>0</v>
          </cell>
          <cell r="BX41" t="b">
            <v>0</v>
          </cell>
        </row>
        <row r="42">
          <cell r="A42" t="str">
            <v>Additions to property, plant and equipment</v>
          </cell>
          <cell r="D42">
            <v>-89527</v>
          </cell>
          <cell r="E42">
            <v>-69850</v>
          </cell>
          <cell r="F42">
            <v>-65525</v>
          </cell>
          <cell r="G42">
            <v>-57385</v>
          </cell>
          <cell r="H42">
            <v>-373840</v>
          </cell>
          <cell r="I42">
            <v>-365700</v>
          </cell>
          <cell r="J42">
            <v>-317500</v>
          </cell>
          <cell r="K42">
            <v>-298100</v>
          </cell>
          <cell r="L42">
            <v>-415200</v>
          </cell>
          <cell r="M42">
            <v>-701900</v>
          </cell>
          <cell r="N42">
            <v>-1101200</v>
          </cell>
          <cell r="O42">
            <v>-841000</v>
          </cell>
          <cell r="P42">
            <v>-786500</v>
          </cell>
          <cell r="Q42">
            <v>-988666.90732714138</v>
          </cell>
          <cell r="R42">
            <v>-1055204.6667873431</v>
          </cell>
          <cell r="S42">
            <v>-811094.71028900112</v>
          </cell>
          <cell r="T42">
            <v>-801602.7541774381</v>
          </cell>
          <cell r="U42">
            <v>-794385.94356447575</v>
          </cell>
          <cell r="W42">
            <v>-16654</v>
          </cell>
          <cell r="X42">
            <v>-19109</v>
          </cell>
          <cell r="Y42">
            <v>-15757</v>
          </cell>
          <cell r="Z42">
            <v>-14005</v>
          </cell>
          <cell r="AA42">
            <v>-17379</v>
          </cell>
          <cell r="AB42">
            <v>-12510</v>
          </cell>
          <cell r="AC42">
            <v>-15155</v>
          </cell>
          <cell r="AD42">
            <v>-12341</v>
          </cell>
          <cell r="AE42">
            <v>-10234</v>
          </cell>
          <cell r="AF42">
            <v>-13758</v>
          </cell>
          <cell r="AG42">
            <v>-220164</v>
          </cell>
          <cell r="AH42">
            <v>-129684</v>
          </cell>
          <cell r="AI42">
            <v>-80000</v>
          </cell>
          <cell r="AJ42">
            <v>-98000</v>
          </cell>
          <cell r="AK42">
            <v>-90300</v>
          </cell>
          <cell r="AL42">
            <v>-97400</v>
          </cell>
          <cell r="AM42">
            <v>-55800</v>
          </cell>
          <cell r="AN42">
            <v>-77500</v>
          </cell>
          <cell r="AO42">
            <v>-86200</v>
          </cell>
          <cell r="AP42">
            <v>-98000</v>
          </cell>
          <cell r="AQ42">
            <v>-62800</v>
          </cell>
          <cell r="AR42">
            <v>-76700</v>
          </cell>
          <cell r="AS42">
            <v>-67300</v>
          </cell>
          <cell r="AT42">
            <v>-91300</v>
          </cell>
          <cell r="AU42">
            <v>-60500</v>
          </cell>
          <cell r="AV42">
            <v>-98900</v>
          </cell>
          <cell r="AW42">
            <v>-113300</v>
          </cell>
          <cell r="AX42">
            <v>-142500</v>
          </cell>
          <cell r="AY42">
            <v>-158500</v>
          </cell>
          <cell r="AZ42">
            <v>-171000</v>
          </cell>
          <cell r="BA42">
            <v>-177000</v>
          </cell>
          <cell r="BB42">
            <v>-195400</v>
          </cell>
          <cell r="BC42">
            <v>-226100</v>
          </cell>
          <cell r="BD42">
            <v>-276000</v>
          </cell>
          <cell r="BE42">
            <v>-307300</v>
          </cell>
          <cell r="BF42">
            <v>-291800</v>
          </cell>
          <cell r="BG42">
            <v>-243500</v>
          </cell>
          <cell r="BH42">
            <v>-228700</v>
          </cell>
          <cell r="BI42">
            <v>-193800</v>
          </cell>
          <cell r="BJ42">
            <v>-175000</v>
          </cell>
          <cell r="BK42">
            <v>-153000</v>
          </cell>
          <cell r="BL42">
            <v>-205800</v>
          </cell>
          <cell r="BM42">
            <v>-193900</v>
          </cell>
          <cell r="BN42">
            <v>-233800</v>
          </cell>
          <cell r="BO42">
            <v>-189300</v>
          </cell>
          <cell r="BP42">
            <v>-255000</v>
          </cell>
          <cell r="BQ42">
            <v>-300100</v>
          </cell>
          <cell r="BR42">
            <v>-244266.90732714138</v>
          </cell>
          <cell r="BT42" t="str">
            <v>mstag:capitalExpenditures</v>
          </cell>
          <cell r="BU42">
            <v>3</v>
          </cell>
          <cell r="BV42" t="str">
            <v>ISO4217:USD</v>
          </cell>
          <cell r="BW42" t="b">
            <v>1</v>
          </cell>
          <cell r="BX42" t="b">
            <v>0</v>
          </cell>
        </row>
        <row r="43">
          <cell r="A43" t="str">
            <v>Redemption of RTFC capital certificate</v>
          </cell>
          <cell r="D43" t="str">
            <v/>
          </cell>
          <cell r="E43" t="str">
            <v/>
          </cell>
          <cell r="F43">
            <v>31111</v>
          </cell>
          <cell r="G43">
            <v>24445</v>
          </cell>
          <cell r="H43">
            <v>0</v>
          </cell>
          <cell r="I43">
            <v>0</v>
          </cell>
          <cell r="J43">
            <v>0</v>
          </cell>
          <cell r="K43">
            <v>0</v>
          </cell>
          <cell r="L43">
            <v>0</v>
          </cell>
          <cell r="M43">
            <v>0</v>
          </cell>
          <cell r="N43">
            <v>0</v>
          </cell>
          <cell r="Q43">
            <v>0</v>
          </cell>
          <cell r="Y43" t="str">
            <v/>
          </cell>
          <cell r="AA43">
            <v>24445</v>
          </cell>
          <cell r="BT43" t="str">
            <v>mstag:proceedsFromSaleOfFundsUsedTopurchaseSecuritiesAndOtherInvestments</v>
          </cell>
          <cell r="BU43">
            <v>3</v>
          </cell>
          <cell r="BV43" t="str">
            <v>ISO4217:USD</v>
          </cell>
          <cell r="BW43" t="b">
            <v>0</v>
          </cell>
          <cell r="BX43" t="b">
            <v>0</v>
          </cell>
        </row>
        <row r="44">
          <cell r="A44" t="str">
            <v>Distributions from CS&amp;L</v>
          </cell>
          <cell r="D44">
            <v>1939</v>
          </cell>
          <cell r="E44">
            <v>3507</v>
          </cell>
          <cell r="F44">
            <v>1904</v>
          </cell>
          <cell r="G44">
            <v>0</v>
          </cell>
          <cell r="H44">
            <v>0</v>
          </cell>
          <cell r="I44">
            <v>0</v>
          </cell>
          <cell r="J44">
            <v>0</v>
          </cell>
          <cell r="K44">
            <v>0</v>
          </cell>
          <cell r="L44">
            <v>0</v>
          </cell>
          <cell r="M44">
            <v>0</v>
          </cell>
          <cell r="N44">
            <v>0</v>
          </cell>
          <cell r="Q44">
            <v>0</v>
          </cell>
          <cell r="R44">
            <v>0</v>
          </cell>
          <cell r="AA44">
            <v>317</v>
          </cell>
          <cell r="AB44">
            <v>0</v>
          </cell>
          <cell r="AC44">
            <v>-317</v>
          </cell>
          <cell r="BR44">
            <v>0</v>
          </cell>
          <cell r="BT44" t="str">
            <v>mstag:dividendsFromInvestmentsAccountedForUnderTheEquityMethodOperating</v>
          </cell>
          <cell r="BU44">
            <v>3</v>
          </cell>
          <cell r="BV44" t="str">
            <v>ISO4217:USD</v>
          </cell>
          <cell r="BW44" t="b">
            <v>0</v>
          </cell>
          <cell r="BX44" t="b">
            <v>0</v>
          </cell>
        </row>
        <row r="45">
          <cell r="A45" t="str">
            <v>Share Repurchase</v>
          </cell>
          <cell r="Q45">
            <v>-15000</v>
          </cell>
          <cell r="R45">
            <v>-45000</v>
          </cell>
          <cell r="S45">
            <v>-10000</v>
          </cell>
          <cell r="T45">
            <v>-10000</v>
          </cell>
          <cell r="U45">
            <v>-10000</v>
          </cell>
          <cell r="BR45">
            <v>-15000</v>
          </cell>
          <cell r="BT45" t="str">
            <v>mstag:proceedsFromIssuanceFundsUsedToRepurchaseCommonStock</v>
          </cell>
          <cell r="BU45">
            <v>3</v>
          </cell>
          <cell r="BV45" t="str">
            <v>ISO4217:USD</v>
          </cell>
          <cell r="BW45" t="b">
            <v>0</v>
          </cell>
          <cell r="BX45" t="b">
            <v>0</v>
          </cell>
        </row>
        <row r="46">
          <cell r="A46" t="str">
            <v>Other, net</v>
          </cell>
          <cell r="D46">
            <v>-1050</v>
          </cell>
          <cell r="E46">
            <v>44</v>
          </cell>
          <cell r="F46">
            <v>-848</v>
          </cell>
          <cell r="G46">
            <v>203</v>
          </cell>
          <cell r="H46">
            <v>5778</v>
          </cell>
          <cell r="I46">
            <v>5400</v>
          </cell>
          <cell r="J46">
            <v>9900</v>
          </cell>
          <cell r="K46">
            <v>600</v>
          </cell>
          <cell r="L46">
            <v>1600</v>
          </cell>
          <cell r="M46">
            <v>49700</v>
          </cell>
          <cell r="N46">
            <v>-500</v>
          </cell>
          <cell r="O46">
            <v>133400</v>
          </cell>
          <cell r="P46">
            <v>17400</v>
          </cell>
          <cell r="Q46">
            <v>-28300</v>
          </cell>
          <cell r="R46">
            <v>0</v>
          </cell>
          <cell r="S46">
            <v>0</v>
          </cell>
          <cell r="T46">
            <v>0</v>
          </cell>
          <cell r="U46">
            <v>0</v>
          </cell>
          <cell r="W46">
            <v>-69</v>
          </cell>
          <cell r="X46">
            <v>-395</v>
          </cell>
          <cell r="Y46">
            <v>-12</v>
          </cell>
          <cell r="Z46">
            <v>-372</v>
          </cell>
          <cell r="AA46">
            <v>-19</v>
          </cell>
          <cell r="AB46">
            <v>-209</v>
          </cell>
          <cell r="AC46">
            <v>453</v>
          </cell>
          <cell r="AD46">
            <v>-22</v>
          </cell>
          <cell r="AE46">
            <v>4</v>
          </cell>
          <cell r="AF46">
            <v>213</v>
          </cell>
          <cell r="AG46">
            <v>4130</v>
          </cell>
          <cell r="AH46">
            <v>1431</v>
          </cell>
          <cell r="AI46">
            <v>-4400</v>
          </cell>
          <cell r="AJ46">
            <v>5600</v>
          </cell>
          <cell r="AK46">
            <v>800</v>
          </cell>
          <cell r="AL46">
            <v>3400</v>
          </cell>
          <cell r="AM46">
            <v>9200</v>
          </cell>
          <cell r="AN46">
            <v>1400</v>
          </cell>
          <cell r="AO46">
            <v>1000</v>
          </cell>
          <cell r="AP46">
            <v>-1700</v>
          </cell>
          <cell r="AQ46">
            <v>0</v>
          </cell>
          <cell r="AR46">
            <v>300</v>
          </cell>
          <cell r="AS46">
            <v>0</v>
          </cell>
          <cell r="AT46">
            <v>300</v>
          </cell>
          <cell r="AU46">
            <v>600</v>
          </cell>
          <cell r="AV46">
            <v>2500</v>
          </cell>
          <cell r="AW46">
            <v>-300</v>
          </cell>
          <cell r="AX46">
            <v>-1200</v>
          </cell>
          <cell r="AY46">
            <v>-7400</v>
          </cell>
          <cell r="AZ46">
            <v>-2100</v>
          </cell>
          <cell r="BA46">
            <v>-7200</v>
          </cell>
          <cell r="BB46">
            <v>66400</v>
          </cell>
          <cell r="BC46">
            <v>50400</v>
          </cell>
          <cell r="BD46">
            <v>-11600</v>
          </cell>
          <cell r="BE46">
            <v>-35300</v>
          </cell>
          <cell r="BF46">
            <v>-4000</v>
          </cell>
          <cell r="BG46">
            <v>9000</v>
          </cell>
          <cell r="BH46">
            <v>18000</v>
          </cell>
          <cell r="BI46">
            <v>10700</v>
          </cell>
          <cell r="BJ46">
            <v>95700</v>
          </cell>
          <cell r="BK46">
            <v>29400</v>
          </cell>
          <cell r="BL46">
            <v>9800</v>
          </cell>
          <cell r="BM46">
            <v>1000</v>
          </cell>
          <cell r="BN46">
            <v>-22800</v>
          </cell>
          <cell r="BO46">
            <v>-3400</v>
          </cell>
          <cell r="BP46">
            <v>-9200</v>
          </cell>
          <cell r="BQ46">
            <v>-15700</v>
          </cell>
          <cell r="BT46" t="str">
            <v>mstag:otherCashFlowsFromUsedInNonoperatingActivities</v>
          </cell>
          <cell r="BU46">
            <v>3</v>
          </cell>
          <cell r="BV46" t="str">
            <v>ISO4217:USD</v>
          </cell>
          <cell r="BW46" t="b">
            <v>0</v>
          </cell>
          <cell r="BX46" t="b">
            <v>0</v>
          </cell>
        </row>
        <row r="47">
          <cell r="A47" t="str">
            <v>Cash used in investing activities</v>
          </cell>
          <cell r="D47">
            <v>-216773</v>
          </cell>
          <cell r="E47">
            <v>-66299</v>
          </cell>
          <cell r="F47">
            <v>-34858</v>
          </cell>
          <cell r="G47">
            <v>-32737</v>
          </cell>
          <cell r="H47">
            <v>-299012</v>
          </cell>
          <cell r="I47">
            <v>-867100</v>
          </cell>
          <cell r="J47">
            <v>-233100</v>
          </cell>
          <cell r="K47">
            <v>-492800</v>
          </cell>
          <cell r="L47">
            <v>-1457500</v>
          </cell>
          <cell r="M47">
            <v>-652200</v>
          </cell>
          <cell r="N47">
            <v>-1101700</v>
          </cell>
          <cell r="O47">
            <v>-707600</v>
          </cell>
          <cell r="P47">
            <v>-769100</v>
          </cell>
          <cell r="Q47">
            <v>-456966.90732714138</v>
          </cell>
          <cell r="R47">
            <v>-574204.6667873431</v>
          </cell>
          <cell r="S47">
            <v>-821094.71028900112</v>
          </cell>
          <cell r="T47">
            <v>-811602.7541774381</v>
          </cell>
          <cell r="U47">
            <v>-804385.94356447575</v>
          </cell>
          <cell r="W47">
            <v>-16723</v>
          </cell>
          <cell r="X47">
            <v>-19504</v>
          </cell>
          <cell r="Y47">
            <v>-15769</v>
          </cell>
          <cell r="Z47">
            <v>-14377</v>
          </cell>
          <cell r="AA47">
            <v>7364</v>
          </cell>
          <cell r="AB47">
            <v>-12719</v>
          </cell>
          <cell r="AC47">
            <v>-15019</v>
          </cell>
          <cell r="AD47">
            <v>-12363</v>
          </cell>
          <cell r="AE47">
            <v>-10230</v>
          </cell>
          <cell r="AF47">
            <v>-13545</v>
          </cell>
          <cell r="AG47">
            <v>-146984</v>
          </cell>
          <cell r="AH47">
            <v>-128253</v>
          </cell>
          <cell r="AI47">
            <v>-84400</v>
          </cell>
          <cell r="AJ47">
            <v>-92400</v>
          </cell>
          <cell r="AK47">
            <v>-637100</v>
          </cell>
          <cell r="AL47">
            <v>-53200</v>
          </cell>
          <cell r="AM47">
            <v>-30200</v>
          </cell>
          <cell r="AN47">
            <v>-75200</v>
          </cell>
          <cell r="AO47">
            <v>-85200</v>
          </cell>
          <cell r="AP47">
            <v>-42500</v>
          </cell>
          <cell r="AQ47">
            <v>-62800</v>
          </cell>
          <cell r="AR47">
            <v>-76400</v>
          </cell>
          <cell r="AS47">
            <v>-67300</v>
          </cell>
          <cell r="AT47">
            <v>-286300</v>
          </cell>
          <cell r="AU47">
            <v>-258300</v>
          </cell>
          <cell r="AV47">
            <v>-350000</v>
          </cell>
          <cell r="AW47">
            <v>-113600</v>
          </cell>
          <cell r="AX47">
            <v>-735600</v>
          </cell>
          <cell r="AY47">
            <v>-165900</v>
          </cell>
          <cell r="AZ47">
            <v>-173100</v>
          </cell>
          <cell r="BA47">
            <v>-184200</v>
          </cell>
          <cell r="BB47">
            <v>-129000</v>
          </cell>
          <cell r="BC47">
            <v>-175700</v>
          </cell>
          <cell r="BD47">
            <v>-287600</v>
          </cell>
          <cell r="BE47">
            <v>-342600</v>
          </cell>
          <cell r="BF47">
            <v>-295800</v>
          </cell>
          <cell r="BG47">
            <v>-234500</v>
          </cell>
          <cell r="BH47">
            <v>-210700</v>
          </cell>
          <cell r="BI47">
            <v>-183100</v>
          </cell>
          <cell r="BJ47">
            <v>-79300</v>
          </cell>
          <cell r="BK47">
            <v>-123600</v>
          </cell>
          <cell r="BL47">
            <v>-196000</v>
          </cell>
          <cell r="BM47">
            <v>-192900</v>
          </cell>
          <cell r="BN47">
            <v>-256600</v>
          </cell>
          <cell r="BO47">
            <v>-192700</v>
          </cell>
          <cell r="BP47">
            <v>-264200</v>
          </cell>
          <cell r="BQ47">
            <v>-315800</v>
          </cell>
          <cell r="BR47">
            <v>315733.09267285862</v>
          </cell>
        </row>
        <row r="49">
          <cell r="A49" t="str">
            <v>Financing activities</v>
          </cell>
          <cell r="W49" t="str">
            <v/>
          </cell>
          <cell r="X49" t="str">
            <v/>
          </cell>
          <cell r="Y49" t="str">
            <v/>
          </cell>
          <cell r="AC49" t="str">
            <v/>
          </cell>
        </row>
        <row r="50">
          <cell r="A50" t="str">
            <v xml:space="preserve">  Proceeds from issuance of debt</v>
          </cell>
          <cell r="D50">
            <v>116500</v>
          </cell>
          <cell r="E50">
            <v>61500</v>
          </cell>
          <cell r="F50">
            <v>1359000</v>
          </cell>
          <cell r="G50">
            <v>400000</v>
          </cell>
          <cell r="H50">
            <v>3156103</v>
          </cell>
          <cell r="I50">
            <v>848900</v>
          </cell>
          <cell r="J50">
            <v>380000</v>
          </cell>
          <cell r="K50">
            <v>1083600</v>
          </cell>
          <cell r="L50">
            <v>1551800</v>
          </cell>
          <cell r="M50">
            <v>4922000</v>
          </cell>
          <cell r="N50">
            <v>1910000</v>
          </cell>
          <cell r="O50">
            <v>4919600</v>
          </cell>
          <cell r="P50">
            <v>1315000</v>
          </cell>
          <cell r="Q50">
            <v>1620000</v>
          </cell>
          <cell r="W50">
            <v>0</v>
          </cell>
          <cell r="X50">
            <v>58000</v>
          </cell>
          <cell r="Y50">
            <v>1000</v>
          </cell>
          <cell r="Z50">
            <v>1300000</v>
          </cell>
          <cell r="AA50">
            <v>400000</v>
          </cell>
          <cell r="AB50">
            <v>0</v>
          </cell>
          <cell r="AC50">
            <v>0</v>
          </cell>
          <cell r="AD50">
            <v>0</v>
          </cell>
          <cell r="AE50">
            <v>0</v>
          </cell>
          <cell r="AF50">
            <v>0</v>
          </cell>
          <cell r="AG50">
            <v>3158802</v>
          </cell>
          <cell r="AH50">
            <v>-2699</v>
          </cell>
          <cell r="AI50">
            <v>499100</v>
          </cell>
          <cell r="AJ50">
            <v>-200</v>
          </cell>
          <cell r="AK50">
            <v>250000</v>
          </cell>
          <cell r="AL50">
            <v>100000</v>
          </cell>
          <cell r="AM50">
            <v>100000</v>
          </cell>
          <cell r="AN50">
            <v>120000</v>
          </cell>
          <cell r="AO50">
            <v>160000</v>
          </cell>
          <cell r="AP50">
            <v>0</v>
          </cell>
          <cell r="AQ50">
            <v>0</v>
          </cell>
          <cell r="AR50">
            <v>0</v>
          </cell>
          <cell r="AS50">
            <v>0</v>
          </cell>
          <cell r="AT50">
            <v>1083600</v>
          </cell>
          <cell r="AU50">
            <v>0</v>
          </cell>
          <cell r="AV50">
            <v>375000</v>
          </cell>
          <cell r="AW50">
            <v>437000</v>
          </cell>
          <cell r="AX50">
            <v>739800</v>
          </cell>
          <cell r="AY50">
            <v>2137000</v>
          </cell>
          <cell r="AZ50">
            <v>325000</v>
          </cell>
          <cell r="BA50">
            <v>685000</v>
          </cell>
          <cell r="BB50">
            <v>1775000</v>
          </cell>
          <cell r="BC50">
            <v>505000</v>
          </cell>
          <cell r="BD50">
            <v>245000</v>
          </cell>
          <cell r="BE50">
            <v>1025000</v>
          </cell>
          <cell r="BF50">
            <v>135000</v>
          </cell>
          <cell r="BG50">
            <v>2195000</v>
          </cell>
          <cell r="BH50">
            <v>240000</v>
          </cell>
          <cell r="BI50">
            <v>1562500</v>
          </cell>
          <cell r="BJ50">
            <v>922100</v>
          </cell>
          <cell r="BK50">
            <v>325000</v>
          </cell>
          <cell r="BL50">
            <v>310000</v>
          </cell>
          <cell r="BM50">
            <v>350000</v>
          </cell>
          <cell r="BN50">
            <v>330000</v>
          </cell>
          <cell r="BO50">
            <v>490000</v>
          </cell>
          <cell r="BP50">
            <v>610000</v>
          </cell>
          <cell r="BQ50">
            <v>520000</v>
          </cell>
          <cell r="BT50" t="str">
            <v>mstag:proceedsFromIssuanceAndCashUsedToRepayLongTermDebt</v>
          </cell>
          <cell r="BU50">
            <v>3</v>
          </cell>
          <cell r="BV50" t="str">
            <v>ISO4217:USD</v>
          </cell>
          <cell r="BW50" t="b">
            <v>0</v>
          </cell>
          <cell r="BX50" t="b">
            <v>0</v>
          </cell>
        </row>
        <row r="51">
          <cell r="A51" t="str">
            <v xml:space="preserve">  Repayments of long-term debt</v>
          </cell>
          <cell r="D51">
            <v>-77304</v>
          </cell>
          <cell r="E51">
            <v>-161549</v>
          </cell>
          <cell r="F51">
            <v>-1223249</v>
          </cell>
          <cell r="G51">
            <v>-820364</v>
          </cell>
          <cell r="H51">
            <v>-871422</v>
          </cell>
          <cell r="I51">
            <v>-811000</v>
          </cell>
          <cell r="J51">
            <v>-354300</v>
          </cell>
          <cell r="K51">
            <v>-356600</v>
          </cell>
          <cell r="L51">
            <v>-1715000</v>
          </cell>
          <cell r="M51">
            <v>-4780300</v>
          </cell>
          <cell r="N51">
            <v>-2054500</v>
          </cell>
          <cell r="O51">
            <v>-5161000</v>
          </cell>
          <cell r="P51">
            <v>-1395400</v>
          </cell>
          <cell r="Q51">
            <v>-2098600</v>
          </cell>
          <cell r="R51">
            <v>-892000</v>
          </cell>
          <cell r="S51">
            <v>-200000</v>
          </cell>
          <cell r="T51">
            <v>-180000</v>
          </cell>
          <cell r="U51">
            <v>-266199.99999999983</v>
          </cell>
          <cell r="W51">
            <v>-33777</v>
          </cell>
          <cell r="X51">
            <v>-52032</v>
          </cell>
          <cell r="Y51">
            <v>-32538</v>
          </cell>
          <cell r="Z51">
            <v>-1104902</v>
          </cell>
          <cell r="AA51">
            <v>-800165</v>
          </cell>
          <cell r="AB51">
            <v>-10049</v>
          </cell>
          <cell r="AC51">
            <v>-10086</v>
          </cell>
          <cell r="AD51">
            <v>-64</v>
          </cell>
          <cell r="AE51">
            <v>-43</v>
          </cell>
          <cell r="AF51">
            <v>-16</v>
          </cell>
          <cell r="AG51">
            <v>-861304</v>
          </cell>
          <cell r="AH51">
            <v>-10059</v>
          </cell>
          <cell r="AI51">
            <v>-500100</v>
          </cell>
          <cell r="AJ51">
            <v>0</v>
          </cell>
          <cell r="AK51">
            <v>-77600</v>
          </cell>
          <cell r="AL51">
            <v>-233300</v>
          </cell>
          <cell r="AM51">
            <v>-88600</v>
          </cell>
          <cell r="AN51">
            <v>-118500</v>
          </cell>
          <cell r="AO51">
            <v>-133600</v>
          </cell>
          <cell r="AP51">
            <v>-13600</v>
          </cell>
          <cell r="AQ51">
            <v>-3600</v>
          </cell>
          <cell r="AR51">
            <v>-153500</v>
          </cell>
          <cell r="AS51">
            <v>-3600</v>
          </cell>
          <cell r="AT51">
            <v>-195900</v>
          </cell>
          <cell r="AU51">
            <v>-284500</v>
          </cell>
          <cell r="AV51">
            <v>-707600</v>
          </cell>
          <cell r="AW51">
            <v>-343100</v>
          </cell>
          <cell r="AX51">
            <v>-379800</v>
          </cell>
          <cell r="AY51">
            <v>-2052700</v>
          </cell>
          <cell r="AZ51">
            <v>-381700</v>
          </cell>
          <cell r="BA51">
            <v>-716400</v>
          </cell>
          <cell r="BB51">
            <v>-1629500</v>
          </cell>
          <cell r="BC51">
            <v>-774400</v>
          </cell>
          <cell r="BD51">
            <v>-229500</v>
          </cell>
          <cell r="BE51">
            <v>-844700</v>
          </cell>
          <cell r="BF51">
            <v>-205900</v>
          </cell>
          <cell r="BG51">
            <v>-2164900</v>
          </cell>
          <cell r="BH51">
            <v>-261300</v>
          </cell>
          <cell r="BI51">
            <v>-1667000</v>
          </cell>
          <cell r="BJ51">
            <v>-1067800</v>
          </cell>
          <cell r="BK51">
            <v>-331600</v>
          </cell>
          <cell r="BL51">
            <v>-336900</v>
          </cell>
          <cell r="BM51">
            <v>-380500</v>
          </cell>
          <cell r="BN51">
            <v>-346400</v>
          </cell>
          <cell r="BO51">
            <v>-325400</v>
          </cell>
          <cell r="BP51">
            <v>-1316500</v>
          </cell>
          <cell r="BQ51">
            <v>-456700</v>
          </cell>
          <cell r="BR51">
            <v>0</v>
          </cell>
          <cell r="BT51" t="str">
            <v>mstag:proceedsFromIssuanceAndCashUsedToRepayLongTermDebt</v>
          </cell>
          <cell r="BU51">
            <v>3</v>
          </cell>
          <cell r="BV51" t="str">
            <v>ISO4217:USD</v>
          </cell>
          <cell r="BW51" t="b">
            <v>0</v>
          </cell>
          <cell r="BX51" t="b">
            <v>0</v>
          </cell>
        </row>
        <row r="52">
          <cell r="A52" t="str">
            <v xml:space="preserve">  Notes payable, net</v>
          </cell>
          <cell r="D52">
            <v>-11497</v>
          </cell>
          <cell r="E52">
            <v>1742</v>
          </cell>
          <cell r="F52">
            <v>-8273</v>
          </cell>
          <cell r="G52">
            <v>-1893</v>
          </cell>
          <cell r="H52">
            <v>0</v>
          </cell>
          <cell r="I52">
            <v>0</v>
          </cell>
          <cell r="J52">
            <v>0</v>
          </cell>
          <cell r="K52">
            <v>0</v>
          </cell>
          <cell r="L52">
            <v>0</v>
          </cell>
          <cell r="M52">
            <v>0</v>
          </cell>
          <cell r="N52">
            <v>0</v>
          </cell>
          <cell r="Q52">
            <v>0</v>
          </cell>
          <cell r="W52">
            <v>2736</v>
          </cell>
          <cell r="X52">
            <v>-1223</v>
          </cell>
          <cell r="Y52">
            <v>2550</v>
          </cell>
          <cell r="Z52">
            <v>-12336</v>
          </cell>
          <cell r="AA52">
            <v>-1893</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BT52" t="str">
            <v>mstag:proceedsFromIssuanceAndCashUsedToRepayShortTermBorrowings</v>
          </cell>
          <cell r="BU52">
            <v>3</v>
          </cell>
          <cell r="BV52" t="str">
            <v>ISO4217:USD</v>
          </cell>
          <cell r="BW52" t="b">
            <v>0</v>
          </cell>
          <cell r="BX52" t="b">
            <v>0</v>
          </cell>
        </row>
        <row r="53">
          <cell r="A53" t="str">
            <v xml:space="preserve">  Proceeds from stock issuances/(repurchses)</v>
          </cell>
          <cell r="D53">
            <v>46000</v>
          </cell>
          <cell r="E53">
            <v>0</v>
          </cell>
          <cell r="F53">
            <v>0</v>
          </cell>
          <cell r="G53">
            <v>-19458</v>
          </cell>
          <cell r="H53">
            <v>0</v>
          </cell>
          <cell r="I53">
            <v>-40100</v>
          </cell>
          <cell r="J53">
            <v>-200300</v>
          </cell>
          <cell r="K53">
            <v>-121300</v>
          </cell>
          <cell r="L53">
            <v>0</v>
          </cell>
          <cell r="M53">
            <v>0</v>
          </cell>
          <cell r="N53">
            <v>0</v>
          </cell>
          <cell r="Q53">
            <v>0</v>
          </cell>
          <cell r="W53">
            <v>0</v>
          </cell>
          <cell r="X53">
            <v>-18646</v>
          </cell>
          <cell r="Y53">
            <v>18646</v>
          </cell>
          <cell r="Z53">
            <v>0</v>
          </cell>
          <cell r="AA53">
            <v>-19393</v>
          </cell>
          <cell r="AB53">
            <v>0</v>
          </cell>
          <cell r="AC53">
            <v>0</v>
          </cell>
          <cell r="AD53">
            <v>-65</v>
          </cell>
          <cell r="AE53">
            <v>0</v>
          </cell>
          <cell r="AF53">
            <v>0</v>
          </cell>
          <cell r="AG53">
            <v>0</v>
          </cell>
          <cell r="AH53">
            <v>0</v>
          </cell>
          <cell r="AI53">
            <v>0</v>
          </cell>
          <cell r="AJ53">
            <v>0</v>
          </cell>
          <cell r="AK53">
            <v>0</v>
          </cell>
          <cell r="AL53">
            <v>-40100</v>
          </cell>
          <cell r="AM53">
            <v>-100200</v>
          </cell>
          <cell r="AN53">
            <v>-100100</v>
          </cell>
          <cell r="AO53">
            <v>0</v>
          </cell>
          <cell r="AP53">
            <v>0</v>
          </cell>
          <cell r="AQ53">
            <v>-20700</v>
          </cell>
          <cell r="AR53">
            <v>-12100</v>
          </cell>
          <cell r="AS53">
            <v>-10700</v>
          </cell>
          <cell r="AT53">
            <v>-77800</v>
          </cell>
          <cell r="BT53" t="str">
            <v>mstag:proceedsFromIssuanceFundsUsedToRepurchaseCommonStock</v>
          </cell>
          <cell r="BU53">
            <v>3</v>
          </cell>
          <cell r="BV53" t="str">
            <v>ISO4217:USD</v>
          </cell>
          <cell r="BW53" t="b">
            <v>0</v>
          </cell>
          <cell r="BX53" t="b">
            <v>0</v>
          </cell>
        </row>
        <row r="54">
          <cell r="A54" t="str">
            <v xml:space="preserve">  Proceeds from issuance of minority interests</v>
          </cell>
          <cell r="D54">
            <v>110</v>
          </cell>
          <cell r="E54">
            <v>0</v>
          </cell>
          <cell r="F54">
            <v>0</v>
          </cell>
          <cell r="G54">
            <v>0</v>
          </cell>
          <cell r="H54">
            <v>0</v>
          </cell>
          <cell r="I54">
            <v>0</v>
          </cell>
          <cell r="J54">
            <v>0</v>
          </cell>
          <cell r="M54">
            <v>0</v>
          </cell>
          <cell r="N54">
            <v>0</v>
          </cell>
          <cell r="Q54">
            <v>0</v>
          </cell>
          <cell r="W54">
            <v>0</v>
          </cell>
          <cell r="X54">
            <v>0</v>
          </cell>
          <cell r="Y54">
            <v>0</v>
          </cell>
          <cell r="Z54">
            <v>0</v>
          </cell>
          <cell r="AA54">
            <v>0</v>
          </cell>
          <cell r="AB54">
            <v>0</v>
          </cell>
          <cell r="AC54">
            <v>0</v>
          </cell>
          <cell r="AD54">
            <v>0</v>
          </cell>
          <cell r="AG54">
            <v>0</v>
          </cell>
          <cell r="AH54">
            <v>0</v>
          </cell>
          <cell r="BT54" t="str">
            <v>mstag:otherCashFlowsFromUsedInFinancingActivities</v>
          </cell>
          <cell r="BU54">
            <v>3</v>
          </cell>
          <cell r="BV54" t="str">
            <v>ISO4217:USD</v>
          </cell>
          <cell r="BW54" t="b">
            <v>0</v>
          </cell>
          <cell r="BX54" t="b">
            <v>0</v>
          </cell>
        </row>
        <row r="55">
          <cell r="A55" t="str">
            <v xml:space="preserve">  Prepayment fees paid in connection with the debt recapitalization</v>
          </cell>
          <cell r="D55">
            <v>0</v>
          </cell>
          <cell r="E55">
            <v>0</v>
          </cell>
          <cell r="F55">
            <v>-11376</v>
          </cell>
          <cell r="G55">
            <v>411322</v>
          </cell>
          <cell r="H55">
            <v>0</v>
          </cell>
          <cell r="I55">
            <v>0</v>
          </cell>
          <cell r="J55">
            <v>0</v>
          </cell>
          <cell r="K55">
            <v>0</v>
          </cell>
          <cell r="L55">
            <v>0</v>
          </cell>
          <cell r="M55">
            <v>0</v>
          </cell>
          <cell r="N55">
            <v>0</v>
          </cell>
          <cell r="Q55">
            <v>0</v>
          </cell>
          <cell r="W55">
            <v>0</v>
          </cell>
          <cell r="X55">
            <v>0</v>
          </cell>
          <cell r="Y55">
            <v>0</v>
          </cell>
          <cell r="Z55">
            <v>-11376</v>
          </cell>
          <cell r="AA55">
            <v>412746</v>
          </cell>
          <cell r="AB55">
            <v>-1339</v>
          </cell>
          <cell r="AC55">
            <v>-85</v>
          </cell>
          <cell r="AD55">
            <v>0</v>
          </cell>
          <cell r="AE55">
            <v>0</v>
          </cell>
          <cell r="AF55">
            <v>0</v>
          </cell>
          <cell r="AG55">
            <v>0</v>
          </cell>
          <cell r="AH55">
            <v>0</v>
          </cell>
          <cell r="AI55">
            <v>0</v>
          </cell>
          <cell r="AJ55">
            <v>0</v>
          </cell>
          <cell r="AK55">
            <v>0</v>
          </cell>
          <cell r="AL55">
            <v>0</v>
          </cell>
          <cell r="AM55">
            <v>0</v>
          </cell>
          <cell r="AN55">
            <v>0</v>
          </cell>
          <cell r="AO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T55" t="str">
            <v>mstag:otherCashFlowsFromUsedInFinancingActivities</v>
          </cell>
          <cell r="BU55">
            <v>3</v>
          </cell>
          <cell r="BV55" t="str">
            <v>ISO4217:USD</v>
          </cell>
          <cell r="BW55" t="b">
            <v>0</v>
          </cell>
          <cell r="BX55" t="b">
            <v>0</v>
          </cell>
        </row>
        <row r="56">
          <cell r="A56" t="str">
            <v xml:space="preserve">  Redemption of redeemable preferred interests</v>
          </cell>
          <cell r="D56">
            <v>0</v>
          </cell>
          <cell r="E56">
            <v>0</v>
          </cell>
          <cell r="F56">
            <v>-134102</v>
          </cell>
          <cell r="G56">
            <v>0</v>
          </cell>
          <cell r="H56">
            <v>0</v>
          </cell>
          <cell r="I56">
            <v>0</v>
          </cell>
          <cell r="J56">
            <v>0</v>
          </cell>
          <cell r="K56">
            <v>0</v>
          </cell>
          <cell r="L56">
            <v>0</v>
          </cell>
          <cell r="M56">
            <v>0</v>
          </cell>
          <cell r="N56">
            <v>0</v>
          </cell>
          <cell r="Q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R56">
            <v>0</v>
          </cell>
          <cell r="AS56">
            <v>0</v>
          </cell>
          <cell r="AT56">
            <v>0</v>
          </cell>
          <cell r="BT56" t="str">
            <v>mstag:netIssuanceOfPreferredStock</v>
          </cell>
          <cell r="BU56">
            <v>3</v>
          </cell>
          <cell r="BV56" t="str">
            <v>ISO4217:USD</v>
          </cell>
          <cell r="BW56" t="b">
            <v>0</v>
          </cell>
          <cell r="BX56" t="b">
            <v>0</v>
          </cell>
        </row>
        <row r="57">
          <cell r="A57" t="str">
            <v xml:space="preserve">  Dividend/Redemption of Class C interests</v>
          </cell>
          <cell r="D57">
            <v>0</v>
          </cell>
          <cell r="E57">
            <v>0</v>
          </cell>
          <cell r="F57">
            <v>-16458</v>
          </cell>
          <cell r="G57">
            <v>-62433</v>
          </cell>
          <cell r="H57">
            <v>-2476231</v>
          </cell>
          <cell r="I57">
            <v>-476800</v>
          </cell>
          <cell r="J57">
            <v>-445200</v>
          </cell>
          <cell r="K57">
            <v>-437400</v>
          </cell>
          <cell r="L57">
            <v>-464600</v>
          </cell>
          <cell r="M57">
            <v>-509600</v>
          </cell>
          <cell r="N57">
            <v>-588000</v>
          </cell>
          <cell r="O57">
            <v>-593600</v>
          </cell>
          <cell r="P57">
            <v>-602200</v>
          </cell>
          <cell r="Q57">
            <v>-503640.06968641112</v>
          </cell>
          <cell r="R57">
            <v>-56975.299651567941</v>
          </cell>
          <cell r="S57">
            <v>-54670.4881881533</v>
          </cell>
          <cell r="T57">
            <v>-54171.896902787441</v>
          </cell>
          <cell r="U57">
            <v>-53668.319704567926</v>
          </cell>
          <cell r="W57">
            <v>0</v>
          </cell>
          <cell r="X57">
            <v>0</v>
          </cell>
          <cell r="Y57">
            <v>0</v>
          </cell>
          <cell r="Z57">
            <v>0</v>
          </cell>
          <cell r="AA57">
            <v>0</v>
          </cell>
          <cell r="AB57">
            <v>-12486</v>
          </cell>
          <cell r="AC57">
            <v>-24973</v>
          </cell>
          <cell r="AD57">
            <v>-24974</v>
          </cell>
          <cell r="AE57">
            <v>-25138</v>
          </cell>
          <cell r="AF57">
            <v>-25584</v>
          </cell>
          <cell r="AG57">
            <v>45835</v>
          </cell>
          <cell r="AH57">
            <v>-2471344</v>
          </cell>
          <cell r="AI57">
            <v>-119100</v>
          </cell>
          <cell r="AJ57">
            <v>-119400</v>
          </cell>
          <cell r="AK57">
            <v>-119200</v>
          </cell>
          <cell r="AL57">
            <v>-119100</v>
          </cell>
          <cell r="AM57">
            <v>-113600</v>
          </cell>
          <cell r="AN57">
            <v>-111800</v>
          </cell>
          <cell r="AO57">
            <v>-109900</v>
          </cell>
          <cell r="AP57">
            <v>-109900</v>
          </cell>
          <cell r="AQ57">
            <v>-109900</v>
          </cell>
          <cell r="AR57">
            <v>-109500</v>
          </cell>
          <cell r="AS57">
            <v>-109200</v>
          </cell>
          <cell r="AT57">
            <v>-108800</v>
          </cell>
          <cell r="AU57">
            <v>-109200</v>
          </cell>
          <cell r="AV57">
            <v>-114000</v>
          </cell>
          <cell r="AW57">
            <v>-120600</v>
          </cell>
          <cell r="AX57">
            <v>-120800</v>
          </cell>
          <cell r="AY57">
            <v>-125900</v>
          </cell>
          <cell r="AZ57">
            <v>-127400</v>
          </cell>
          <cell r="BA57">
            <v>-127400</v>
          </cell>
          <cell r="BB57">
            <v>-128900</v>
          </cell>
          <cell r="BC57">
            <v>-146500</v>
          </cell>
          <cell r="BD57">
            <v>-147000</v>
          </cell>
          <cell r="BE57">
            <v>-147000</v>
          </cell>
          <cell r="BF57">
            <v>-147500</v>
          </cell>
          <cell r="BG57">
            <v>-148100</v>
          </cell>
          <cell r="BH57">
            <v>-148200</v>
          </cell>
          <cell r="BI57">
            <v>-148300</v>
          </cell>
          <cell r="BJ57">
            <v>-149000</v>
          </cell>
          <cell r="BK57">
            <v>-150200</v>
          </cell>
          <cell r="BL57">
            <v>-150700</v>
          </cell>
          <cell r="BM57">
            <v>-150700</v>
          </cell>
          <cell r="BN57">
            <v>-150600</v>
          </cell>
          <cell r="BO57">
            <v>-151500</v>
          </cell>
          <cell r="BP57">
            <v>-191100</v>
          </cell>
          <cell r="BQ57">
            <v>-11500</v>
          </cell>
          <cell r="BR57">
            <v>-149540.06968641112</v>
          </cell>
          <cell r="BT57" t="str">
            <v>mstag:cashDividendsPaid</v>
          </cell>
          <cell r="BU57">
            <v>3</v>
          </cell>
          <cell r="BV57" t="str">
            <v>ISO4217:USD</v>
          </cell>
          <cell r="BW57" t="b">
            <v>1</v>
          </cell>
          <cell r="BX57" t="b">
            <v>0</v>
          </cell>
        </row>
        <row r="58">
          <cell r="A58" t="str">
            <v xml:space="preserve">  Cash payment to minority interest holders in connection with reorganization</v>
          </cell>
          <cell r="D58">
            <v>0</v>
          </cell>
          <cell r="E58">
            <v>0</v>
          </cell>
          <cell r="F58">
            <v>-18646</v>
          </cell>
          <cell r="G58">
            <v>0</v>
          </cell>
          <cell r="H58">
            <v>0</v>
          </cell>
          <cell r="I58">
            <v>0</v>
          </cell>
          <cell r="J58">
            <v>0</v>
          </cell>
          <cell r="K58">
            <v>0</v>
          </cell>
          <cell r="L58">
            <v>0</v>
          </cell>
          <cell r="M58">
            <v>0</v>
          </cell>
          <cell r="N58">
            <v>0</v>
          </cell>
          <cell r="O58">
            <v>0</v>
          </cell>
          <cell r="Q58">
            <v>0</v>
          </cell>
          <cell r="W58">
            <v>0</v>
          </cell>
          <cell r="X58">
            <v>0</v>
          </cell>
          <cell r="Y58">
            <v>-18646</v>
          </cell>
          <cell r="BT58" t="str">
            <v>mstag:otherCashFlowsFromUsedInFinancingActivities</v>
          </cell>
          <cell r="BU58">
            <v>3</v>
          </cell>
          <cell r="BV58" t="str">
            <v>ISO4217:USD</v>
          </cell>
          <cell r="BW58" t="b">
            <v>0</v>
          </cell>
          <cell r="BX58" t="b">
            <v>0</v>
          </cell>
        </row>
        <row r="59">
          <cell r="A59" t="str">
            <v xml:space="preserve">  Redemption of redeemable preferred interests in subsidiary</v>
          </cell>
          <cell r="D59">
            <v>0</v>
          </cell>
          <cell r="E59">
            <v>0</v>
          </cell>
          <cell r="F59">
            <v>-8791</v>
          </cell>
          <cell r="G59">
            <v>0</v>
          </cell>
          <cell r="H59">
            <v>0</v>
          </cell>
          <cell r="I59">
            <v>0</v>
          </cell>
          <cell r="J59">
            <v>0</v>
          </cell>
          <cell r="K59">
            <v>0</v>
          </cell>
          <cell r="L59">
            <v>0</v>
          </cell>
          <cell r="M59">
            <v>0</v>
          </cell>
          <cell r="N59">
            <v>0</v>
          </cell>
          <cell r="O59">
            <v>0</v>
          </cell>
          <cell r="Q59">
            <v>0</v>
          </cell>
          <cell r="BT59" t="str">
            <v>mstag:netIssuanceOfPreferredStock</v>
          </cell>
          <cell r="BU59">
            <v>3</v>
          </cell>
          <cell r="BV59" t="str">
            <v>ISO4217:USD</v>
          </cell>
          <cell r="BW59" t="b">
            <v>0</v>
          </cell>
          <cell r="BX59" t="b">
            <v>0</v>
          </cell>
        </row>
        <row r="60">
          <cell r="A60" t="str">
            <v xml:space="preserve">  Payment of debt issuance costs</v>
          </cell>
          <cell r="D60">
            <v>-2794</v>
          </cell>
          <cell r="E60">
            <v>-1158</v>
          </cell>
          <cell r="F60">
            <v>-31330</v>
          </cell>
          <cell r="G60">
            <v>-17530</v>
          </cell>
          <cell r="H60">
            <v>0</v>
          </cell>
          <cell r="I60">
            <v>0</v>
          </cell>
          <cell r="J60">
            <v>0</v>
          </cell>
          <cell r="K60">
            <v>0</v>
          </cell>
          <cell r="L60">
            <v>0</v>
          </cell>
          <cell r="M60">
            <v>0</v>
          </cell>
          <cell r="N60">
            <v>0</v>
          </cell>
          <cell r="O60">
            <v>0</v>
          </cell>
          <cell r="Q60">
            <v>0</v>
          </cell>
          <cell r="W60">
            <v>0</v>
          </cell>
          <cell r="X60">
            <v>-124</v>
          </cell>
          <cell r="Y60">
            <v>0</v>
          </cell>
          <cell r="Z60">
            <v>-31206</v>
          </cell>
          <cell r="AA60">
            <v>-16206</v>
          </cell>
          <cell r="AB60">
            <v>-588</v>
          </cell>
          <cell r="AC60">
            <v>-587</v>
          </cell>
          <cell r="AD60">
            <v>-149</v>
          </cell>
          <cell r="BT60" t="str">
            <v>mstag:otherCashFlowsFromUsedInFinancingActivities</v>
          </cell>
          <cell r="BU60">
            <v>3</v>
          </cell>
          <cell r="BV60" t="str">
            <v>ISO4217:USD</v>
          </cell>
          <cell r="BW60" t="b">
            <v>0</v>
          </cell>
          <cell r="BX60" t="b">
            <v>0</v>
          </cell>
        </row>
        <row r="61">
          <cell r="A61" t="str">
            <v xml:space="preserve">  Other, net</v>
          </cell>
          <cell r="G61">
            <v>-854</v>
          </cell>
          <cell r="H61">
            <v>-259704</v>
          </cell>
          <cell r="I61">
            <v>-2400</v>
          </cell>
          <cell r="J61">
            <v>-2900</v>
          </cell>
          <cell r="K61">
            <v>-30000</v>
          </cell>
          <cell r="L61">
            <v>-29800</v>
          </cell>
          <cell r="M61">
            <v>-24000</v>
          </cell>
          <cell r="N61">
            <v>-38400</v>
          </cell>
          <cell r="O61">
            <v>-60600</v>
          </cell>
          <cell r="P61">
            <v>-36000</v>
          </cell>
          <cell r="Q61">
            <v>918500</v>
          </cell>
          <cell r="R61">
            <v>0</v>
          </cell>
          <cell r="S61">
            <v>0</v>
          </cell>
          <cell r="T61">
            <v>0</v>
          </cell>
          <cell r="U61">
            <v>0</v>
          </cell>
          <cell r="X61" t="str">
            <v/>
          </cell>
          <cell r="Y61" t="str">
            <v/>
          </cell>
          <cell r="AA61">
            <v>-854</v>
          </cell>
          <cell r="AB61">
            <v>0</v>
          </cell>
          <cell r="AC61">
            <v>0</v>
          </cell>
          <cell r="AE61">
            <v>-794</v>
          </cell>
          <cell r="AF61">
            <v>-47</v>
          </cell>
          <cell r="AG61">
            <v>-2628209</v>
          </cell>
          <cell r="AH61">
            <v>2369346</v>
          </cell>
          <cell r="AI61">
            <v>0</v>
          </cell>
          <cell r="AJ61">
            <v>0</v>
          </cell>
          <cell r="AK61">
            <v>-2300</v>
          </cell>
          <cell r="AL61">
            <v>-100</v>
          </cell>
          <cell r="AM61">
            <v>-1000</v>
          </cell>
          <cell r="AN61">
            <v>-100</v>
          </cell>
          <cell r="AO61">
            <v>-2200</v>
          </cell>
          <cell r="AP61">
            <v>400</v>
          </cell>
          <cell r="AQ61">
            <v>-2400</v>
          </cell>
          <cell r="AR61">
            <v>500</v>
          </cell>
          <cell r="AS61">
            <v>-6800</v>
          </cell>
          <cell r="AT61">
            <v>-21300</v>
          </cell>
          <cell r="AU61">
            <v>-4300</v>
          </cell>
          <cell r="AV61">
            <v>-15100</v>
          </cell>
          <cell r="AW61">
            <v>-10900</v>
          </cell>
          <cell r="AX61">
            <v>500</v>
          </cell>
          <cell r="AY61">
            <v>-11300</v>
          </cell>
          <cell r="AZ61">
            <v>-900</v>
          </cell>
          <cell r="BA61">
            <v>-4500</v>
          </cell>
          <cell r="BB61">
            <v>-7300</v>
          </cell>
          <cell r="BC61">
            <v>-10000</v>
          </cell>
          <cell r="BD61">
            <v>-5600</v>
          </cell>
          <cell r="BE61">
            <v>-20200</v>
          </cell>
          <cell r="BF61">
            <v>-2600</v>
          </cell>
          <cell r="BG61">
            <v>-29700</v>
          </cell>
          <cell r="BH61">
            <v>-3900</v>
          </cell>
          <cell r="BI61">
            <v>-17100</v>
          </cell>
          <cell r="BJ61">
            <v>-9900</v>
          </cell>
          <cell r="BK61">
            <v>-17600</v>
          </cell>
          <cell r="BL61">
            <v>-3400</v>
          </cell>
          <cell r="BM61">
            <v>-8000</v>
          </cell>
          <cell r="BN61">
            <v>-7000</v>
          </cell>
          <cell r="BO61">
            <v>-18000</v>
          </cell>
          <cell r="BP61">
            <v>998600</v>
          </cell>
          <cell r="BQ61">
            <v>-62100</v>
          </cell>
          <cell r="BT61" t="str">
            <v>mstag:otherCashFlowsFromUsedInFinancingActivities</v>
          </cell>
          <cell r="BU61">
            <v>3</v>
          </cell>
          <cell r="BV61" t="str">
            <v>ISO4217:USD</v>
          </cell>
          <cell r="BW61" t="b">
            <v>0</v>
          </cell>
          <cell r="BX61" t="b">
            <v>0</v>
          </cell>
        </row>
        <row r="62">
          <cell r="A62" t="str">
            <v xml:space="preserve">Net cash provided by (used in) fin. activities </v>
          </cell>
          <cell r="D62">
            <v>71015</v>
          </cell>
          <cell r="E62">
            <v>-99465</v>
          </cell>
          <cell r="F62">
            <v>-93225</v>
          </cell>
          <cell r="G62">
            <v>-111210</v>
          </cell>
          <cell r="H62">
            <v>-451254</v>
          </cell>
          <cell r="I62">
            <v>-481400</v>
          </cell>
          <cell r="J62">
            <v>-622700</v>
          </cell>
          <cell r="K62">
            <v>138300</v>
          </cell>
          <cell r="L62">
            <v>-657600</v>
          </cell>
          <cell r="M62">
            <v>-391900</v>
          </cell>
          <cell r="N62">
            <v>-770900</v>
          </cell>
          <cell r="O62">
            <v>-895600</v>
          </cell>
          <cell r="P62">
            <v>-718600</v>
          </cell>
          <cell r="Q62">
            <v>-63740.069686411181</v>
          </cell>
          <cell r="R62">
            <v>-948975.29965156794</v>
          </cell>
          <cell r="S62">
            <v>-254670.48818815331</v>
          </cell>
          <cell r="T62">
            <v>-234171.89690278744</v>
          </cell>
          <cell r="U62">
            <v>-319868.31970456778</v>
          </cell>
          <cell r="W62">
            <v>-31041</v>
          </cell>
          <cell r="X62">
            <v>-14025</v>
          </cell>
          <cell r="Y62">
            <v>-28988</v>
          </cell>
          <cell r="Z62">
            <v>140180</v>
          </cell>
          <cell r="AA62">
            <v>-25765</v>
          </cell>
          <cell r="AB62">
            <v>-24462</v>
          </cell>
          <cell r="AC62">
            <v>-35731</v>
          </cell>
          <cell r="AD62">
            <v>-25252</v>
          </cell>
          <cell r="AE62">
            <v>-25975</v>
          </cell>
          <cell r="AF62">
            <v>-25647</v>
          </cell>
          <cell r="AG62">
            <v>-284876</v>
          </cell>
          <cell r="AH62">
            <v>-114756</v>
          </cell>
          <cell r="AI62">
            <v>-120100</v>
          </cell>
          <cell r="AJ62">
            <v>-119600</v>
          </cell>
          <cell r="AK62">
            <v>50900</v>
          </cell>
          <cell r="AL62">
            <v>-292600</v>
          </cell>
          <cell r="AM62">
            <v>-203400</v>
          </cell>
          <cell r="AN62">
            <v>-210500</v>
          </cell>
          <cell r="AO62">
            <v>-85700</v>
          </cell>
          <cell r="AP62">
            <v>-123100</v>
          </cell>
          <cell r="AQ62">
            <v>-136600</v>
          </cell>
          <cell r="AR62">
            <v>-274600</v>
          </cell>
          <cell r="AS62">
            <v>-130300</v>
          </cell>
          <cell r="AT62">
            <v>679800</v>
          </cell>
          <cell r="AU62">
            <v>-398000</v>
          </cell>
          <cell r="AV62">
            <v>-461700</v>
          </cell>
          <cell r="AW62">
            <v>-37600</v>
          </cell>
          <cell r="AX62">
            <v>239700</v>
          </cell>
          <cell r="AY62">
            <v>-52900</v>
          </cell>
          <cell r="AZ62">
            <v>-185000</v>
          </cell>
          <cell r="BA62">
            <v>-163300</v>
          </cell>
          <cell r="BB62">
            <v>9300</v>
          </cell>
          <cell r="BC62">
            <v>-425900</v>
          </cell>
          <cell r="BD62">
            <v>-137100</v>
          </cell>
          <cell r="BE62">
            <v>13100</v>
          </cell>
          <cell r="BF62">
            <v>-221000</v>
          </cell>
          <cell r="BG62">
            <v>-147700</v>
          </cell>
          <cell r="BH62">
            <v>-173400</v>
          </cell>
          <cell r="BI62">
            <v>-269900</v>
          </cell>
          <cell r="BJ62">
            <v>-304600</v>
          </cell>
          <cell r="BK62">
            <v>-174400</v>
          </cell>
          <cell r="BL62">
            <v>-181000</v>
          </cell>
          <cell r="BM62">
            <v>-189200</v>
          </cell>
          <cell r="BN62">
            <v>-174000</v>
          </cell>
          <cell r="BO62">
            <v>-4900</v>
          </cell>
          <cell r="BP62">
            <v>101000</v>
          </cell>
          <cell r="BQ62">
            <v>-10300</v>
          </cell>
          <cell r="BR62">
            <v>-149540.06968641112</v>
          </cell>
        </row>
        <row r="64">
          <cell r="A64" t="str">
            <v xml:space="preserve">Net increase in cash and equivalents </v>
          </cell>
          <cell r="D64">
            <v>4625</v>
          </cell>
          <cell r="E64">
            <v>301</v>
          </cell>
          <cell r="F64">
            <v>15633</v>
          </cell>
          <cell r="G64">
            <v>47144</v>
          </cell>
          <cell r="H64">
            <v>374941</v>
          </cell>
          <cell r="I64">
            <v>-314800</v>
          </cell>
          <cell r="J64">
            <v>224600</v>
          </cell>
          <cell r="K64">
            <v>766300</v>
          </cell>
          <cell r="L64">
            <v>-1020600</v>
          </cell>
          <cell r="M64">
            <v>184700</v>
          </cell>
          <cell r="N64">
            <v>-95000</v>
          </cell>
          <cell r="O64">
            <v>-83800</v>
          </cell>
          <cell r="P64">
            <v>-20400</v>
          </cell>
          <cell r="Q64">
            <v>499817.97698088805</v>
          </cell>
          <cell r="R64">
            <v>-445585.09323101293</v>
          </cell>
          <cell r="S64">
            <v>-6102.9182437107083</v>
          </cell>
          <cell r="T64">
            <v>10401.791100822447</v>
          </cell>
          <cell r="U64">
            <v>2740.3039449795615</v>
          </cell>
          <cell r="W64">
            <v>2345</v>
          </cell>
          <cell r="X64">
            <v>-2974</v>
          </cell>
          <cell r="Y64">
            <v>-127</v>
          </cell>
          <cell r="Z64">
            <v>16376</v>
          </cell>
          <cell r="AA64">
            <v>22088</v>
          </cell>
          <cell r="AB64">
            <v>21007</v>
          </cell>
          <cell r="AC64">
            <v>-13408</v>
          </cell>
          <cell r="AD64">
            <v>17457</v>
          </cell>
          <cell r="AE64">
            <v>5670</v>
          </cell>
          <cell r="AF64">
            <v>22321</v>
          </cell>
          <cell r="AG64">
            <v>333086</v>
          </cell>
          <cell r="AH64">
            <v>13864</v>
          </cell>
          <cell r="AI64">
            <v>10800</v>
          </cell>
          <cell r="AJ64">
            <v>86200</v>
          </cell>
          <cell r="AK64">
            <v>-415900</v>
          </cell>
          <cell r="AL64">
            <v>4100</v>
          </cell>
          <cell r="AM64">
            <v>-18500</v>
          </cell>
          <cell r="AN64">
            <v>6100</v>
          </cell>
          <cell r="AO64">
            <v>52000</v>
          </cell>
          <cell r="AP64">
            <v>185000</v>
          </cell>
          <cell r="AQ64">
            <v>15600</v>
          </cell>
          <cell r="AR64">
            <v>-66800</v>
          </cell>
          <cell r="AS64">
            <v>44600</v>
          </cell>
          <cell r="AT64">
            <v>772900</v>
          </cell>
          <cell r="AU64">
            <v>-482800</v>
          </cell>
          <cell r="AV64">
            <v>-526600</v>
          </cell>
          <cell r="AW64">
            <v>101700</v>
          </cell>
          <cell r="AX64">
            <v>-112900</v>
          </cell>
          <cell r="AY64">
            <v>-6500</v>
          </cell>
          <cell r="AZ64">
            <v>16300</v>
          </cell>
          <cell r="BA64">
            <v>-17800</v>
          </cell>
          <cell r="BB64">
            <v>192700</v>
          </cell>
          <cell r="BC64">
            <v>-162800</v>
          </cell>
          <cell r="BD64">
            <v>-26700</v>
          </cell>
          <cell r="BE64">
            <v>77300</v>
          </cell>
          <cell r="BF64">
            <v>17200</v>
          </cell>
          <cell r="BG64">
            <v>-77600</v>
          </cell>
          <cell r="BH64">
            <v>23900</v>
          </cell>
          <cell r="BI64">
            <v>-4900</v>
          </cell>
          <cell r="BJ64">
            <v>-25200</v>
          </cell>
          <cell r="BK64">
            <v>21800</v>
          </cell>
          <cell r="BL64">
            <v>-15200</v>
          </cell>
          <cell r="BM64">
            <v>48900</v>
          </cell>
          <cell r="BN64">
            <v>-75900</v>
          </cell>
          <cell r="BO64">
            <v>46200</v>
          </cell>
          <cell r="BP64">
            <v>-27000</v>
          </cell>
          <cell r="BQ64">
            <v>50200</v>
          </cell>
          <cell r="BR64">
            <v>430417.97698088788</v>
          </cell>
        </row>
        <row r="65">
          <cell r="A65" t="str">
            <v>Net operating cash used in discontinued operations</v>
          </cell>
          <cell r="D65">
            <v>-3662</v>
          </cell>
          <cell r="E65">
            <v>-176</v>
          </cell>
          <cell r="F65">
            <v>-13</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W65">
            <v>-9</v>
          </cell>
          <cell r="X65">
            <v>-7</v>
          </cell>
          <cell r="Y65">
            <v>-1</v>
          </cell>
          <cell r="Z65">
            <v>17</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T65" t="str">
            <v>mstag:netCashFlowFromDiscontinuedOperations</v>
          </cell>
          <cell r="BU65">
            <v>3</v>
          </cell>
          <cell r="BV65" t="str">
            <v>ISO4217:USD</v>
          </cell>
          <cell r="BW65" t="b">
            <v>0</v>
          </cell>
          <cell r="BX65" t="b">
            <v>0</v>
          </cell>
        </row>
        <row r="66">
          <cell r="A66" t="str">
            <v>Net increase in cash and equivalents</v>
          </cell>
          <cell r="D66">
            <v>963</v>
          </cell>
          <cell r="E66">
            <v>125</v>
          </cell>
          <cell r="F66">
            <v>15620</v>
          </cell>
          <cell r="G66">
            <v>47144</v>
          </cell>
          <cell r="H66">
            <v>374941</v>
          </cell>
          <cell r="I66">
            <v>-314800</v>
          </cell>
          <cell r="J66">
            <v>224600</v>
          </cell>
          <cell r="K66">
            <v>766300</v>
          </cell>
          <cell r="L66">
            <v>-1020600</v>
          </cell>
          <cell r="M66">
            <v>184700</v>
          </cell>
          <cell r="N66">
            <v>-95000</v>
          </cell>
          <cell r="O66">
            <v>-83800</v>
          </cell>
          <cell r="P66">
            <v>-20400</v>
          </cell>
          <cell r="Q66">
            <v>499817.97698088805</v>
          </cell>
          <cell r="R66">
            <v>-445585.09323101293</v>
          </cell>
          <cell r="S66">
            <v>-6102.9182437107083</v>
          </cell>
          <cell r="T66">
            <v>10401.791100822447</v>
          </cell>
          <cell r="U66">
            <v>2740.3039449795615</v>
          </cell>
          <cell r="W66">
            <v>2336</v>
          </cell>
          <cell r="X66">
            <v>-2981</v>
          </cell>
          <cell r="Y66">
            <v>-128</v>
          </cell>
          <cell r="Z66">
            <v>16393</v>
          </cell>
          <cell r="AA66">
            <v>22088</v>
          </cell>
          <cell r="AB66">
            <v>21007</v>
          </cell>
          <cell r="AC66">
            <v>-13408</v>
          </cell>
          <cell r="AD66">
            <v>17457</v>
          </cell>
          <cell r="AE66">
            <v>5670</v>
          </cell>
          <cell r="AF66">
            <v>22321</v>
          </cell>
          <cell r="AG66">
            <v>333086</v>
          </cell>
          <cell r="AH66">
            <v>13864</v>
          </cell>
          <cell r="AI66">
            <v>10800</v>
          </cell>
          <cell r="AJ66">
            <v>86200</v>
          </cell>
          <cell r="AK66">
            <v>-415900</v>
          </cell>
          <cell r="AL66">
            <v>4100</v>
          </cell>
          <cell r="AM66">
            <v>-18500</v>
          </cell>
          <cell r="AN66">
            <v>6100</v>
          </cell>
          <cell r="AO66">
            <v>52000</v>
          </cell>
          <cell r="AP66">
            <v>185000</v>
          </cell>
          <cell r="AQ66">
            <v>15600</v>
          </cell>
          <cell r="AR66">
            <v>-66800</v>
          </cell>
          <cell r="AS66">
            <v>44600</v>
          </cell>
          <cell r="AT66">
            <v>772900</v>
          </cell>
          <cell r="AU66">
            <v>-482800</v>
          </cell>
          <cell r="AV66">
            <v>-526600</v>
          </cell>
          <cell r="AW66">
            <v>101700</v>
          </cell>
          <cell r="AX66">
            <v>-112900</v>
          </cell>
          <cell r="AY66">
            <v>-6500</v>
          </cell>
          <cell r="AZ66">
            <v>16300</v>
          </cell>
          <cell r="BA66">
            <v>-17800</v>
          </cell>
          <cell r="BB66">
            <v>192700</v>
          </cell>
          <cell r="BC66">
            <v>-162800</v>
          </cell>
          <cell r="BD66">
            <v>-26700</v>
          </cell>
          <cell r="BE66">
            <v>77300</v>
          </cell>
          <cell r="BF66">
            <v>17200</v>
          </cell>
          <cell r="BG66">
            <v>-77600</v>
          </cell>
          <cell r="BH66">
            <v>23900</v>
          </cell>
          <cell r="BI66">
            <v>-4900</v>
          </cell>
          <cell r="BJ66">
            <v>-25200</v>
          </cell>
          <cell r="BK66">
            <v>21800</v>
          </cell>
          <cell r="BL66">
            <v>-15200</v>
          </cell>
          <cell r="BM66">
            <v>48900</v>
          </cell>
          <cell r="BN66">
            <v>-75900</v>
          </cell>
          <cell r="BO66">
            <v>46200</v>
          </cell>
          <cell r="BP66">
            <v>-27000</v>
          </cell>
          <cell r="BQ66">
            <v>50200</v>
          </cell>
          <cell r="BR66">
            <v>430417.97698088788</v>
          </cell>
        </row>
        <row r="68">
          <cell r="A68" t="str">
            <v xml:space="preserve">Cash restatement </v>
          </cell>
          <cell r="H68">
            <v>-52266</v>
          </cell>
          <cell r="I68">
            <v>0</v>
          </cell>
          <cell r="J68">
            <v>0</v>
          </cell>
          <cell r="AG68">
            <v>-52266</v>
          </cell>
          <cell r="BT68" t="str">
            <v>mstag:changeIncashFlowDueToRestatements</v>
          </cell>
          <cell r="BU68">
            <v>3</v>
          </cell>
          <cell r="BV68" t="str">
            <v>ISO4217:USD</v>
          </cell>
          <cell r="BW68" t="b">
            <v>0</v>
          </cell>
        </row>
        <row r="70">
          <cell r="A70" t="str">
            <v>Cash and equivalents BOP</v>
          </cell>
          <cell r="D70">
            <v>326</v>
          </cell>
          <cell r="E70">
            <v>1289</v>
          </cell>
          <cell r="F70">
            <v>1414</v>
          </cell>
          <cell r="G70">
            <v>17034</v>
          </cell>
          <cell r="H70">
            <v>64178</v>
          </cell>
          <cell r="I70">
            <v>386800</v>
          </cell>
          <cell r="J70">
            <v>72000</v>
          </cell>
          <cell r="K70">
            <v>296600</v>
          </cell>
          <cell r="L70">
            <v>1062900</v>
          </cell>
          <cell r="M70">
            <v>42300</v>
          </cell>
          <cell r="N70">
            <v>227000</v>
          </cell>
          <cell r="O70">
            <v>132000</v>
          </cell>
          <cell r="P70">
            <v>48200</v>
          </cell>
          <cell r="Q70">
            <v>27800</v>
          </cell>
          <cell r="R70">
            <v>527617.97698088805</v>
          </cell>
          <cell r="S70">
            <v>82032.883749875124</v>
          </cell>
          <cell r="T70">
            <v>75929.965506164415</v>
          </cell>
          <cell r="U70">
            <v>86331.756606986863</v>
          </cell>
          <cell r="W70">
            <v>1414</v>
          </cell>
          <cell r="X70">
            <v>3750</v>
          </cell>
          <cell r="Y70">
            <v>769</v>
          </cell>
          <cell r="Z70">
            <v>641</v>
          </cell>
          <cell r="AA70">
            <v>17034</v>
          </cell>
          <cell r="AB70">
            <v>39122</v>
          </cell>
          <cell r="AC70">
            <v>60129</v>
          </cell>
          <cell r="AD70">
            <v>46721</v>
          </cell>
          <cell r="AE70">
            <v>64178</v>
          </cell>
          <cell r="AF70">
            <v>69848</v>
          </cell>
          <cell r="AG70">
            <v>92169</v>
          </cell>
          <cell r="AH70">
            <v>372989</v>
          </cell>
          <cell r="AI70">
            <v>386800</v>
          </cell>
          <cell r="AJ70">
            <v>397600</v>
          </cell>
          <cell r="AK70">
            <v>483800</v>
          </cell>
          <cell r="AL70">
            <v>67900</v>
          </cell>
          <cell r="AM70">
            <v>72000</v>
          </cell>
          <cell r="AN70">
            <v>53500</v>
          </cell>
          <cell r="AO70">
            <v>59600</v>
          </cell>
          <cell r="AP70">
            <v>111600</v>
          </cell>
          <cell r="AQ70">
            <v>296600</v>
          </cell>
          <cell r="AR70">
            <v>312200</v>
          </cell>
          <cell r="AS70">
            <v>245400</v>
          </cell>
          <cell r="AT70">
            <v>290000</v>
          </cell>
          <cell r="AU70">
            <v>1062900</v>
          </cell>
          <cell r="AV70">
            <v>580100</v>
          </cell>
          <cell r="AW70">
            <v>53500</v>
          </cell>
          <cell r="AX70">
            <v>155200</v>
          </cell>
          <cell r="AY70">
            <v>42300</v>
          </cell>
          <cell r="AZ70">
            <v>35800</v>
          </cell>
          <cell r="BA70">
            <v>52100</v>
          </cell>
          <cell r="BB70">
            <v>34300</v>
          </cell>
          <cell r="BC70">
            <v>227000</v>
          </cell>
          <cell r="BD70">
            <v>64200</v>
          </cell>
          <cell r="BE70">
            <v>37500</v>
          </cell>
          <cell r="BF70">
            <v>114800</v>
          </cell>
          <cell r="BG70">
            <v>132000</v>
          </cell>
          <cell r="BH70">
            <v>54400</v>
          </cell>
          <cell r="BI70">
            <v>78300</v>
          </cell>
          <cell r="BJ70">
            <v>73400</v>
          </cell>
          <cell r="BK70">
            <v>48200</v>
          </cell>
          <cell r="BL70">
            <v>70000</v>
          </cell>
          <cell r="BM70">
            <v>54800</v>
          </cell>
          <cell r="BN70">
            <v>103700</v>
          </cell>
          <cell r="BO70">
            <v>27800</v>
          </cell>
          <cell r="BP70">
            <v>74000</v>
          </cell>
          <cell r="BQ70">
            <v>47000</v>
          </cell>
          <cell r="BR70">
            <v>97200</v>
          </cell>
        </row>
        <row r="71">
          <cell r="A71" t="str">
            <v>Cash and equivalents EOP</v>
          </cell>
          <cell r="D71">
            <v>1289</v>
          </cell>
          <cell r="E71">
            <v>1414</v>
          </cell>
          <cell r="F71">
            <v>17034</v>
          </cell>
          <cell r="G71">
            <v>64178</v>
          </cell>
          <cell r="H71">
            <v>386853</v>
          </cell>
          <cell r="I71">
            <v>72000</v>
          </cell>
          <cell r="J71">
            <v>296600</v>
          </cell>
          <cell r="K71">
            <v>1062900</v>
          </cell>
          <cell r="L71">
            <v>42300</v>
          </cell>
          <cell r="M71">
            <v>227000</v>
          </cell>
          <cell r="N71">
            <v>132000</v>
          </cell>
          <cell r="O71">
            <v>48200</v>
          </cell>
          <cell r="P71">
            <v>27800</v>
          </cell>
          <cell r="Q71">
            <v>527617.97698088805</v>
          </cell>
          <cell r="R71">
            <v>82032.883749875124</v>
          </cell>
          <cell r="S71">
            <v>75929.965506164415</v>
          </cell>
          <cell r="T71">
            <v>86331.756606986863</v>
          </cell>
          <cell r="U71">
            <v>89072.060551966424</v>
          </cell>
          <cell r="W71">
            <v>3750</v>
          </cell>
          <cell r="X71">
            <v>769</v>
          </cell>
          <cell r="Y71">
            <v>641</v>
          </cell>
          <cell r="Z71">
            <v>17034</v>
          </cell>
          <cell r="AA71">
            <v>39122</v>
          </cell>
          <cell r="AB71">
            <v>60129</v>
          </cell>
          <cell r="AC71">
            <v>46721</v>
          </cell>
          <cell r="AD71">
            <v>64178</v>
          </cell>
          <cell r="AE71">
            <v>69848</v>
          </cell>
          <cell r="AF71">
            <v>92169</v>
          </cell>
          <cell r="AG71">
            <v>372989</v>
          </cell>
          <cell r="AH71">
            <v>386853</v>
          </cell>
          <cell r="AI71">
            <v>397600</v>
          </cell>
          <cell r="AJ71">
            <v>483800</v>
          </cell>
          <cell r="AK71">
            <v>67900</v>
          </cell>
          <cell r="AL71">
            <v>72000</v>
          </cell>
          <cell r="AM71">
            <v>53500</v>
          </cell>
          <cell r="AN71">
            <v>59600</v>
          </cell>
          <cell r="AO71">
            <v>111600</v>
          </cell>
          <cell r="AP71">
            <v>296600</v>
          </cell>
          <cell r="AQ71">
            <v>312200</v>
          </cell>
          <cell r="AR71">
            <v>245400</v>
          </cell>
          <cell r="AS71">
            <v>290000</v>
          </cell>
          <cell r="AT71">
            <v>1062900</v>
          </cell>
          <cell r="AU71">
            <v>580100</v>
          </cell>
          <cell r="AV71">
            <v>53500</v>
          </cell>
          <cell r="AW71">
            <v>155200</v>
          </cell>
          <cell r="AX71">
            <v>42300</v>
          </cell>
          <cell r="AY71">
            <v>35800</v>
          </cell>
          <cell r="AZ71">
            <v>52100</v>
          </cell>
          <cell r="BA71">
            <v>34300</v>
          </cell>
          <cell r="BB71">
            <v>227000</v>
          </cell>
          <cell r="BC71">
            <v>64200</v>
          </cell>
          <cell r="BD71">
            <v>37500</v>
          </cell>
          <cell r="BE71">
            <v>114800</v>
          </cell>
          <cell r="BF71">
            <v>132000</v>
          </cell>
          <cell r="BG71">
            <v>54400</v>
          </cell>
          <cell r="BH71">
            <v>78300</v>
          </cell>
          <cell r="BI71">
            <v>73400</v>
          </cell>
          <cell r="BJ71">
            <v>48200</v>
          </cell>
          <cell r="BK71">
            <v>70000</v>
          </cell>
          <cell r="BL71">
            <v>54800</v>
          </cell>
          <cell r="BM71">
            <v>103700</v>
          </cell>
          <cell r="BN71">
            <v>27800</v>
          </cell>
          <cell r="BO71">
            <v>74000</v>
          </cell>
          <cell r="BP71">
            <v>47000</v>
          </cell>
          <cell r="BQ71">
            <v>97200</v>
          </cell>
          <cell r="BR71">
            <v>527617.97698088782</v>
          </cell>
        </row>
        <row r="73">
          <cell r="A73" t="str">
            <v xml:space="preserve"> check (Net Income vs. IS)</v>
          </cell>
          <cell r="I73">
            <v>440967.7</v>
          </cell>
          <cell r="J73">
            <v>-112074</v>
          </cell>
          <cell r="K73">
            <v>-97443.299999999988</v>
          </cell>
          <cell r="L73">
            <v>-59066</v>
          </cell>
          <cell r="M73">
            <v>-124206</v>
          </cell>
          <cell r="N73">
            <v>-17760</v>
          </cell>
          <cell r="O73">
            <v>-3280</v>
          </cell>
          <cell r="P73">
            <v>-9880</v>
          </cell>
          <cell r="Q73">
            <v>-38420</v>
          </cell>
          <cell r="R73">
            <v>0</v>
          </cell>
          <cell r="S73">
            <v>0</v>
          </cell>
          <cell r="T73">
            <v>0</v>
          </cell>
          <cell r="U73">
            <v>0</v>
          </cell>
          <cell r="W73">
            <v>0</v>
          </cell>
          <cell r="X73">
            <v>0</v>
          </cell>
          <cell r="Y73">
            <v>6678</v>
          </cell>
          <cell r="Z73">
            <v>62975</v>
          </cell>
          <cell r="AA73">
            <v>29262</v>
          </cell>
          <cell r="AB73">
            <v>0</v>
          </cell>
          <cell r="AC73">
            <v>2953</v>
          </cell>
          <cell r="AD73">
            <v>1351</v>
          </cell>
          <cell r="AE73">
            <v>0</v>
          </cell>
          <cell r="AF73">
            <v>0</v>
          </cell>
          <cell r="AG73">
            <v>-313581.31136599998</v>
          </cell>
          <cell r="AH73">
            <v>4902.9246673411108</v>
          </cell>
          <cell r="AI73">
            <v>9095.1999999999971</v>
          </cell>
          <cell r="AJ73">
            <v>-2101.8999999999942</v>
          </cell>
          <cell r="AK73">
            <v>415</v>
          </cell>
          <cell r="AL73">
            <v>-448376</v>
          </cell>
          <cell r="AM73">
            <v>12175</v>
          </cell>
          <cell r="AN73">
            <v>33850</v>
          </cell>
          <cell r="AO73">
            <v>20485</v>
          </cell>
          <cell r="AP73">
            <v>45564</v>
          </cell>
          <cell r="AQ73">
            <v>20889.600000000006</v>
          </cell>
          <cell r="AR73">
            <v>12766.5</v>
          </cell>
          <cell r="AS73">
            <v>26557</v>
          </cell>
          <cell r="AT73">
            <v>37230.199999999997</v>
          </cell>
          <cell r="AU73">
            <v>23442</v>
          </cell>
          <cell r="AV73">
            <v>15329</v>
          </cell>
          <cell r="AW73">
            <v>14316</v>
          </cell>
          <cell r="AX73">
            <v>5979</v>
          </cell>
          <cell r="AY73">
            <v>77112</v>
          </cell>
          <cell r="AZ73">
            <v>4398</v>
          </cell>
          <cell r="BA73">
            <v>34714</v>
          </cell>
          <cell r="BB73">
            <v>7982</v>
          </cell>
          <cell r="BC73">
            <v>8900</v>
          </cell>
          <cell r="BD73">
            <v>6800</v>
          </cell>
          <cell r="BE73">
            <v>-4700</v>
          </cell>
          <cell r="BF73">
            <v>4960</v>
          </cell>
          <cell r="BG73">
            <v>-4420</v>
          </cell>
          <cell r="BH73">
            <v>3100</v>
          </cell>
          <cell r="BI73">
            <v>-2720</v>
          </cell>
          <cell r="BJ73">
            <v>7320</v>
          </cell>
          <cell r="BK73">
            <v>-220</v>
          </cell>
          <cell r="BL73">
            <v>3340</v>
          </cell>
          <cell r="BM73">
            <v>4560</v>
          </cell>
          <cell r="BN73">
            <v>2200</v>
          </cell>
          <cell r="BO73">
            <v>5660</v>
          </cell>
          <cell r="BP73">
            <v>33020</v>
          </cell>
          <cell r="BQ73">
            <v>-260</v>
          </cell>
          <cell r="BR73">
            <v>0</v>
          </cell>
        </row>
        <row r="74">
          <cell r="A74" t="str">
            <v xml:space="preserve"> check (Cash vs. BS)</v>
          </cell>
          <cell r="D74" t="str">
            <v>NA</v>
          </cell>
          <cell r="E74">
            <v>0</v>
          </cell>
          <cell r="F74">
            <v>0</v>
          </cell>
          <cell r="G74">
            <v>0</v>
          </cell>
          <cell r="H74">
            <v>1</v>
          </cell>
          <cell r="I74">
            <v>0</v>
          </cell>
          <cell r="J74">
            <v>0</v>
          </cell>
          <cell r="K74">
            <v>0</v>
          </cell>
          <cell r="L74">
            <v>0</v>
          </cell>
          <cell r="M74">
            <v>0</v>
          </cell>
          <cell r="N74">
            <v>0</v>
          </cell>
          <cell r="O74">
            <v>0</v>
          </cell>
          <cell r="P74">
            <v>0</v>
          </cell>
          <cell r="Q74">
            <v>0</v>
          </cell>
          <cell r="R74">
            <v>0</v>
          </cell>
          <cell r="S74">
            <v>0</v>
          </cell>
          <cell r="T74">
            <v>0</v>
          </cell>
          <cell r="U74">
            <v>0</v>
          </cell>
          <cell r="W74" t="str">
            <v>NA</v>
          </cell>
          <cell r="X74" t="str">
            <v>NA</v>
          </cell>
          <cell r="Y74" t="str">
            <v>NA</v>
          </cell>
          <cell r="Z74" t="str">
            <v>NA</v>
          </cell>
          <cell r="AA74">
            <v>0</v>
          </cell>
          <cell r="AB74">
            <v>0</v>
          </cell>
          <cell r="AC74">
            <v>0</v>
          </cell>
          <cell r="AD74">
            <v>0</v>
          </cell>
          <cell r="AE74">
            <v>0</v>
          </cell>
          <cell r="AF74">
            <v>0</v>
          </cell>
          <cell r="AG74">
            <v>13</v>
          </cell>
          <cell r="AH74">
            <v>1</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row>
        <row r="76">
          <cell r="A76" t="str">
            <v>Capital Spending Forecasts</v>
          </cell>
          <cell r="G76">
            <v>2005</v>
          </cell>
          <cell r="H76">
            <v>2006</v>
          </cell>
          <cell r="I76">
            <v>2007</v>
          </cell>
          <cell r="J76">
            <v>2008</v>
          </cell>
          <cell r="K76">
            <v>2009</v>
          </cell>
          <cell r="L76">
            <v>2010</v>
          </cell>
          <cell r="M76">
            <v>2011</v>
          </cell>
          <cell r="N76">
            <v>2012</v>
          </cell>
          <cell r="O76">
            <v>2013</v>
          </cell>
          <cell r="P76">
            <v>2014</v>
          </cell>
          <cell r="Q76">
            <v>2015</v>
          </cell>
          <cell r="R76">
            <v>2016</v>
          </cell>
          <cell r="S76">
            <v>2017</v>
          </cell>
          <cell r="T76">
            <v>2018</v>
          </cell>
          <cell r="U76">
            <v>2019</v>
          </cell>
          <cell r="W76" t="str">
            <v>1Q04</v>
          </cell>
          <cell r="X76" t="str">
            <v>2Q04</v>
          </cell>
          <cell r="Y76" t="str">
            <v>3Q04</v>
          </cell>
          <cell r="Z76" t="str">
            <v>4Q04</v>
          </cell>
          <cell r="AA76" t="str">
            <v>1Q05</v>
          </cell>
          <cell r="AB76" t="str">
            <v>2Q05</v>
          </cell>
          <cell r="AC76" t="str">
            <v>3Q05</v>
          </cell>
          <cell r="AD76" t="str">
            <v>4Q05</v>
          </cell>
          <cell r="AE76" t="str">
            <v>1Q06</v>
          </cell>
          <cell r="AF76" t="str">
            <v>2Q06</v>
          </cell>
          <cell r="AG76" t="str">
            <v>3Q06</v>
          </cell>
          <cell r="AH76" t="str">
            <v>4Q06</v>
          </cell>
          <cell r="AI76" t="str">
            <v>1Q07</v>
          </cell>
          <cell r="AJ76" t="str">
            <v>2Q07</v>
          </cell>
          <cell r="AK76" t="str">
            <v>3Q07</v>
          </cell>
          <cell r="AL76" t="str">
            <v>4Q07</v>
          </cell>
          <cell r="AM76" t="str">
            <v>1Q08</v>
          </cell>
          <cell r="AN76" t="str">
            <v>2Q08</v>
          </cell>
          <cell r="AO76" t="str">
            <v>3Q08</v>
          </cell>
          <cell r="AP76" t="str">
            <v>4Q08</v>
          </cell>
          <cell r="AQ76" t="str">
            <v>1Q09</v>
          </cell>
          <cell r="AR76" t="str">
            <v>2Q09</v>
          </cell>
          <cell r="AS76" t="str">
            <v>3Q09</v>
          </cell>
          <cell r="AT76" t="str">
            <v>4Q09</v>
          </cell>
          <cell r="AU76" t="str">
            <v>1Q10</v>
          </cell>
          <cell r="AV76" t="str">
            <v>2Q10</v>
          </cell>
          <cell r="AW76" t="str">
            <v>3Q10</v>
          </cell>
          <cell r="AX76" t="str">
            <v>4Q10</v>
          </cell>
          <cell r="AY76" t="str">
            <v>1Q11</v>
          </cell>
          <cell r="AZ76" t="str">
            <v>2Q11</v>
          </cell>
          <cell r="BA76" t="str">
            <v>3Q11</v>
          </cell>
          <cell r="BB76" t="str">
            <v>4Q11</v>
          </cell>
          <cell r="BC76" t="str">
            <v>1Q12</v>
          </cell>
          <cell r="BD76" t="str">
            <v>2Q12</v>
          </cell>
          <cell r="BE76" t="str">
            <v>3Q12</v>
          </cell>
          <cell r="BF76" t="str">
            <v>4Q12</v>
          </cell>
          <cell r="BG76" t="str">
            <v>1Q13</v>
          </cell>
          <cell r="BH76" t="str">
            <v>2Q13</v>
          </cell>
          <cell r="BI76" t="str">
            <v>3Q13</v>
          </cell>
          <cell r="BJ76" t="str">
            <v>4Q13</v>
          </cell>
          <cell r="BK76" t="str">
            <v>1Q14</v>
          </cell>
          <cell r="BL76" t="str">
            <v>2Q14</v>
          </cell>
          <cell r="BM76" t="str">
            <v>3Q14</v>
          </cell>
          <cell r="BN76" t="str">
            <v>4Q14</v>
          </cell>
          <cell r="BO76" t="str">
            <v>1Q15</v>
          </cell>
          <cell r="BP76" t="str">
            <v>2Q15</v>
          </cell>
          <cell r="BQ76" t="str">
            <v>3Q15</v>
          </cell>
          <cell r="BR76" t="str">
            <v>4Q15E</v>
          </cell>
        </row>
        <row r="77">
          <cell r="A77" t="str">
            <v>Capex (Proforma NuVox, Iowa, Hosted Solutions, Qcomm, PAETEC)</v>
          </cell>
          <cell r="H77">
            <v>443300</v>
          </cell>
          <cell r="I77">
            <v>418000</v>
          </cell>
          <cell r="J77">
            <v>404800</v>
          </cell>
          <cell r="K77">
            <v>487400</v>
          </cell>
          <cell r="L77">
            <v>647200</v>
          </cell>
          <cell r="M77">
            <v>892000</v>
          </cell>
          <cell r="N77">
            <v>1101200</v>
          </cell>
          <cell r="O77">
            <v>841000</v>
          </cell>
          <cell r="P77">
            <v>786500</v>
          </cell>
          <cell r="Q77">
            <v>988666.90732714138</v>
          </cell>
          <cell r="R77">
            <v>1055204.6667873431</v>
          </cell>
          <cell r="S77">
            <v>811094.71028900112</v>
          </cell>
          <cell r="T77">
            <v>801602.7541774381</v>
          </cell>
          <cell r="U77">
            <v>794385.94356447575</v>
          </cell>
          <cell r="AE77">
            <v>80900</v>
          </cell>
          <cell r="AF77">
            <v>112900</v>
          </cell>
          <cell r="AG77">
            <v>101600</v>
          </cell>
          <cell r="AH77">
            <v>147900</v>
          </cell>
          <cell r="AI77">
            <v>99100</v>
          </cell>
          <cell r="AJ77">
            <v>111800</v>
          </cell>
          <cell r="AK77">
            <v>101700</v>
          </cell>
          <cell r="AL77">
            <v>105400</v>
          </cell>
          <cell r="AM77">
            <v>76900</v>
          </cell>
          <cell r="AN77">
            <v>101500</v>
          </cell>
          <cell r="AO77">
            <v>105300</v>
          </cell>
          <cell r="AP77">
            <v>121100</v>
          </cell>
          <cell r="AQ77">
            <v>117000</v>
          </cell>
          <cell r="AR77">
            <v>116700</v>
          </cell>
          <cell r="AS77">
            <v>120600</v>
          </cell>
          <cell r="AT77">
            <v>133100</v>
          </cell>
          <cell r="AU77">
            <v>118700</v>
          </cell>
          <cell r="AV77">
            <v>164900</v>
          </cell>
          <cell r="AW77">
            <v>168500</v>
          </cell>
          <cell r="AX77">
            <v>195100</v>
          </cell>
          <cell r="AY77">
            <v>206500</v>
          </cell>
          <cell r="AZ77">
            <v>223900</v>
          </cell>
          <cell r="BA77">
            <v>222700</v>
          </cell>
          <cell r="BB77">
            <v>238900</v>
          </cell>
          <cell r="BC77">
            <v>226100</v>
          </cell>
          <cell r="BD77">
            <v>276000</v>
          </cell>
          <cell r="BE77">
            <v>307300</v>
          </cell>
          <cell r="BF77">
            <v>291800</v>
          </cell>
          <cell r="BG77">
            <v>243500</v>
          </cell>
          <cell r="BH77">
            <v>228700</v>
          </cell>
          <cell r="BI77">
            <v>193800</v>
          </cell>
          <cell r="BJ77">
            <v>175000</v>
          </cell>
          <cell r="BK77">
            <v>153000</v>
          </cell>
          <cell r="BL77">
            <v>205800</v>
          </cell>
          <cell r="BM77">
            <v>193900</v>
          </cell>
          <cell r="BN77">
            <v>233800</v>
          </cell>
          <cell r="BO77">
            <v>189300</v>
          </cell>
          <cell r="BP77">
            <v>255000</v>
          </cell>
          <cell r="BQ77">
            <v>300100</v>
          </cell>
          <cell r="BR77">
            <v>244266.90732714138</v>
          </cell>
        </row>
        <row r="78">
          <cell r="A78" t="str">
            <v>% of revs</v>
          </cell>
          <cell r="H78">
            <v>0.13886422036339008</v>
          </cell>
          <cell r="I78">
            <v>0.1253711646321346</v>
          </cell>
          <cell r="J78">
            <v>0.10542764871340765</v>
          </cell>
          <cell r="K78">
            <v>0.11518646310913645</v>
          </cell>
          <cell r="L78">
            <v>0.10339814356237918</v>
          </cell>
          <cell r="M78">
            <v>0.14296933852639002</v>
          </cell>
          <cell r="N78">
            <v>0.17936314032087303</v>
          </cell>
          <cell r="O78">
            <v>0.14044521634575241</v>
          </cell>
          <cell r="P78">
            <v>0.13592686046109709</v>
          </cell>
          <cell r="Q78">
            <v>0.17190002316981601</v>
          </cell>
          <cell r="R78">
            <v>0.19021273115314108</v>
          </cell>
          <cell r="S78">
            <v>0.14780873973579053</v>
          </cell>
          <cell r="T78">
            <v>0.14688787167354447</v>
          </cell>
          <cell r="U78">
            <v>0.14593154803624056</v>
          </cell>
          <cell r="AE78">
            <v>0.10458479577523964</v>
          </cell>
          <cell r="AF78">
            <v>0.14175972918743676</v>
          </cell>
          <cell r="AG78">
            <v>0.12783636944710769</v>
          </cell>
          <cell r="AH78">
            <v>0.17870779402809059</v>
          </cell>
          <cell r="AI78">
            <v>0.12015033947623667</v>
          </cell>
          <cell r="AJ78">
            <v>0.13238602723505033</v>
          </cell>
          <cell r="AK78">
            <v>0.12111468381564845</v>
          </cell>
          <cell r="AL78">
            <v>0.1277420918676524</v>
          </cell>
          <cell r="AM78">
            <v>7.9425738483784342E-2</v>
          </cell>
          <cell r="AN78">
            <v>0.10510510510510511</v>
          </cell>
          <cell r="AO78">
            <v>0.11003134796238244</v>
          </cell>
          <cell r="AP78">
            <v>0.12764836091493623</v>
          </cell>
          <cell r="AQ78">
            <v>0.1093866866118175</v>
          </cell>
          <cell r="AR78">
            <v>0.11034417549167927</v>
          </cell>
          <cell r="AS78">
            <v>0.11476969927674154</v>
          </cell>
          <cell r="AT78">
            <v>0.12635276248338712</v>
          </cell>
          <cell r="AU78">
            <v>7.5595465545790344E-2</v>
          </cell>
          <cell r="AV78">
            <v>0.10573223903565017</v>
          </cell>
          <cell r="AW78">
            <v>0.10724969766405704</v>
          </cell>
          <cell r="AX78">
            <v>0.12519250513347022</v>
          </cell>
          <cell r="AY78">
            <v>0.1329513262941025</v>
          </cell>
          <cell r="AZ78">
            <v>0.143866863715222</v>
          </cell>
          <cell r="BA78">
            <v>0.14228213646818297</v>
          </cell>
          <cell r="BB78">
            <v>0.15271030427000767</v>
          </cell>
          <cell r="BC78">
            <v>0.14738283032396846</v>
          </cell>
          <cell r="BD78">
            <v>0.18035679278572828</v>
          </cell>
          <cell r="BE78">
            <v>0.19941596365996106</v>
          </cell>
          <cell r="BF78">
            <v>0.19020924320448471</v>
          </cell>
          <cell r="BG78">
            <v>0.16271299699298364</v>
          </cell>
          <cell r="BH78">
            <v>0.15229406672437903</v>
          </cell>
          <cell r="BI78">
            <v>0.12932069931936474</v>
          </cell>
          <cell r="BJ78">
            <v>0.11734728089586267</v>
          </cell>
          <cell r="BK78">
            <v>0.10527764398266015</v>
          </cell>
          <cell r="BL78">
            <v>0.14145302082617361</v>
          </cell>
          <cell r="BM78">
            <v>0.13419613814104783</v>
          </cell>
          <cell r="BN78">
            <v>0.1631428372060568</v>
          </cell>
          <cell r="BO78">
            <v>0.13434106876729829</v>
          </cell>
          <cell r="BP78">
            <v>0.17972934874541865</v>
          </cell>
          <cell r="BQ78">
            <v>0.20025356999866542</v>
          </cell>
          <cell r="BR78">
            <v>0.17142662385215612</v>
          </cell>
        </row>
        <row r="80">
          <cell r="A80" t="str">
            <v>Payout</v>
          </cell>
          <cell r="G80">
            <v>2005</v>
          </cell>
          <cell r="H80">
            <v>2006</v>
          </cell>
          <cell r="I80">
            <v>2007</v>
          </cell>
          <cell r="J80">
            <v>2008</v>
          </cell>
          <cell r="K80">
            <v>2009</v>
          </cell>
          <cell r="L80">
            <v>2010</v>
          </cell>
          <cell r="M80">
            <v>2011</v>
          </cell>
          <cell r="N80">
            <v>2012</v>
          </cell>
          <cell r="O80">
            <v>2013</v>
          </cell>
          <cell r="P80">
            <v>2014</v>
          </cell>
          <cell r="Q80">
            <v>2015</v>
          </cell>
          <cell r="R80">
            <v>2016</v>
          </cell>
          <cell r="S80">
            <v>2017</v>
          </cell>
          <cell r="T80">
            <v>2018</v>
          </cell>
          <cell r="U80">
            <v>2019</v>
          </cell>
          <cell r="W80" t="str">
            <v>1Q04</v>
          </cell>
          <cell r="X80" t="str">
            <v>2Q04</v>
          </cell>
          <cell r="Y80" t="str">
            <v>3Q04</v>
          </cell>
          <cell r="Z80" t="str">
            <v>4Q04</v>
          </cell>
          <cell r="AA80" t="str">
            <v>1Q05</v>
          </cell>
          <cell r="AB80" t="str">
            <v>2Q05</v>
          </cell>
          <cell r="AC80" t="str">
            <v>3Q05</v>
          </cell>
          <cell r="AD80" t="str">
            <v>4Q05</v>
          </cell>
          <cell r="AE80" t="str">
            <v>1Q06</v>
          </cell>
          <cell r="AF80" t="str">
            <v>2Q06</v>
          </cell>
          <cell r="AG80" t="str">
            <v>3Q06</v>
          </cell>
          <cell r="AH80" t="str">
            <v>4Q06</v>
          </cell>
          <cell r="AI80" t="str">
            <v>1Q07</v>
          </cell>
          <cell r="AJ80" t="str">
            <v>2Q07</v>
          </cell>
          <cell r="AK80" t="str">
            <v>3Q07</v>
          </cell>
          <cell r="AL80" t="str">
            <v>4Q07</v>
          </cell>
          <cell r="AM80" t="str">
            <v>1Q08</v>
          </cell>
          <cell r="AN80" t="str">
            <v>2Q08</v>
          </cell>
          <cell r="AO80" t="str">
            <v>3Q08</v>
          </cell>
          <cell r="AP80" t="str">
            <v>4Q08</v>
          </cell>
          <cell r="AQ80" t="str">
            <v>1Q09</v>
          </cell>
          <cell r="AR80" t="str">
            <v>2Q09</v>
          </cell>
          <cell r="AS80" t="str">
            <v>3Q09</v>
          </cell>
          <cell r="AT80" t="str">
            <v>4Q09</v>
          </cell>
          <cell r="AU80" t="str">
            <v>1Q10</v>
          </cell>
          <cell r="AV80" t="str">
            <v>2Q10</v>
          </cell>
          <cell r="AW80" t="str">
            <v>3Q10</v>
          </cell>
          <cell r="AX80" t="str">
            <v>4Q10</v>
          </cell>
          <cell r="AY80" t="str">
            <v>1Q11</v>
          </cell>
          <cell r="AZ80" t="str">
            <v>2Q11</v>
          </cell>
          <cell r="BA80" t="str">
            <v>3Q11</v>
          </cell>
          <cell r="BB80" t="str">
            <v>4Q11</v>
          </cell>
          <cell r="BC80" t="str">
            <v>1Q12</v>
          </cell>
          <cell r="BD80" t="str">
            <v>2Q12</v>
          </cell>
          <cell r="BE80" t="str">
            <v>3Q12</v>
          </cell>
          <cell r="BF80" t="str">
            <v>4Q12</v>
          </cell>
          <cell r="BG80" t="str">
            <v>1Q13</v>
          </cell>
          <cell r="BH80" t="str">
            <v>2Q13</v>
          </cell>
          <cell r="BI80" t="str">
            <v>3Q13</v>
          </cell>
          <cell r="BJ80" t="str">
            <v>4Q13</v>
          </cell>
          <cell r="BK80" t="str">
            <v>1Q14</v>
          </cell>
          <cell r="BL80" t="str">
            <v>2Q14</v>
          </cell>
          <cell r="BM80" t="str">
            <v>3Q14</v>
          </cell>
          <cell r="BN80" t="str">
            <v>4Q14</v>
          </cell>
          <cell r="BO80" t="str">
            <v>1Q15</v>
          </cell>
          <cell r="BP80" t="str">
            <v>2Q15</v>
          </cell>
          <cell r="BQ80" t="str">
            <v>3Q15</v>
          </cell>
          <cell r="BR80" t="str">
            <v>4Q15E</v>
          </cell>
        </row>
        <row r="81">
          <cell r="A81" t="str">
            <v xml:space="preserve">Free Cash Flow </v>
          </cell>
          <cell r="K81" t="str">
            <v>NOT Pf</v>
          </cell>
          <cell r="L81" t="str">
            <v>NOT Pf</v>
          </cell>
          <cell r="M81" t="str">
            <v>Ex. PAETEC</v>
          </cell>
          <cell r="AU81" t="str">
            <v>NOT PROFORMA FOR PAETEC</v>
          </cell>
          <cell r="AY81" t="str">
            <v>NOT PROFORMA FOR PAETEC</v>
          </cell>
        </row>
        <row r="82">
          <cell r="A82" t="str">
            <v xml:space="preserve">  OCF-Cap-ex</v>
          </cell>
          <cell r="G82">
            <v>133706</v>
          </cell>
          <cell r="H82">
            <v>751367</v>
          </cell>
          <cell r="I82">
            <v>668000</v>
          </cell>
          <cell r="J82">
            <v>762900</v>
          </cell>
          <cell r="K82">
            <v>822700</v>
          </cell>
          <cell r="L82">
            <v>679300</v>
          </cell>
          <cell r="M82">
            <v>526900</v>
          </cell>
          <cell r="N82">
            <v>676400</v>
          </cell>
          <cell r="O82">
            <v>678400</v>
          </cell>
          <cell r="P82">
            <v>680800</v>
          </cell>
          <cell r="Q82">
            <v>31858.046667299233</v>
          </cell>
          <cell r="R82">
            <v>22390.206420555012</v>
          </cell>
          <cell r="S82">
            <v>258567.5699444426</v>
          </cell>
          <cell r="T82">
            <v>254573.68800360989</v>
          </cell>
          <cell r="U82">
            <v>332608.62364954734</v>
          </cell>
          <cell r="W82">
            <v>33455</v>
          </cell>
          <cell r="X82">
            <v>11446</v>
          </cell>
          <cell r="Y82">
            <v>28873</v>
          </cell>
          <cell r="Z82">
            <v>6585</v>
          </cell>
          <cell r="AA82">
            <v>23110</v>
          </cell>
          <cell r="AB82">
            <v>45678</v>
          </cell>
          <cell r="AC82">
            <v>22187</v>
          </cell>
          <cell r="AD82">
            <v>42731</v>
          </cell>
          <cell r="AE82">
            <v>31641</v>
          </cell>
          <cell r="AF82">
            <v>47755</v>
          </cell>
          <cell r="AG82">
            <v>544782</v>
          </cell>
          <cell r="AH82">
            <v>127189</v>
          </cell>
          <cell r="AI82">
            <v>135300</v>
          </cell>
          <cell r="AJ82">
            <v>200200</v>
          </cell>
          <cell r="AK82">
            <v>80000</v>
          </cell>
          <cell r="AL82">
            <v>252500</v>
          </cell>
          <cell r="AM82">
            <v>159300</v>
          </cell>
          <cell r="AN82">
            <v>214300</v>
          </cell>
          <cell r="AO82">
            <v>136700</v>
          </cell>
          <cell r="AP82">
            <v>252600</v>
          </cell>
          <cell r="AQ82">
            <v>152200</v>
          </cell>
          <cell r="AR82">
            <v>207500</v>
          </cell>
          <cell r="AS82">
            <v>174900</v>
          </cell>
          <cell r="AT82">
            <v>288100</v>
          </cell>
          <cell r="AU82">
            <v>113000</v>
          </cell>
          <cell r="AV82">
            <v>186200</v>
          </cell>
          <cell r="AW82">
            <v>139600</v>
          </cell>
          <cell r="AX82">
            <v>240500</v>
          </cell>
          <cell r="AY82">
            <v>53800</v>
          </cell>
          <cell r="AZ82">
            <v>203400</v>
          </cell>
          <cell r="BA82">
            <v>152700</v>
          </cell>
          <cell r="BB82">
            <v>117000</v>
          </cell>
          <cell r="BC82">
            <v>212700</v>
          </cell>
          <cell r="BD82">
            <v>122000</v>
          </cell>
          <cell r="BE82">
            <v>99500</v>
          </cell>
          <cell r="BF82">
            <v>242200</v>
          </cell>
          <cell r="BG82">
            <v>61100</v>
          </cell>
          <cell r="BH82">
            <v>179300</v>
          </cell>
          <cell r="BI82">
            <v>254300</v>
          </cell>
          <cell r="BJ82">
            <v>183700</v>
          </cell>
          <cell r="BK82">
            <v>166800</v>
          </cell>
          <cell r="BL82">
            <v>156000</v>
          </cell>
          <cell r="BM82">
            <v>237100</v>
          </cell>
          <cell r="BN82">
            <v>120900</v>
          </cell>
          <cell r="BO82">
            <v>54500</v>
          </cell>
          <cell r="BP82">
            <v>-118800</v>
          </cell>
          <cell r="BQ82">
            <v>76200</v>
          </cell>
          <cell r="BR82">
            <v>19958.046667299001</v>
          </cell>
        </row>
        <row r="83">
          <cell r="A83" t="str">
            <v xml:space="preserve">    Dividend Payout % FCF</v>
          </cell>
          <cell r="G83">
            <v>0.65362545300884034</v>
          </cell>
          <cell r="H83">
            <v>0.23108218279482595</v>
          </cell>
          <cell r="I83">
            <v>0.71377245508982035</v>
          </cell>
          <cell r="J83">
            <v>0.58356272119543851</v>
          </cell>
          <cell r="K83">
            <v>0.53166403306186949</v>
          </cell>
          <cell r="L83">
            <v>0.68393934933019285</v>
          </cell>
          <cell r="M83">
            <v>0.96716644524577722</v>
          </cell>
          <cell r="N83">
            <v>0.86930810171496153</v>
          </cell>
          <cell r="O83">
            <v>0.875</v>
          </cell>
          <cell r="P83">
            <v>0.88454759106933023</v>
          </cell>
          <cell r="Q83">
            <v>15.808881032350726</v>
          </cell>
          <cell r="R83">
            <v>2.5446527192023818</v>
          </cell>
          <cell r="S83">
            <v>0.21143598247800424</v>
          </cell>
          <cell r="T83">
            <v>0.21279456383575382</v>
          </cell>
          <cell r="U83">
            <v>0.16135576737515828</v>
          </cell>
          <cell r="AA83">
            <v>0.53977232453483337</v>
          </cell>
          <cell r="AB83">
            <v>0.54669928017864178</v>
          </cell>
          <cell r="AC83">
            <v>1.1255836228422047</v>
          </cell>
          <cell r="AD83">
            <v>0.58444812524864853</v>
          </cell>
          <cell r="AE83">
            <v>0.79391781549255713</v>
          </cell>
          <cell r="AF83">
            <v>0.52619982912784002</v>
          </cell>
          <cell r="AG83">
            <v>9.1779831198534455E-3</v>
          </cell>
          <cell r="AH83">
            <v>0.93072907248268322</v>
          </cell>
          <cell r="AI83">
            <v>0.88026607538802659</v>
          </cell>
          <cell r="AJ83">
            <v>0.59640359640359641</v>
          </cell>
          <cell r="AK83">
            <v>1.49</v>
          </cell>
          <cell r="AL83">
            <v>0.47168316831683166</v>
          </cell>
          <cell r="AM83">
            <v>0.71311989956057753</v>
          </cell>
          <cell r="AN83">
            <v>0.52169855342977134</v>
          </cell>
          <cell r="AO83">
            <v>0.80395025603511339</v>
          </cell>
          <cell r="AP83">
            <v>0.4350752177355503</v>
          </cell>
          <cell r="AQ83">
            <v>0.72207621550591328</v>
          </cell>
          <cell r="AR83">
            <v>0.52771084337349394</v>
          </cell>
          <cell r="AS83">
            <v>0.62435677530017153</v>
          </cell>
          <cell r="AT83">
            <v>0.37764665046858731</v>
          </cell>
          <cell r="AU83">
            <v>0.96637168141592922</v>
          </cell>
          <cell r="AV83">
            <v>0.61224489795918369</v>
          </cell>
          <cell r="AW83">
            <v>0.86389684813753587</v>
          </cell>
          <cell r="AX83">
            <v>0.50228690228690231</v>
          </cell>
          <cell r="AY83">
            <v>2.3401486988847582</v>
          </cell>
          <cell r="AZ83">
            <v>0.62635201573254673</v>
          </cell>
          <cell r="BA83">
            <v>0.8343156516044532</v>
          </cell>
          <cell r="BB83">
            <v>1.1017094017094018</v>
          </cell>
          <cell r="BC83">
            <v>0.68876351669017399</v>
          </cell>
          <cell r="BD83">
            <v>1.2049180327868851</v>
          </cell>
          <cell r="BE83">
            <v>1.4773869346733668</v>
          </cell>
          <cell r="BF83">
            <v>0.60900082576383152</v>
          </cell>
          <cell r="BG83">
            <v>2.4238952536824878</v>
          </cell>
          <cell r="BH83">
            <v>0.82654768544339097</v>
          </cell>
          <cell r="BI83">
            <v>0.5831694848604011</v>
          </cell>
          <cell r="BJ83">
            <v>0.8111050626020686</v>
          </cell>
          <cell r="BK83">
            <v>0.90047961630695439</v>
          </cell>
          <cell r="BL83">
            <v>0.96602564102564104</v>
          </cell>
          <cell r="BM83">
            <v>0.63559679460143403</v>
          </cell>
          <cell r="BN83">
            <v>1.2456575682382134</v>
          </cell>
          <cell r="BO83">
            <v>2.7798165137614679</v>
          </cell>
          <cell r="BP83">
            <v>-1.6085858585858586</v>
          </cell>
          <cell r="BQ83">
            <v>0.15091863517060367</v>
          </cell>
          <cell r="BR83">
            <v>7.4927207145692556</v>
          </cell>
        </row>
        <row r="85">
          <cell r="A85" t="str">
            <v>Cash Tax Rate</v>
          </cell>
          <cell r="I85">
            <v>0.29735473015081643</v>
          </cell>
          <cell r="J85">
            <v>0.25365624692442218</v>
          </cell>
          <cell r="K85">
            <v>0.19941357720930586</v>
          </cell>
          <cell r="L85">
            <v>0.20532342696036202</v>
          </cell>
          <cell r="M85">
            <v>-2.377352186521484E-2</v>
          </cell>
          <cell r="N85">
            <v>-0.30663824604141293</v>
          </cell>
          <cell r="O85">
            <v>1.5384615384615385E-2</v>
          </cell>
          <cell r="P85">
            <v>0.35</v>
          </cell>
          <cell r="Q85">
            <v>0.35</v>
          </cell>
          <cell r="R85">
            <v>0.35</v>
          </cell>
          <cell r="S85">
            <v>0.35</v>
          </cell>
          <cell r="T85">
            <v>0.35</v>
          </cell>
          <cell r="U85">
            <v>0.35</v>
          </cell>
          <cell r="AE85">
            <v>1.2213523353144351</v>
          </cell>
          <cell r="AF85">
            <v>1.2804833890378353</v>
          </cell>
          <cell r="AG85">
            <v>0.46050475696013055</v>
          </cell>
          <cell r="AH85">
            <v>0.26312896554416287</v>
          </cell>
          <cell r="AI85">
            <v>0.39593450292397664</v>
          </cell>
          <cell r="AJ85">
            <v>0.38253879544221375</v>
          </cell>
          <cell r="AK85">
            <v>0.26112340896513558</v>
          </cell>
          <cell r="AL85">
            <v>0.27739175795513826</v>
          </cell>
          <cell r="AM85">
            <v>0.28650494583137071</v>
          </cell>
          <cell r="AN85">
            <v>0.12608069164265129</v>
          </cell>
          <cell r="AO85">
            <v>0.27837487019730012</v>
          </cell>
          <cell r="AP85">
            <v>0.14183932346723044</v>
          </cell>
          <cell r="AQ85">
            <v>0.18272534238110749</v>
          </cell>
          <cell r="AR85">
            <v>0.4198792625424948</v>
          </cell>
          <cell r="AS85">
            <v>-8.2329291961787621E-2</v>
          </cell>
          <cell r="AT85">
            <v>0.27279037425186881</v>
          </cell>
          <cell r="AU85">
            <v>4.5471429852313922E-2</v>
          </cell>
          <cell r="AV85">
            <v>0.53195355814153267</v>
          </cell>
          <cell r="AW85">
            <v>0.22089971153096494</v>
          </cell>
          <cell r="AX85">
            <v>-7.9378309083259907E-3</v>
          </cell>
          <cell r="AY85">
            <v>-0.10236911377595788</v>
          </cell>
          <cell r="AZ85">
            <v>4.5900194616825173E-2</v>
          </cell>
          <cell r="BA85">
            <v>-6.606051142846848E-3</v>
          </cell>
          <cell r="BB85">
            <v>2.581311306143521E-2</v>
          </cell>
          <cell r="BC85">
            <v>-1.0282534246575343</v>
          </cell>
          <cell r="BD85">
            <v>9.4488188976377951E-2</v>
          </cell>
          <cell r="BE85">
            <v>7.6484018264840178E-2</v>
          </cell>
          <cell r="BF85">
            <v>0.13839285714285715</v>
          </cell>
          <cell r="BG85">
            <v>8.2508250825082501E-3</v>
          </cell>
          <cell r="BH85">
            <v>4.843304843304843E-2</v>
          </cell>
          <cell r="BI85">
            <v>8.8809946714031966E-3</v>
          </cell>
          <cell r="BJ85">
            <v>7.0883315158124316E-3</v>
          </cell>
          <cell r="BK85">
            <v>-2.8818443804034581E-2</v>
          </cell>
          <cell r="BL85">
            <v>6.5420560747663545E-2</v>
          </cell>
          <cell r="BM85">
            <v>0.16022099447513813</v>
          </cell>
          <cell r="BN85">
            <v>0.11732355637030248</v>
          </cell>
          <cell r="BO85">
            <v>0.14457831325301204</v>
          </cell>
          <cell r="BP85">
            <v>2.9411764705882353E-3</v>
          </cell>
          <cell r="BQ85">
            <v>-9.7457627118644072E-2</v>
          </cell>
          <cell r="BR85">
            <v>-4.0720780771766871E-2</v>
          </cell>
        </row>
        <row r="87">
          <cell r="A87" t="str">
            <v xml:space="preserve"> EBITDA (ex pension)</v>
          </cell>
          <cell r="I87">
            <v>1758600</v>
          </cell>
          <cell r="J87">
            <v>1868800</v>
          </cell>
          <cell r="K87">
            <v>2068600</v>
          </cell>
          <cell r="L87">
            <v>2406000</v>
          </cell>
          <cell r="M87">
            <v>2429800</v>
          </cell>
          <cell r="N87">
            <v>2383800</v>
          </cell>
          <cell r="O87">
            <v>2318100</v>
          </cell>
          <cell r="P87">
            <v>2119400</v>
          </cell>
          <cell r="Q87">
            <v>2037851.152631579</v>
          </cell>
          <cell r="R87">
            <v>1874053.2051758801</v>
          </cell>
          <cell r="S87">
            <v>1837264.9860382881</v>
          </cell>
          <cell r="T87">
            <v>1819587.4970545345</v>
          </cell>
          <cell r="U87">
            <v>1812585.9752241108</v>
          </cell>
          <cell r="W87">
            <v>430395.952156657</v>
          </cell>
          <cell r="X87">
            <v>438930.38329779904</v>
          </cell>
          <cell r="Y87">
            <v>422504.99080263718</v>
          </cell>
          <cell r="Z87">
            <v>428440.67374290677</v>
          </cell>
          <cell r="AA87">
            <v>394117</v>
          </cell>
          <cell r="AB87">
            <v>407292</v>
          </cell>
          <cell r="AC87">
            <v>407063</v>
          </cell>
          <cell r="AD87">
            <v>433230</v>
          </cell>
          <cell r="AE87">
            <v>399135</v>
          </cell>
          <cell r="AF87">
            <v>414218</v>
          </cell>
          <cell r="AG87">
            <v>394866</v>
          </cell>
          <cell r="AH87">
            <v>425908</v>
          </cell>
          <cell r="AI87">
            <v>431900</v>
          </cell>
          <cell r="AJ87">
            <v>441000</v>
          </cell>
          <cell r="AK87">
            <v>444700</v>
          </cell>
          <cell r="AL87">
            <v>441000</v>
          </cell>
          <cell r="AM87">
            <v>476200</v>
          </cell>
          <cell r="AN87">
            <v>472800</v>
          </cell>
          <cell r="AO87">
            <v>455500</v>
          </cell>
          <cell r="AP87">
            <v>464300</v>
          </cell>
          <cell r="AQ87">
            <v>525700</v>
          </cell>
          <cell r="AR87">
            <v>511300</v>
          </cell>
          <cell r="AS87">
            <v>505600</v>
          </cell>
          <cell r="AT87">
            <v>526000</v>
          </cell>
          <cell r="AU87">
            <v>604000</v>
          </cell>
          <cell r="AV87">
            <v>596400</v>
          </cell>
          <cell r="AW87">
            <v>596200</v>
          </cell>
          <cell r="AX87">
            <v>609400</v>
          </cell>
          <cell r="AY87">
            <v>604200</v>
          </cell>
          <cell r="AZ87">
            <v>608000</v>
          </cell>
          <cell r="BA87">
            <v>610300</v>
          </cell>
          <cell r="BB87">
            <v>607300</v>
          </cell>
          <cell r="BC87">
            <v>586000</v>
          </cell>
          <cell r="BD87">
            <v>589700</v>
          </cell>
          <cell r="BE87">
            <v>590700</v>
          </cell>
          <cell r="BF87">
            <v>617400</v>
          </cell>
          <cell r="BG87">
            <v>586300</v>
          </cell>
          <cell r="BH87">
            <v>581400</v>
          </cell>
          <cell r="BI87">
            <v>574500</v>
          </cell>
          <cell r="BJ87">
            <v>575900</v>
          </cell>
          <cell r="BK87">
            <v>534900</v>
          </cell>
          <cell r="BL87">
            <v>538200</v>
          </cell>
          <cell r="BM87">
            <v>519400</v>
          </cell>
          <cell r="BN87">
            <v>526900</v>
          </cell>
          <cell r="BO87">
            <v>490400</v>
          </cell>
          <cell r="BP87">
            <v>489400</v>
          </cell>
          <cell r="BQ87">
            <v>550100</v>
          </cell>
          <cell r="BR87">
            <v>507951.15263157897</v>
          </cell>
        </row>
        <row r="88">
          <cell r="A88" t="str">
            <v xml:space="preserve">  less lease payment</v>
          </cell>
          <cell r="Q88">
            <v>-487500</v>
          </cell>
          <cell r="R88">
            <v>-650004.0625</v>
          </cell>
          <cell r="S88">
            <v>-650008.125</v>
          </cell>
          <cell r="T88">
            <v>-653258.16562499991</v>
          </cell>
          <cell r="U88">
            <v>-656524.45645312488</v>
          </cell>
          <cell r="BP88">
            <v>-121000</v>
          </cell>
          <cell r="BQ88">
            <v>-162500</v>
          </cell>
          <cell r="BR88">
            <v>-162500</v>
          </cell>
        </row>
        <row r="89">
          <cell r="A89" t="str">
            <v xml:space="preserve">  less net interest expense</v>
          </cell>
          <cell r="I89">
            <v>-453500</v>
          </cell>
          <cell r="J89">
            <v>-417500</v>
          </cell>
          <cell r="K89">
            <v>-437613</v>
          </cell>
          <cell r="L89">
            <v>-493300</v>
          </cell>
          <cell r="M89">
            <v>-601900</v>
          </cell>
          <cell r="N89">
            <v>-671500</v>
          </cell>
          <cell r="O89">
            <v>-609400</v>
          </cell>
          <cell r="P89">
            <v>-568100</v>
          </cell>
          <cell r="Q89">
            <v>-473800.17261363636</v>
          </cell>
          <cell r="R89">
            <v>-328473.19045454549</v>
          </cell>
          <cell r="S89">
            <v>-310570.28136363643</v>
          </cell>
          <cell r="T89">
            <v>-297370.28136363643</v>
          </cell>
          <cell r="U89">
            <v>-271360.02227272728</v>
          </cell>
          <cell r="W89">
            <v>-111652</v>
          </cell>
          <cell r="X89">
            <v>-122402</v>
          </cell>
          <cell r="Y89">
            <v>-107383</v>
          </cell>
          <cell r="Z89">
            <v>-119059</v>
          </cell>
          <cell r="AA89">
            <v>-113916</v>
          </cell>
          <cell r="AB89">
            <v>-87753</v>
          </cell>
          <cell r="AC89">
            <v>-109163</v>
          </cell>
          <cell r="AD89">
            <v>-96676</v>
          </cell>
          <cell r="AE89">
            <v>-119277</v>
          </cell>
          <cell r="AF89">
            <v>-105694.37967751722</v>
          </cell>
          <cell r="AG89">
            <v>-35707</v>
          </cell>
          <cell r="AH89">
            <v>-51296</v>
          </cell>
          <cell r="AI89">
            <v>-198600</v>
          </cell>
          <cell r="AJ89">
            <v>-108100</v>
          </cell>
          <cell r="AK89">
            <v>-99700</v>
          </cell>
          <cell r="AL89">
            <v>-47100</v>
          </cell>
          <cell r="AM89">
            <v>-173900</v>
          </cell>
          <cell r="AN89">
            <v>-36800</v>
          </cell>
          <cell r="AO89">
            <v>-171000</v>
          </cell>
          <cell r="AP89">
            <v>-35800</v>
          </cell>
          <cell r="AQ89">
            <v>-179996</v>
          </cell>
          <cell r="AR89">
            <v>-39012</v>
          </cell>
          <cell r="AS89">
            <v>-173833</v>
          </cell>
          <cell r="AT89">
            <v>-44772</v>
          </cell>
          <cell r="AU89">
            <v>-168600</v>
          </cell>
          <cell r="AV89">
            <v>-81000</v>
          </cell>
          <cell r="AW89">
            <v>-171000</v>
          </cell>
          <cell r="AX89">
            <v>-72700</v>
          </cell>
          <cell r="AY89">
            <v>-200600</v>
          </cell>
          <cell r="AZ89">
            <v>-106200</v>
          </cell>
          <cell r="BA89">
            <v>-120800</v>
          </cell>
          <cell r="BB89">
            <v>-174300</v>
          </cell>
          <cell r="BC89">
            <v>-139000</v>
          </cell>
          <cell r="BD89">
            <v>-184800</v>
          </cell>
          <cell r="BE89">
            <v>-125000</v>
          </cell>
          <cell r="BF89">
            <v>-222700</v>
          </cell>
          <cell r="BG89">
            <v>-105200</v>
          </cell>
          <cell r="BH89">
            <v>-188900</v>
          </cell>
          <cell r="BI89">
            <v>-123300</v>
          </cell>
          <cell r="BJ89">
            <v>-192000</v>
          </cell>
          <cell r="BK89">
            <v>-74700</v>
          </cell>
          <cell r="BL89">
            <v>-208900</v>
          </cell>
          <cell r="BM89">
            <v>-74700</v>
          </cell>
          <cell r="BN89">
            <v>-209800</v>
          </cell>
          <cell r="BO89">
            <v>-74700</v>
          </cell>
          <cell r="BP89">
            <v>-206300</v>
          </cell>
          <cell r="BQ89">
            <v>-46500</v>
          </cell>
          <cell r="BR89">
            <v>-146300.17261363636</v>
          </cell>
        </row>
        <row r="90">
          <cell r="A90" t="str">
            <v xml:space="preserve">  less cash taxes</v>
          </cell>
          <cell r="I90">
            <v>-238567.7</v>
          </cell>
          <cell r="J90">
            <v>-167526</v>
          </cell>
          <cell r="K90">
            <v>-131701.70000000001</v>
          </cell>
          <cell r="L90">
            <v>-120600</v>
          </cell>
          <cell r="M90">
            <v>11100</v>
          </cell>
          <cell r="N90">
            <v>100700</v>
          </cell>
          <cell r="O90">
            <v>-5700</v>
          </cell>
          <cell r="P90">
            <v>8800</v>
          </cell>
          <cell r="Q90">
            <v>-10000</v>
          </cell>
          <cell r="R90">
            <v>-15000</v>
          </cell>
          <cell r="S90">
            <v>-15000</v>
          </cell>
          <cell r="T90">
            <v>-15000</v>
          </cell>
          <cell r="U90">
            <v>-15000</v>
          </cell>
          <cell r="W90">
            <v>-136086</v>
          </cell>
          <cell r="X90">
            <v>-156063</v>
          </cell>
          <cell r="Y90">
            <v>-163426</v>
          </cell>
          <cell r="Z90">
            <v>-149697</v>
          </cell>
          <cell r="AA90">
            <v>-149181</v>
          </cell>
          <cell r="AB90">
            <v>-166185</v>
          </cell>
          <cell r="AC90">
            <v>-203463</v>
          </cell>
          <cell r="AD90">
            <v>-183893</v>
          </cell>
          <cell r="AE90">
            <v>-196253</v>
          </cell>
          <cell r="AF90">
            <v>-220952.69253755859</v>
          </cell>
          <cell r="AG90">
            <v>-68297</v>
          </cell>
          <cell r="AH90">
            <v>-49580.075332658889</v>
          </cell>
          <cell r="AI90">
            <v>-67704.800000000003</v>
          </cell>
          <cell r="AJ90">
            <v>-70501.899999999994</v>
          </cell>
          <cell r="AK90">
            <v>-47185</v>
          </cell>
          <cell r="AL90">
            <v>-53176</v>
          </cell>
          <cell r="AM90">
            <v>-60825</v>
          </cell>
          <cell r="AN90">
            <v>-26250</v>
          </cell>
          <cell r="AO90">
            <v>-53615</v>
          </cell>
          <cell r="AP90">
            <v>-26836</v>
          </cell>
          <cell r="AQ90">
            <v>-32528.399999999994</v>
          </cell>
          <cell r="AR90">
            <v>-68300.5</v>
          </cell>
          <cell r="AS90">
            <v>13065</v>
          </cell>
          <cell r="AT90">
            <v>-43937.8</v>
          </cell>
          <cell r="AU90">
            <v>-7100</v>
          </cell>
          <cell r="AV90">
            <v>-80500</v>
          </cell>
          <cell r="AW90">
            <v>-34000</v>
          </cell>
          <cell r="AX90">
            <v>1000</v>
          </cell>
          <cell r="AY90">
            <v>16800</v>
          </cell>
          <cell r="AZ90">
            <v>-7500</v>
          </cell>
          <cell r="BA90">
            <v>1100</v>
          </cell>
          <cell r="BB90">
            <v>700</v>
          </cell>
          <cell r="BC90">
            <v>120100</v>
          </cell>
          <cell r="BD90">
            <v>-9600</v>
          </cell>
          <cell r="BE90">
            <v>-6700</v>
          </cell>
          <cell r="BF90">
            <v>-3100</v>
          </cell>
          <cell r="BG90">
            <v>-500</v>
          </cell>
          <cell r="BH90">
            <v>-3400</v>
          </cell>
          <cell r="BI90">
            <v>-500</v>
          </cell>
          <cell r="BJ90">
            <v>-1300</v>
          </cell>
          <cell r="BK90">
            <v>1000</v>
          </cell>
          <cell r="BL90">
            <v>-2100</v>
          </cell>
          <cell r="BM90">
            <v>-2900</v>
          </cell>
          <cell r="BN90">
            <v>12800</v>
          </cell>
          <cell r="BO90">
            <v>1200</v>
          </cell>
          <cell r="BP90">
            <v>300</v>
          </cell>
          <cell r="BQ90">
            <v>-2300</v>
          </cell>
          <cell r="BR90">
            <v>-9200</v>
          </cell>
        </row>
        <row r="91">
          <cell r="A91" t="str">
            <v xml:space="preserve">  less cap-ex</v>
          </cell>
          <cell r="I91">
            <v>-418000</v>
          </cell>
          <cell r="J91">
            <v>-404800</v>
          </cell>
          <cell r="K91">
            <v>-487400</v>
          </cell>
          <cell r="L91">
            <v>-647200</v>
          </cell>
          <cell r="M91">
            <v>-892000</v>
          </cell>
          <cell r="N91">
            <v>-1101200</v>
          </cell>
          <cell r="O91">
            <v>-841000</v>
          </cell>
          <cell r="P91">
            <v>-786500</v>
          </cell>
          <cell r="Q91">
            <v>-988666.90732714138</v>
          </cell>
          <cell r="R91">
            <v>-1055204.6667873431</v>
          </cell>
          <cell r="S91">
            <v>-811094.71028900112</v>
          </cell>
          <cell r="T91">
            <v>-801602.7541774381</v>
          </cell>
          <cell r="U91">
            <v>-794385.94356447575</v>
          </cell>
          <cell r="W91">
            <v>-16654</v>
          </cell>
          <cell r="X91">
            <v>-19109</v>
          </cell>
          <cell r="Y91">
            <v>-15757</v>
          </cell>
          <cell r="Z91">
            <v>-14005</v>
          </cell>
          <cell r="AA91">
            <v>-17379</v>
          </cell>
          <cell r="AB91">
            <v>-12510</v>
          </cell>
          <cell r="AC91">
            <v>-15155</v>
          </cell>
          <cell r="AD91">
            <v>-12341</v>
          </cell>
          <cell r="AE91">
            <v>-80900</v>
          </cell>
          <cell r="AF91">
            <v>-112900</v>
          </cell>
          <cell r="AG91">
            <v>-101600</v>
          </cell>
          <cell r="AH91">
            <v>-147900</v>
          </cell>
          <cell r="AI91">
            <v>-99100</v>
          </cell>
          <cell r="AJ91">
            <v>-111800</v>
          </cell>
          <cell r="AK91">
            <v>-101700</v>
          </cell>
          <cell r="AL91">
            <v>-105400</v>
          </cell>
          <cell r="AM91">
            <v>-76900</v>
          </cell>
          <cell r="AN91">
            <v>-101500</v>
          </cell>
          <cell r="AO91">
            <v>-105300</v>
          </cell>
          <cell r="AP91">
            <v>-121100</v>
          </cell>
          <cell r="AQ91">
            <v>-117000</v>
          </cell>
          <cell r="AR91">
            <v>-116700</v>
          </cell>
          <cell r="AS91">
            <v>-120600</v>
          </cell>
          <cell r="AT91">
            <v>-133100</v>
          </cell>
          <cell r="AU91">
            <v>-118700</v>
          </cell>
          <cell r="AV91">
            <v>-164900</v>
          </cell>
          <cell r="AW91">
            <v>-168500</v>
          </cell>
          <cell r="AX91">
            <v>-195100</v>
          </cell>
          <cell r="AY91">
            <v>-206500</v>
          </cell>
          <cell r="AZ91">
            <v>-223900</v>
          </cell>
          <cell r="BA91">
            <v>-222700</v>
          </cell>
          <cell r="BB91">
            <v>-238900</v>
          </cell>
          <cell r="BC91">
            <v>-226100</v>
          </cell>
          <cell r="BD91">
            <v>-276000</v>
          </cell>
          <cell r="BE91">
            <v>-307300</v>
          </cell>
          <cell r="BF91">
            <v>-291800</v>
          </cell>
          <cell r="BG91">
            <v>-243500</v>
          </cell>
          <cell r="BH91">
            <v>-228700</v>
          </cell>
          <cell r="BI91">
            <v>-193800</v>
          </cell>
          <cell r="BJ91">
            <v>-175000</v>
          </cell>
          <cell r="BK91">
            <v>-153000</v>
          </cell>
          <cell r="BL91">
            <v>-205800</v>
          </cell>
          <cell r="BM91">
            <v>-193900</v>
          </cell>
          <cell r="BN91">
            <v>-233800</v>
          </cell>
          <cell r="BO91">
            <v>-189300</v>
          </cell>
          <cell r="BP91">
            <v>-255000</v>
          </cell>
          <cell r="BQ91">
            <v>-300100</v>
          </cell>
          <cell r="BR91">
            <v>-244266.90732714138</v>
          </cell>
        </row>
        <row r="92">
          <cell r="A92" t="str">
            <v xml:space="preserve">  adjustment to arrive to reported FCF</v>
          </cell>
          <cell r="I92">
            <v>0</v>
          </cell>
          <cell r="J92">
            <v>0</v>
          </cell>
          <cell r="K92">
            <v>0</v>
          </cell>
          <cell r="L92">
            <v>-330300</v>
          </cell>
          <cell r="M92">
            <v>-162800</v>
          </cell>
          <cell r="N92">
            <v>51400</v>
          </cell>
          <cell r="O92">
            <v>29300</v>
          </cell>
          <cell r="AU92">
            <v>-101800</v>
          </cell>
          <cell r="AV92">
            <v>-72800</v>
          </cell>
          <cell r="AW92">
            <v>-101000</v>
          </cell>
          <cell r="AX92">
            <v>-54700</v>
          </cell>
          <cell r="AY92">
            <v>-44900</v>
          </cell>
          <cell r="AZ92">
            <v>-44600</v>
          </cell>
          <cell r="BA92">
            <v>-57900</v>
          </cell>
          <cell r="BB92">
            <v>-15400</v>
          </cell>
          <cell r="BC92">
            <v>2800</v>
          </cell>
          <cell r="BD92">
            <v>8900</v>
          </cell>
          <cell r="BE92">
            <v>18300</v>
          </cell>
          <cell r="BF92">
            <v>21400</v>
          </cell>
          <cell r="BG92">
            <v>9600</v>
          </cell>
          <cell r="BH92">
            <v>8200</v>
          </cell>
          <cell r="BI92">
            <v>6400</v>
          </cell>
          <cell r="BJ92">
            <v>5100</v>
          </cell>
          <cell r="BK92">
            <v>5500</v>
          </cell>
          <cell r="BL92">
            <v>5200</v>
          </cell>
          <cell r="BM92">
            <v>5100</v>
          </cell>
          <cell r="BN92">
            <v>4700</v>
          </cell>
          <cell r="BO92">
            <v>4300</v>
          </cell>
          <cell r="BP92">
            <v>1200</v>
          </cell>
          <cell r="BQ92">
            <v>13000</v>
          </cell>
        </row>
        <row r="93">
          <cell r="A93" t="str">
            <v>FCF (company calc)</v>
          </cell>
          <cell r="I93">
            <v>648532.30000000005</v>
          </cell>
          <cell r="J93">
            <v>878974</v>
          </cell>
          <cell r="K93">
            <v>1011885.3</v>
          </cell>
          <cell r="L93">
            <v>814600</v>
          </cell>
          <cell r="M93">
            <v>784200</v>
          </cell>
          <cell r="N93">
            <v>763200</v>
          </cell>
          <cell r="O93">
            <v>891300</v>
          </cell>
          <cell r="P93">
            <v>773600</v>
          </cell>
          <cell r="Q93">
            <v>77884.072690801229</v>
          </cell>
          <cell r="R93">
            <v>-174628.71456600842</v>
          </cell>
          <cell r="S93">
            <v>50591.869385650498</v>
          </cell>
          <cell r="T93">
            <v>52356.295888460008</v>
          </cell>
          <cell r="U93">
            <v>75315.552933782805</v>
          </cell>
          <cell r="W93">
            <v>166003.952156657</v>
          </cell>
          <cell r="X93">
            <v>141356.38329779904</v>
          </cell>
          <cell r="Y93">
            <v>135938.99080263718</v>
          </cell>
          <cell r="Z93">
            <v>145679.67374290677</v>
          </cell>
          <cell r="AA93">
            <v>113641</v>
          </cell>
          <cell r="AB93">
            <v>140844</v>
          </cell>
          <cell r="AC93">
            <v>79282</v>
          </cell>
          <cell r="AD93">
            <v>140320</v>
          </cell>
          <cell r="AE93">
            <v>2705</v>
          </cell>
          <cell r="AF93">
            <v>-25329.072215075808</v>
          </cell>
          <cell r="AG93">
            <v>189262</v>
          </cell>
          <cell r="AH93">
            <v>177131.92466734111</v>
          </cell>
          <cell r="AI93">
            <v>66495.200000000012</v>
          </cell>
          <cell r="AJ93">
            <v>150598.09999999998</v>
          </cell>
          <cell r="AK93">
            <v>196115</v>
          </cell>
          <cell r="AL93">
            <v>235324</v>
          </cell>
          <cell r="AM93">
            <v>164575</v>
          </cell>
          <cell r="AN93">
            <v>308250</v>
          </cell>
          <cell r="AO93">
            <v>125585</v>
          </cell>
          <cell r="AP93">
            <v>280564</v>
          </cell>
          <cell r="AQ93">
            <v>196175.59999999998</v>
          </cell>
          <cell r="AR93">
            <v>287287.5</v>
          </cell>
          <cell r="AS93">
            <v>224232</v>
          </cell>
          <cell r="AT93">
            <v>304190.2</v>
          </cell>
          <cell r="AU93">
            <v>207800</v>
          </cell>
          <cell r="AV93">
            <v>197200</v>
          </cell>
          <cell r="AW93">
            <v>121700</v>
          </cell>
          <cell r="AX93">
            <v>287900</v>
          </cell>
          <cell r="AY93">
            <v>169000</v>
          </cell>
          <cell r="AZ93">
            <v>225800</v>
          </cell>
          <cell r="BA93">
            <v>210000</v>
          </cell>
          <cell r="BB93">
            <v>179400</v>
          </cell>
          <cell r="BC93">
            <v>343800</v>
          </cell>
          <cell r="BD93">
            <v>128200</v>
          </cell>
          <cell r="BE93">
            <v>170000</v>
          </cell>
          <cell r="BF93">
            <v>121200</v>
          </cell>
          <cell r="BG93">
            <v>246700</v>
          </cell>
          <cell r="BH93">
            <v>168600</v>
          </cell>
          <cell r="BI93">
            <v>263300</v>
          </cell>
          <cell r="BJ93">
            <v>212700</v>
          </cell>
          <cell r="BK93">
            <v>313700</v>
          </cell>
          <cell r="BL93">
            <v>126600</v>
          </cell>
          <cell r="BM93">
            <v>253000</v>
          </cell>
          <cell r="BN93">
            <v>100800</v>
          </cell>
          <cell r="BO93">
            <v>231900</v>
          </cell>
          <cell r="BP93">
            <v>-91400</v>
          </cell>
          <cell r="BQ93">
            <v>51700</v>
          </cell>
          <cell r="BR93">
            <v>-54315.927309198771</v>
          </cell>
        </row>
        <row r="94">
          <cell r="A94" t="str">
            <v>Dividend Payout % FCF</v>
          </cell>
          <cell r="I94">
            <v>0.73519853984142347</v>
          </cell>
          <cell r="J94">
            <v>0.50649962342458366</v>
          </cell>
          <cell r="K94">
            <v>0.43226243132497327</v>
          </cell>
          <cell r="L94">
            <v>0.57034127178983551</v>
          </cell>
          <cell r="M94">
            <v>0.64983422596276463</v>
          </cell>
          <cell r="N94">
            <v>0.77044025157232709</v>
          </cell>
          <cell r="O94">
            <v>0.66599349265118368</v>
          </cell>
          <cell r="P94">
            <v>0.77843846949327822</v>
          </cell>
          <cell r="Q94">
            <v>6.4665348419291808</v>
          </cell>
          <cell r="R94">
            <v>-0.32626535557548114</v>
          </cell>
          <cell r="S94">
            <v>1.0806180687140141</v>
          </cell>
          <cell r="T94">
            <v>1.0346777972642562</v>
          </cell>
          <cell r="U94">
            <v>0.71257950866739228</v>
          </cell>
          <cell r="AA94">
            <v>0.10976793956406578</v>
          </cell>
          <cell r="AB94">
            <v>0.17730346851836074</v>
          </cell>
          <cell r="AC94">
            <v>0.31499361570091566</v>
          </cell>
          <cell r="AD94">
            <v>0.17797928192702395</v>
          </cell>
          <cell r="AE94">
            <v>9.2866371903881699</v>
          </cell>
          <cell r="AF94">
            <v>-0.99208816756594309</v>
          </cell>
          <cell r="AG94">
            <v>2.6418404117044096E-2</v>
          </cell>
          <cell r="AH94">
            <v>0.66830697076384316</v>
          </cell>
          <cell r="AI94">
            <v>1.7911067265005591</v>
          </cell>
          <cell r="AJ94">
            <v>0.79283868787189227</v>
          </cell>
          <cell r="AK94">
            <v>0.60780664406088269</v>
          </cell>
          <cell r="AL94">
            <v>0.50611072393805989</v>
          </cell>
          <cell r="AM94">
            <v>0.69026279811636038</v>
          </cell>
          <cell r="AN94">
            <v>0.36269261962692617</v>
          </cell>
          <cell r="AO94">
            <v>0.87510451088903929</v>
          </cell>
          <cell r="AP94">
            <v>0.39171098216449723</v>
          </cell>
          <cell r="AQ94">
            <v>0.56021238115239613</v>
          </cell>
          <cell r="AR94">
            <v>0.38115128573293305</v>
          </cell>
          <cell r="AS94">
            <v>0.48699561168789468</v>
          </cell>
          <cell r="AT94">
            <v>0.35767095718402497</v>
          </cell>
          <cell r="AU94">
            <v>0.52550529355149178</v>
          </cell>
          <cell r="AV94">
            <v>0.57809330628803246</v>
          </cell>
          <cell r="AW94">
            <v>0.99096138044371407</v>
          </cell>
          <cell r="AX94">
            <v>0.41959013546370266</v>
          </cell>
          <cell r="AY94">
            <v>0.74497041420118348</v>
          </cell>
          <cell r="AZ94">
            <v>0.56421612046058456</v>
          </cell>
          <cell r="BA94">
            <v>0.60666666666666669</v>
          </cell>
          <cell r="BB94">
            <v>0.71850613154960985</v>
          </cell>
          <cell r="BC94">
            <v>0.4261198371146015</v>
          </cell>
          <cell r="BD94">
            <v>1.1466458658346335</v>
          </cell>
          <cell r="BE94">
            <v>0.86470588235294121</v>
          </cell>
          <cell r="BF94">
            <v>1.216996699669967</v>
          </cell>
          <cell r="BG94">
            <v>0.60032428050263476</v>
          </cell>
          <cell r="BH94">
            <v>0.87900355871886116</v>
          </cell>
          <cell r="BI94">
            <v>0.56323585263957465</v>
          </cell>
          <cell r="BJ94">
            <v>0.70051716031969913</v>
          </cell>
          <cell r="BK94">
            <v>0.47880140261396237</v>
          </cell>
          <cell r="BL94">
            <v>1.1903633491311216</v>
          </cell>
          <cell r="BM94">
            <v>0.59565217391304348</v>
          </cell>
          <cell r="BN94">
            <v>1.4940476190476191</v>
          </cell>
          <cell r="BO94">
            <v>0.65329883570504532</v>
          </cell>
          <cell r="BP94">
            <v>-2.0908096280087527</v>
          </cell>
          <cell r="BQ94">
            <v>0.22243713733075435</v>
          </cell>
          <cell r="BR94">
            <v>-2.753153211122394</v>
          </cell>
        </row>
        <row r="96">
          <cell r="A96" t="str">
            <v>FCF yield</v>
          </cell>
          <cell r="Q96">
            <v>0.13231256732213781</v>
          </cell>
          <cell r="R96">
            <v>-0.29666622139962051</v>
          </cell>
          <cell r="S96">
            <v>8.594748441849645E-2</v>
          </cell>
          <cell r="T96">
            <v>8.8944962495493843E-2</v>
          </cell>
          <cell r="U96">
            <v>0.12794906357191752</v>
          </cell>
        </row>
        <row r="97">
          <cell r="A97" t="str">
            <v>EBITDA</v>
          </cell>
          <cell r="W97">
            <v>430395.952156657</v>
          </cell>
          <cell r="X97">
            <v>438930.38329779904</v>
          </cell>
          <cell r="Y97">
            <v>422504.99080263718</v>
          </cell>
          <cell r="Z97">
            <v>428440.67374290677</v>
          </cell>
          <cell r="AA97">
            <v>394117</v>
          </cell>
          <cell r="AB97">
            <v>407292</v>
          </cell>
          <cell r="AC97">
            <v>407063</v>
          </cell>
          <cell r="AD97">
            <v>433230</v>
          </cell>
          <cell r="AE97">
            <v>399135</v>
          </cell>
          <cell r="AF97">
            <v>414218</v>
          </cell>
          <cell r="AG97">
            <v>394866</v>
          </cell>
          <cell r="AH97">
            <v>425908</v>
          </cell>
          <cell r="AI97">
            <v>427600</v>
          </cell>
          <cell r="AJ97">
            <v>435600</v>
          </cell>
          <cell r="AK97">
            <v>439800</v>
          </cell>
          <cell r="AL97">
            <v>436800</v>
          </cell>
          <cell r="AM97">
            <v>471000</v>
          </cell>
          <cell r="AN97">
            <v>467000</v>
          </cell>
          <cell r="AO97">
            <v>450900</v>
          </cell>
          <cell r="AP97">
            <v>459100</v>
          </cell>
          <cell r="AQ97">
            <v>496000</v>
          </cell>
          <cell r="AR97">
            <v>480500</v>
          </cell>
          <cell r="AS97">
            <v>477000</v>
          </cell>
          <cell r="AT97">
            <v>496400</v>
          </cell>
          <cell r="AU97">
            <v>592800</v>
          </cell>
          <cell r="AV97">
            <v>583500</v>
          </cell>
          <cell r="AW97">
            <v>585000</v>
          </cell>
          <cell r="AX97">
            <v>563000</v>
          </cell>
          <cell r="AY97">
            <v>596500</v>
          </cell>
          <cell r="AZ97">
            <v>595000</v>
          </cell>
          <cell r="BA97">
            <v>599600</v>
          </cell>
          <cell r="BB97">
            <v>432500</v>
          </cell>
          <cell r="BC97">
            <v>579700</v>
          </cell>
          <cell r="BD97">
            <v>582200</v>
          </cell>
          <cell r="BE97">
            <v>586500</v>
          </cell>
          <cell r="BF97">
            <v>525000</v>
          </cell>
          <cell r="BG97">
            <v>575200</v>
          </cell>
          <cell r="BH97">
            <v>568700</v>
          </cell>
          <cell r="BI97">
            <v>564400</v>
          </cell>
          <cell r="BJ97">
            <v>680400</v>
          </cell>
          <cell r="BK97">
            <v>521500</v>
          </cell>
          <cell r="BL97">
            <v>517900</v>
          </cell>
          <cell r="BM97">
            <v>508600</v>
          </cell>
          <cell r="BN97">
            <v>401300</v>
          </cell>
          <cell r="BO97">
            <v>477400</v>
          </cell>
          <cell r="BP97">
            <v>480600</v>
          </cell>
          <cell r="BQ97">
            <v>537400</v>
          </cell>
          <cell r="BR97">
            <v>363351.15263157897</v>
          </cell>
        </row>
        <row r="98">
          <cell r="A98" t="str">
            <v>Capex</v>
          </cell>
          <cell r="AH98">
            <v>129684</v>
          </cell>
          <cell r="AI98">
            <v>80000</v>
          </cell>
          <cell r="AJ98">
            <v>98000</v>
          </cell>
          <cell r="AK98">
            <v>90300</v>
          </cell>
          <cell r="AL98">
            <v>97400</v>
          </cell>
          <cell r="AM98">
            <v>55800</v>
          </cell>
          <cell r="AN98">
            <v>77500</v>
          </cell>
          <cell r="AO98">
            <v>86200</v>
          </cell>
          <cell r="AP98">
            <v>98000</v>
          </cell>
          <cell r="AQ98">
            <v>62800</v>
          </cell>
          <cell r="AR98">
            <v>76700</v>
          </cell>
          <cell r="AS98">
            <v>67300</v>
          </cell>
          <cell r="AT98">
            <v>91300</v>
          </cell>
          <cell r="AU98">
            <v>60500</v>
          </cell>
          <cell r="AV98">
            <v>98900</v>
          </cell>
          <cell r="AW98">
            <v>113300</v>
          </cell>
          <cell r="AX98">
            <v>142500</v>
          </cell>
          <cell r="AY98">
            <v>158500</v>
          </cell>
          <cell r="AZ98">
            <v>171000</v>
          </cell>
          <cell r="BA98">
            <v>177000</v>
          </cell>
          <cell r="BB98">
            <v>195400</v>
          </cell>
          <cell r="BC98">
            <v>226100</v>
          </cell>
          <cell r="BD98">
            <v>276000</v>
          </cell>
          <cell r="BE98">
            <v>307300</v>
          </cell>
          <cell r="BF98">
            <v>291800</v>
          </cell>
          <cell r="BG98">
            <v>243500</v>
          </cell>
          <cell r="BH98">
            <v>228700</v>
          </cell>
          <cell r="BI98">
            <v>193800</v>
          </cell>
          <cell r="BJ98">
            <v>175000</v>
          </cell>
          <cell r="BK98">
            <v>153000</v>
          </cell>
          <cell r="BL98">
            <v>205800</v>
          </cell>
          <cell r="BM98">
            <v>193900</v>
          </cell>
          <cell r="BN98">
            <v>233800</v>
          </cell>
          <cell r="BO98">
            <v>189300</v>
          </cell>
          <cell r="BP98">
            <v>255000</v>
          </cell>
          <cell r="BQ98">
            <v>300100</v>
          </cell>
          <cell r="BR98">
            <v>244266.90732714138</v>
          </cell>
        </row>
        <row r="99">
          <cell r="A99" t="str">
            <v xml:space="preserve">Free Cash Flow </v>
          </cell>
          <cell r="AM99">
            <v>415200</v>
          </cell>
          <cell r="AN99">
            <v>389500</v>
          </cell>
          <cell r="AO99">
            <v>364700</v>
          </cell>
          <cell r="AP99">
            <v>361100</v>
          </cell>
          <cell r="AQ99">
            <v>433200</v>
          </cell>
          <cell r="AR99">
            <v>403800</v>
          </cell>
          <cell r="AS99">
            <v>409700</v>
          </cell>
          <cell r="AT99">
            <v>405100</v>
          </cell>
          <cell r="AU99">
            <v>532300</v>
          </cell>
          <cell r="AV99">
            <v>484600</v>
          </cell>
          <cell r="AW99">
            <v>471700</v>
          </cell>
          <cell r="AX99">
            <v>420500</v>
          </cell>
          <cell r="AY99">
            <v>438000</v>
          </cell>
          <cell r="AZ99">
            <v>424000</v>
          </cell>
          <cell r="BA99">
            <v>422600</v>
          </cell>
          <cell r="BB99">
            <v>237100</v>
          </cell>
          <cell r="BC99">
            <v>353600</v>
          </cell>
          <cell r="BD99">
            <v>306200</v>
          </cell>
          <cell r="BE99">
            <v>279200</v>
          </cell>
          <cell r="BF99">
            <v>233200</v>
          </cell>
          <cell r="BG99">
            <v>331700</v>
          </cell>
          <cell r="BH99">
            <v>340000</v>
          </cell>
          <cell r="BI99">
            <v>370600</v>
          </cell>
          <cell r="BJ99">
            <v>505400</v>
          </cell>
          <cell r="BK99">
            <v>368500</v>
          </cell>
          <cell r="BL99">
            <v>312100</v>
          </cell>
          <cell r="BM99">
            <v>314700</v>
          </cell>
          <cell r="BN99">
            <v>167500</v>
          </cell>
          <cell r="BO99">
            <v>288100</v>
          </cell>
          <cell r="BP99">
            <v>225600</v>
          </cell>
          <cell r="BQ99">
            <v>237300</v>
          </cell>
          <cell r="BR99">
            <v>119084.24530443759</v>
          </cell>
        </row>
        <row r="101">
          <cell r="A101" t="str">
            <v>Adjusted FCFE (for Global Comps)</v>
          </cell>
          <cell r="E101">
            <v>2003</v>
          </cell>
          <cell r="F101">
            <v>2004</v>
          </cell>
          <cell r="G101">
            <v>2005</v>
          </cell>
          <cell r="H101">
            <v>2006</v>
          </cell>
          <cell r="I101">
            <v>2007</v>
          </cell>
          <cell r="J101">
            <v>2008</v>
          </cell>
          <cell r="K101">
            <v>2009</v>
          </cell>
          <cell r="L101">
            <v>2010</v>
          </cell>
          <cell r="M101">
            <v>2011</v>
          </cell>
          <cell r="N101">
            <v>2012</v>
          </cell>
          <cell r="O101">
            <v>2013</v>
          </cell>
          <cell r="P101">
            <v>2014</v>
          </cell>
          <cell r="Q101">
            <v>2015</v>
          </cell>
          <cell r="R101">
            <v>2016</v>
          </cell>
          <cell r="S101">
            <v>2017</v>
          </cell>
          <cell r="T101">
            <v>2018</v>
          </cell>
          <cell r="U101">
            <v>2019</v>
          </cell>
          <cell r="W101" t="str">
            <v>1Q04</v>
          </cell>
          <cell r="X101" t="str">
            <v>2Q04</v>
          </cell>
          <cell r="Y101" t="str">
            <v>3Q04</v>
          </cell>
          <cell r="Z101" t="str">
            <v>4Q04</v>
          </cell>
          <cell r="AA101" t="str">
            <v>1Q05</v>
          </cell>
          <cell r="AB101" t="str">
            <v>2Q05</v>
          </cell>
          <cell r="AC101" t="str">
            <v>3Q05</v>
          </cell>
          <cell r="AD101" t="str">
            <v>4Q05</v>
          </cell>
          <cell r="AE101" t="str">
            <v>1Q06</v>
          </cell>
          <cell r="AF101" t="str">
            <v>2Q06</v>
          </cell>
          <cell r="AG101" t="str">
            <v>3Q06</v>
          </cell>
          <cell r="AH101" t="str">
            <v>4Q06</v>
          </cell>
          <cell r="AI101" t="str">
            <v>1Q07</v>
          </cell>
          <cell r="AJ101" t="str">
            <v>2Q07</v>
          </cell>
          <cell r="AK101" t="str">
            <v>3Q07</v>
          </cell>
          <cell r="AL101" t="str">
            <v>4Q07</v>
          </cell>
          <cell r="AM101" t="str">
            <v>1Q08</v>
          </cell>
          <cell r="AN101" t="str">
            <v>2Q08</v>
          </cell>
          <cell r="AO101" t="str">
            <v>3Q08</v>
          </cell>
          <cell r="AP101" t="str">
            <v>4Q08</v>
          </cell>
          <cell r="AQ101" t="str">
            <v>1Q09</v>
          </cell>
          <cell r="AR101" t="str">
            <v>2Q09</v>
          </cell>
          <cell r="AS101" t="str">
            <v>3Q09</v>
          </cell>
          <cell r="AT101" t="str">
            <v>4Q09</v>
          </cell>
          <cell r="AU101" t="str">
            <v>1Q10</v>
          </cell>
          <cell r="AV101" t="str">
            <v>2Q10</v>
          </cell>
          <cell r="AW101" t="str">
            <v>3Q10</v>
          </cell>
          <cell r="AX101" t="str">
            <v>4Q10</v>
          </cell>
          <cell r="AY101" t="str">
            <v>1Q11</v>
          </cell>
          <cell r="AZ101" t="str">
            <v>2Q11</v>
          </cell>
          <cell r="BA101" t="str">
            <v>3Q11</v>
          </cell>
          <cell r="BB101" t="str">
            <v>4Q11</v>
          </cell>
          <cell r="BC101" t="str">
            <v>1Q12</v>
          </cell>
          <cell r="BD101" t="str">
            <v>2Q12</v>
          </cell>
          <cell r="BE101" t="str">
            <v>3Q12</v>
          </cell>
          <cell r="BF101" t="str">
            <v>4Q12</v>
          </cell>
          <cell r="BG101" t="str">
            <v>1Q13</v>
          </cell>
          <cell r="BH101" t="str">
            <v>2Q13</v>
          </cell>
          <cell r="BI101" t="str">
            <v>3Q13</v>
          </cell>
          <cell r="BJ101" t="str">
            <v>4Q13</v>
          </cell>
          <cell r="BK101" t="str">
            <v>1Q14</v>
          </cell>
          <cell r="BL101" t="str">
            <v>2Q14</v>
          </cell>
          <cell r="BM101" t="str">
            <v>3Q14</v>
          </cell>
          <cell r="BN101" t="str">
            <v>4Q14</v>
          </cell>
          <cell r="BO101" t="str">
            <v>1Q15</v>
          </cell>
          <cell r="BP101" t="str">
            <v>2Q15</v>
          </cell>
          <cell r="BQ101" t="str">
            <v>3Q15</v>
          </cell>
          <cell r="BR101" t="str">
            <v>4Q15E</v>
          </cell>
        </row>
        <row r="103">
          <cell r="A103" t="str">
            <v xml:space="preserve">EBITDA </v>
          </cell>
          <cell r="E103">
            <v>1708211</v>
          </cell>
          <cell r="F103">
            <v>1720272</v>
          </cell>
          <cell r="G103">
            <v>1641702</v>
          </cell>
          <cell r="H103">
            <v>1634127</v>
          </cell>
          <cell r="I103">
            <v>1758600</v>
          </cell>
          <cell r="J103">
            <v>1868800</v>
          </cell>
          <cell r="K103">
            <v>2068600</v>
          </cell>
          <cell r="L103">
            <v>2406000</v>
          </cell>
          <cell r="M103">
            <v>2429800</v>
          </cell>
          <cell r="N103">
            <v>2383800</v>
          </cell>
          <cell r="O103">
            <v>2318100</v>
          </cell>
          <cell r="P103">
            <v>2119400</v>
          </cell>
          <cell r="Q103">
            <v>2037851.152631579</v>
          </cell>
          <cell r="R103">
            <v>1874053.2051758801</v>
          </cell>
          <cell r="S103">
            <v>1837264.9860382881</v>
          </cell>
          <cell r="T103">
            <v>1819587.4970545345</v>
          </cell>
          <cell r="U103">
            <v>1812585.9752241108</v>
          </cell>
          <cell r="W103">
            <v>430395.952156657</v>
          </cell>
          <cell r="X103">
            <v>438930.38329779904</v>
          </cell>
          <cell r="Y103">
            <v>422504.99080263718</v>
          </cell>
          <cell r="Z103">
            <v>428440.67374290677</v>
          </cell>
          <cell r="AA103">
            <v>394117</v>
          </cell>
          <cell r="AB103">
            <v>407292</v>
          </cell>
          <cell r="AC103">
            <v>407063</v>
          </cell>
          <cell r="AD103">
            <v>433230</v>
          </cell>
          <cell r="AE103">
            <v>399135</v>
          </cell>
          <cell r="AF103">
            <v>414218</v>
          </cell>
          <cell r="AG103">
            <v>394866</v>
          </cell>
          <cell r="AH103">
            <v>425908</v>
          </cell>
          <cell r="AI103">
            <v>431900</v>
          </cell>
          <cell r="AJ103">
            <v>441000</v>
          </cell>
          <cell r="AK103">
            <v>444700</v>
          </cell>
          <cell r="AL103">
            <v>441000</v>
          </cell>
          <cell r="AM103">
            <v>476200</v>
          </cell>
          <cell r="AN103">
            <v>472800</v>
          </cell>
          <cell r="AO103">
            <v>455500</v>
          </cell>
          <cell r="AP103">
            <v>464300</v>
          </cell>
          <cell r="AQ103">
            <v>525700</v>
          </cell>
          <cell r="AR103">
            <v>511300</v>
          </cell>
          <cell r="AS103">
            <v>505600</v>
          </cell>
          <cell r="AT103">
            <v>526000</v>
          </cell>
          <cell r="AU103">
            <v>604000</v>
          </cell>
          <cell r="AV103">
            <v>596400</v>
          </cell>
          <cell r="AW103">
            <v>596200</v>
          </cell>
          <cell r="AX103">
            <v>609400</v>
          </cell>
          <cell r="AY103">
            <v>604200</v>
          </cell>
          <cell r="AZ103">
            <v>608000</v>
          </cell>
          <cell r="BA103">
            <v>610300</v>
          </cell>
          <cell r="BB103">
            <v>607300</v>
          </cell>
          <cell r="BC103">
            <v>586000</v>
          </cell>
          <cell r="BD103">
            <v>589700</v>
          </cell>
          <cell r="BE103">
            <v>590700</v>
          </cell>
          <cell r="BF103">
            <v>617400</v>
          </cell>
          <cell r="BG103">
            <v>586300</v>
          </cell>
          <cell r="BH103">
            <v>581400</v>
          </cell>
          <cell r="BI103">
            <v>574500</v>
          </cell>
          <cell r="BJ103">
            <v>575900</v>
          </cell>
          <cell r="BK103">
            <v>534900</v>
          </cell>
          <cell r="BL103">
            <v>538200</v>
          </cell>
          <cell r="BM103">
            <v>519400</v>
          </cell>
          <cell r="BN103">
            <v>526900</v>
          </cell>
          <cell r="BO103">
            <v>490400</v>
          </cell>
          <cell r="BP103">
            <v>489400</v>
          </cell>
          <cell r="BQ103">
            <v>550100</v>
          </cell>
          <cell r="BR103">
            <v>507951.15263157897</v>
          </cell>
        </row>
        <row r="104">
          <cell r="A104" t="str">
            <v xml:space="preserve"> - Net Income from associates</v>
          </cell>
        </row>
        <row r="105">
          <cell r="A105" t="str">
            <v xml:space="preserve"> - Change in WC</v>
          </cell>
          <cell r="E105">
            <v>33</v>
          </cell>
          <cell r="F105">
            <v>-6069</v>
          </cell>
          <cell r="G105">
            <v>2919</v>
          </cell>
          <cell r="H105">
            <v>187652</v>
          </cell>
          <cell r="I105">
            <v>-74000</v>
          </cell>
          <cell r="J105">
            <v>-62700</v>
          </cell>
          <cell r="K105">
            <v>-8100</v>
          </cell>
          <cell r="L105">
            <v>-108200</v>
          </cell>
          <cell r="M105">
            <v>-211800</v>
          </cell>
          <cell r="N105">
            <v>27000</v>
          </cell>
          <cell r="O105">
            <v>-97100</v>
          </cell>
          <cell r="P105">
            <v>-89200</v>
          </cell>
          <cell r="Q105">
            <v>3756.546736367236</v>
          </cell>
          <cell r="R105">
            <v>24719.491815072943</v>
          </cell>
          <cell r="S105">
            <v>53053.227876815807</v>
          </cell>
          <cell r="T105">
            <v>35054.269383150284</v>
          </cell>
          <cell r="U105">
            <v>34778.974629897282</v>
          </cell>
          <cell r="W105">
            <v>8507</v>
          </cell>
          <cell r="X105">
            <v>-9405</v>
          </cell>
          <cell r="Y105">
            <v>12002</v>
          </cell>
          <cell r="Z105">
            <v>-17173</v>
          </cell>
          <cell r="AA105">
            <v>-3824</v>
          </cell>
          <cell r="AB105">
            <v>4358</v>
          </cell>
          <cell r="AC105">
            <v>-301</v>
          </cell>
          <cell r="AD105">
            <v>2686</v>
          </cell>
          <cell r="AE105">
            <v>-9701</v>
          </cell>
          <cell r="AF105">
            <v>9767</v>
          </cell>
          <cell r="AG105">
            <v>174113</v>
          </cell>
          <cell r="AH105">
            <v>13473</v>
          </cell>
          <cell r="AI105">
            <v>-43500</v>
          </cell>
          <cell r="AJ105">
            <v>-32400</v>
          </cell>
          <cell r="AK105">
            <v>-46200</v>
          </cell>
          <cell r="AL105">
            <v>48100</v>
          </cell>
          <cell r="AM105">
            <v>-55600</v>
          </cell>
          <cell r="AN105">
            <v>-16700</v>
          </cell>
          <cell r="AO105">
            <v>-44700</v>
          </cell>
          <cell r="AP105">
            <v>54300</v>
          </cell>
          <cell r="AQ105">
            <v>-76000</v>
          </cell>
          <cell r="AR105">
            <v>36500</v>
          </cell>
          <cell r="AS105">
            <v>-83300</v>
          </cell>
          <cell r="AT105">
            <v>114700</v>
          </cell>
          <cell r="AU105">
            <v>-59900</v>
          </cell>
          <cell r="AV105">
            <v>10700</v>
          </cell>
          <cell r="AW105">
            <v>-117300</v>
          </cell>
          <cell r="AX105">
            <v>58300</v>
          </cell>
          <cell r="AY105">
            <v>-110900</v>
          </cell>
          <cell r="AZ105">
            <v>26800</v>
          </cell>
          <cell r="BA105">
            <v>-42400</v>
          </cell>
          <cell r="BB105">
            <v>-85300</v>
          </cell>
          <cell r="BC105">
            <v>71400</v>
          </cell>
          <cell r="BD105">
            <v>-66300</v>
          </cell>
          <cell r="BE105">
            <v>-19600</v>
          </cell>
          <cell r="BF105">
            <v>41500</v>
          </cell>
          <cell r="BG105">
            <v>-55100</v>
          </cell>
          <cell r="BH105">
            <v>-20600</v>
          </cell>
          <cell r="BI105">
            <v>51100</v>
          </cell>
          <cell r="BJ105">
            <v>-72500</v>
          </cell>
          <cell r="BK105">
            <v>-19500</v>
          </cell>
          <cell r="BL105">
            <v>-53800</v>
          </cell>
          <cell r="BM105">
            <v>36000</v>
          </cell>
          <cell r="BN105">
            <v>-51900</v>
          </cell>
          <cell r="BO105">
            <v>-58000</v>
          </cell>
          <cell r="BP105">
            <v>-50500</v>
          </cell>
          <cell r="BQ105">
            <v>59800</v>
          </cell>
          <cell r="BR105">
            <v>52456.546736367236</v>
          </cell>
        </row>
        <row r="106">
          <cell r="A106" t="str">
            <v xml:space="preserve"> - Capex (excluding spectrum spend)</v>
          </cell>
          <cell r="E106">
            <v>-69850</v>
          </cell>
          <cell r="F106">
            <v>-65525</v>
          </cell>
          <cell r="G106">
            <v>-57385</v>
          </cell>
          <cell r="H106">
            <v>-373840</v>
          </cell>
          <cell r="I106">
            <v>-365700</v>
          </cell>
          <cell r="J106">
            <v>-317500</v>
          </cell>
          <cell r="K106">
            <v>-298100</v>
          </cell>
          <cell r="L106">
            <v>-415200</v>
          </cell>
          <cell r="M106">
            <v>-701900</v>
          </cell>
          <cell r="N106">
            <v>-1101200</v>
          </cell>
          <cell r="O106">
            <v>-841000</v>
          </cell>
          <cell r="P106">
            <v>-786500</v>
          </cell>
          <cell r="Q106">
            <v>-988666.90732714138</v>
          </cell>
          <cell r="R106">
            <v>-1055204.6667873431</v>
          </cell>
          <cell r="S106">
            <v>-811094.71028900112</v>
          </cell>
          <cell r="T106">
            <v>-801602.7541774381</v>
          </cell>
          <cell r="U106">
            <v>-794385.94356447575</v>
          </cell>
          <cell r="W106">
            <v>-16654</v>
          </cell>
          <cell r="X106">
            <v>-19109</v>
          </cell>
          <cell r="Y106">
            <v>-15757</v>
          </cell>
          <cell r="Z106">
            <v>-14005</v>
          </cell>
          <cell r="AA106">
            <v>-17379</v>
          </cell>
          <cell r="AB106">
            <v>-12510</v>
          </cell>
          <cell r="AC106">
            <v>-15155</v>
          </cell>
          <cell r="AD106">
            <v>-12341</v>
          </cell>
          <cell r="AE106">
            <v>-10234</v>
          </cell>
          <cell r="AF106">
            <v>-13758</v>
          </cell>
          <cell r="AG106">
            <v>-220164</v>
          </cell>
          <cell r="AH106">
            <v>-129684</v>
          </cell>
          <cell r="AI106">
            <v>-80000</v>
          </cell>
          <cell r="AJ106">
            <v>-98000</v>
          </cell>
          <cell r="AK106">
            <v>-90300</v>
          </cell>
          <cell r="AL106">
            <v>-97400</v>
          </cell>
          <cell r="AM106">
            <v>-55800</v>
          </cell>
          <cell r="AN106">
            <v>-77500</v>
          </cell>
          <cell r="AO106">
            <v>-86200</v>
          </cell>
          <cell r="AP106">
            <v>-98000</v>
          </cell>
          <cell r="AQ106">
            <v>-62800</v>
          </cell>
          <cell r="AR106">
            <v>-76700</v>
          </cell>
          <cell r="AS106">
            <v>-67300</v>
          </cell>
          <cell r="AT106">
            <v>-91300</v>
          </cell>
          <cell r="AU106">
            <v>-60500</v>
          </cell>
          <cell r="AV106">
            <v>-98900</v>
          </cell>
          <cell r="AW106">
            <v>-113300</v>
          </cell>
          <cell r="AX106">
            <v>-142500</v>
          </cell>
          <cell r="AY106">
            <v>-158500</v>
          </cell>
          <cell r="AZ106">
            <v>-171000</v>
          </cell>
          <cell r="BA106">
            <v>-177000</v>
          </cell>
          <cell r="BB106">
            <v>-195400</v>
          </cell>
          <cell r="BC106">
            <v>-226100</v>
          </cell>
          <cell r="BD106">
            <v>-276000</v>
          </cell>
          <cell r="BE106">
            <v>-307300</v>
          </cell>
          <cell r="BF106">
            <v>-291800</v>
          </cell>
          <cell r="BG106">
            <v>-243500</v>
          </cell>
          <cell r="BH106">
            <v>-228700</v>
          </cell>
          <cell r="BI106">
            <v>-193800</v>
          </cell>
          <cell r="BJ106">
            <v>-175000</v>
          </cell>
          <cell r="BK106">
            <v>-153000</v>
          </cell>
          <cell r="BL106">
            <v>-205800</v>
          </cell>
          <cell r="BM106">
            <v>-193900</v>
          </cell>
          <cell r="BN106">
            <v>-233800</v>
          </cell>
          <cell r="BO106">
            <v>-189300</v>
          </cell>
          <cell r="BP106">
            <v>-255000</v>
          </cell>
          <cell r="BQ106">
            <v>-300100</v>
          </cell>
          <cell r="BR106">
            <v>-244266.90732714138</v>
          </cell>
        </row>
        <row r="107">
          <cell r="A107" t="str">
            <v xml:space="preserve"> - Normalised Tax (statutory tax rate * PBT)</v>
          </cell>
          <cell r="E107">
            <v>-229959.6</v>
          </cell>
          <cell r="F107">
            <v>-252258</v>
          </cell>
          <cell r="G107">
            <v>-252134.40000000002</v>
          </cell>
          <cell r="H107">
            <v>-263815.89155363402</v>
          </cell>
          <cell r="I107">
            <v>-254694.99999999997</v>
          </cell>
          <cell r="J107">
            <v>-280805</v>
          </cell>
          <cell r="K107">
            <v>-231155.74999999997</v>
          </cell>
          <cell r="L107">
            <v>-205578.09999999998</v>
          </cell>
          <cell r="M107">
            <v>-163417.09999999998</v>
          </cell>
          <cell r="N107">
            <v>-114939.99999999999</v>
          </cell>
          <cell r="O107">
            <v>-129674.99999999999</v>
          </cell>
          <cell r="P107">
            <v>8470</v>
          </cell>
          <cell r="T107">
            <v>226383.89430536312</v>
          </cell>
          <cell r="U107">
            <v>235073.79341680664</v>
          </cell>
          <cell r="W107">
            <v>-61499.580862662806</v>
          </cell>
          <cell r="X107">
            <v>-60699.75331911962</v>
          </cell>
          <cell r="Y107">
            <v>-63419.196321054878</v>
          </cell>
          <cell r="Z107">
            <v>-66639.469497162718</v>
          </cell>
          <cell r="AA107">
            <v>-50380.4</v>
          </cell>
          <cell r="AB107">
            <v>-62638</v>
          </cell>
          <cell r="AC107">
            <v>-67070.400000000009</v>
          </cell>
          <cell r="AD107">
            <v>-72045.600000000006</v>
          </cell>
          <cell r="AE107">
            <v>-64274</v>
          </cell>
          <cell r="AF107">
            <v>-69021.650551385625</v>
          </cell>
          <cell r="AG107">
            <v>-59323.600000000006</v>
          </cell>
          <cell r="AH107">
            <v>-75370</v>
          </cell>
          <cell r="AI107">
            <v>-59849.999999999993</v>
          </cell>
          <cell r="AJ107">
            <v>-64504.999999999993</v>
          </cell>
          <cell r="AK107">
            <v>-63244.999999999993</v>
          </cell>
          <cell r="AL107">
            <v>-67095</v>
          </cell>
          <cell r="AM107">
            <v>-74305</v>
          </cell>
          <cell r="AN107">
            <v>-72870</v>
          </cell>
          <cell r="AO107">
            <v>-67410</v>
          </cell>
          <cell r="AP107">
            <v>-66220</v>
          </cell>
          <cell r="AQ107">
            <v>-62306.299999999996</v>
          </cell>
          <cell r="AR107">
            <v>-56933.45</v>
          </cell>
          <cell r="AS107">
            <v>-55542.2</v>
          </cell>
          <cell r="AT107">
            <v>-56373.799999999996</v>
          </cell>
          <cell r="AU107">
            <v>-54649.7</v>
          </cell>
          <cell r="AV107">
            <v>-52965.149999999994</v>
          </cell>
          <cell r="AW107">
            <v>-53870.6</v>
          </cell>
          <cell r="AX107">
            <v>-44092.649999999994</v>
          </cell>
          <cell r="AY107">
            <v>-57439.199999999997</v>
          </cell>
          <cell r="AZ107">
            <v>-57189.299999999996</v>
          </cell>
          <cell r="BA107">
            <v>-58279.899999999994</v>
          </cell>
          <cell r="BB107">
            <v>9491.2999999999993</v>
          </cell>
          <cell r="BC107">
            <v>-40880</v>
          </cell>
          <cell r="BD107">
            <v>-35560</v>
          </cell>
          <cell r="BE107">
            <v>-30659.999999999996</v>
          </cell>
          <cell r="BF107">
            <v>-7839.9999999999991</v>
          </cell>
          <cell r="BG107">
            <v>-21210</v>
          </cell>
          <cell r="BH107">
            <v>-24570</v>
          </cell>
          <cell r="BI107">
            <v>-19705</v>
          </cell>
          <cell r="BJ107">
            <v>-64189.999999999993</v>
          </cell>
          <cell r="BK107">
            <v>-12145</v>
          </cell>
          <cell r="BL107">
            <v>-11235</v>
          </cell>
          <cell r="BM107">
            <v>-6335</v>
          </cell>
          <cell r="BN107">
            <v>38185</v>
          </cell>
          <cell r="BO107">
            <v>2905</v>
          </cell>
          <cell r="BP107">
            <v>35700</v>
          </cell>
          <cell r="BQ107">
            <v>8260</v>
          </cell>
          <cell r="BR107">
            <v>79075.104626494227</v>
          </cell>
        </row>
        <row r="108">
          <cell r="A108" t="str">
            <v xml:space="preserve"> + FCF from operating associates</v>
          </cell>
        </row>
        <row r="109">
          <cell r="A109" t="str">
            <v xml:space="preserve"> - Net interest (from IS)</v>
          </cell>
          <cell r="E109">
            <v>-488975</v>
          </cell>
          <cell r="F109">
            <v>-452406</v>
          </cell>
          <cell r="G109">
            <v>-374866</v>
          </cell>
          <cell r="H109">
            <v>-422087.27111591498</v>
          </cell>
          <cell r="I109">
            <v>-433300</v>
          </cell>
          <cell r="J109">
            <v>-414300</v>
          </cell>
          <cell r="K109">
            <v>-440855</v>
          </cell>
          <cell r="L109">
            <v>-530734</v>
          </cell>
          <cell r="M109">
            <v>-607494</v>
          </cell>
          <cell r="N109">
            <v>-620700</v>
          </cell>
          <cell r="O109">
            <v>-668700</v>
          </cell>
          <cell r="P109">
            <v>-571700</v>
          </cell>
          <cell r="Q109">
            <v>-816991.6</v>
          </cell>
          <cell r="R109">
            <v>-965202.0625</v>
          </cell>
          <cell r="S109">
            <v>-937153.42499999993</v>
          </cell>
          <cell r="T109">
            <v>-933330.76562499977</v>
          </cell>
          <cell r="U109">
            <v>-927059.05645312485</v>
          </cell>
          <cell r="W109">
            <v>-114940</v>
          </cell>
          <cell r="X109">
            <v>-128672</v>
          </cell>
          <cell r="Y109">
            <v>-105785</v>
          </cell>
          <cell r="Z109">
            <v>-103009</v>
          </cell>
          <cell r="AA109">
            <v>-102966</v>
          </cell>
          <cell r="AB109">
            <v>-87197</v>
          </cell>
          <cell r="AC109">
            <v>-80287</v>
          </cell>
          <cell r="AD109">
            <v>-104416</v>
          </cell>
          <cell r="AE109">
            <v>-96550</v>
          </cell>
          <cell r="AF109">
            <v>-102663.87362153597</v>
          </cell>
          <cell r="AG109">
            <v>-107657</v>
          </cell>
          <cell r="AH109">
            <v>-104783</v>
          </cell>
          <cell r="AI109">
            <v>-109500</v>
          </cell>
          <cell r="AJ109">
            <v>-101800</v>
          </cell>
          <cell r="AK109">
            <v>-109400</v>
          </cell>
          <cell r="AL109">
            <v>-112600</v>
          </cell>
          <cell r="AM109">
            <v>-99400</v>
          </cell>
          <cell r="AN109">
            <v>-100600</v>
          </cell>
          <cell r="AO109">
            <v>-102800</v>
          </cell>
          <cell r="AP109">
            <v>-111500</v>
          </cell>
          <cell r="AQ109">
            <v>-105782</v>
          </cell>
          <cell r="AR109">
            <v>-104533</v>
          </cell>
          <cell r="AS109">
            <v>-106708</v>
          </cell>
          <cell r="AT109">
            <v>-123832</v>
          </cell>
          <cell r="AU109">
            <v>-125758</v>
          </cell>
          <cell r="AV109">
            <v>-129771</v>
          </cell>
          <cell r="AW109">
            <v>-135784</v>
          </cell>
          <cell r="AX109">
            <v>-139421</v>
          </cell>
          <cell r="AY109">
            <v>-144888</v>
          </cell>
          <cell r="AZ109">
            <v>-151102</v>
          </cell>
          <cell r="BA109">
            <v>-148586</v>
          </cell>
          <cell r="BB109">
            <v>-162918</v>
          </cell>
          <cell r="BC109">
            <v>-149900</v>
          </cell>
          <cell r="BD109">
            <v>-150300</v>
          </cell>
          <cell r="BE109">
            <v>-160700</v>
          </cell>
          <cell r="BF109">
            <v>-159800</v>
          </cell>
          <cell r="BG109">
            <v>-180400</v>
          </cell>
          <cell r="BH109">
            <v>-163700</v>
          </cell>
          <cell r="BI109">
            <v>-169100</v>
          </cell>
          <cell r="BJ109">
            <v>-155500</v>
          </cell>
          <cell r="BK109">
            <v>-141000</v>
          </cell>
          <cell r="BL109">
            <v>-143200</v>
          </cell>
          <cell r="BM109">
            <v>-143500</v>
          </cell>
          <cell r="BN109">
            <v>-144000</v>
          </cell>
          <cell r="BO109">
            <v>-142300</v>
          </cell>
          <cell r="BP109">
            <v>-238600</v>
          </cell>
          <cell r="BQ109">
            <v>-205200</v>
          </cell>
          <cell r="BR109">
            <v>-230891.6</v>
          </cell>
        </row>
        <row r="110">
          <cell r="A110" t="str">
            <v xml:space="preserve"> - FCF due to minorities</v>
          </cell>
        </row>
        <row r="111">
          <cell r="A111" t="str">
            <v>Total Adjusted FCFE</v>
          </cell>
          <cell r="E111">
            <v>919459.39999999991</v>
          </cell>
          <cell r="F111">
            <v>944014</v>
          </cell>
          <cell r="G111">
            <v>960235.60000000009</v>
          </cell>
          <cell r="H111">
            <v>762035.837330451</v>
          </cell>
          <cell r="I111">
            <v>630905</v>
          </cell>
          <cell r="J111">
            <v>793495</v>
          </cell>
          <cell r="K111">
            <v>1090389.25</v>
          </cell>
          <cell r="L111">
            <v>1146287.8999999999</v>
          </cell>
          <cell r="M111">
            <v>745188.89999999991</v>
          </cell>
          <cell r="N111">
            <v>573960</v>
          </cell>
          <cell r="O111">
            <v>581625</v>
          </cell>
          <cell r="P111">
            <v>680470</v>
          </cell>
          <cell r="Q111">
            <v>235949.19204080489</v>
          </cell>
          <cell r="R111">
            <v>-121634.03229639004</v>
          </cell>
          <cell r="S111">
            <v>142070.07862610265</v>
          </cell>
          <cell r="T111">
            <v>346092.14094061009</v>
          </cell>
          <cell r="U111">
            <v>360993.74325321428</v>
          </cell>
          <cell r="W111">
            <v>245809.37129399419</v>
          </cell>
          <cell r="X111">
            <v>221044.62997867941</v>
          </cell>
          <cell r="Y111">
            <v>249545.7944815823</v>
          </cell>
          <cell r="Z111">
            <v>227614.20424574404</v>
          </cell>
          <cell r="AA111">
            <v>219567.59999999998</v>
          </cell>
          <cell r="AB111">
            <v>249305</v>
          </cell>
          <cell r="AC111">
            <v>244249.59999999998</v>
          </cell>
          <cell r="AD111">
            <v>247113.40000000002</v>
          </cell>
          <cell r="AE111">
            <v>218376</v>
          </cell>
          <cell r="AF111">
            <v>238541.47582707845</v>
          </cell>
          <cell r="AG111">
            <v>181834.40000000002</v>
          </cell>
          <cell r="AH111">
            <v>129544</v>
          </cell>
          <cell r="AI111">
            <v>139050</v>
          </cell>
          <cell r="AJ111">
            <v>144295</v>
          </cell>
          <cell r="AK111">
            <v>135555</v>
          </cell>
          <cell r="AL111">
            <v>212005</v>
          </cell>
          <cell r="AM111">
            <v>191095</v>
          </cell>
          <cell r="AN111">
            <v>205130</v>
          </cell>
          <cell r="AO111">
            <v>154390</v>
          </cell>
          <cell r="AP111">
            <v>242880</v>
          </cell>
          <cell r="AQ111">
            <v>218811.7</v>
          </cell>
          <cell r="AR111">
            <v>309633.55</v>
          </cell>
          <cell r="AS111">
            <v>192749.8</v>
          </cell>
          <cell r="AT111">
            <v>369194.2</v>
          </cell>
          <cell r="AU111">
            <v>303192.3</v>
          </cell>
          <cell r="AV111">
            <v>325463.84999999998</v>
          </cell>
          <cell r="AW111">
            <v>175945.40000000002</v>
          </cell>
          <cell r="AX111">
            <v>341686.35</v>
          </cell>
          <cell r="AY111">
            <v>132472.79999999999</v>
          </cell>
          <cell r="AZ111">
            <v>255508.7</v>
          </cell>
          <cell r="BA111">
            <v>184034.09999999998</v>
          </cell>
          <cell r="BB111">
            <v>173173.3</v>
          </cell>
          <cell r="BC111">
            <v>240520</v>
          </cell>
          <cell r="BD111">
            <v>61540</v>
          </cell>
          <cell r="BE111">
            <v>72440</v>
          </cell>
          <cell r="BF111">
            <v>199460</v>
          </cell>
          <cell r="BG111">
            <v>86090</v>
          </cell>
          <cell r="BH111">
            <v>143830</v>
          </cell>
          <cell r="BI111">
            <v>242995</v>
          </cell>
          <cell r="BJ111">
            <v>108710</v>
          </cell>
          <cell r="BK111">
            <v>209255</v>
          </cell>
          <cell r="BL111">
            <v>124165</v>
          </cell>
          <cell r="BM111">
            <v>211665</v>
          </cell>
          <cell r="BN111">
            <v>135385</v>
          </cell>
          <cell r="BO111">
            <v>103705</v>
          </cell>
          <cell r="BP111">
            <v>-19000</v>
          </cell>
          <cell r="BQ111">
            <v>112860</v>
          </cell>
          <cell r="BR111">
            <v>164324.29666729909</v>
          </cell>
          <cell r="BT111" t="str">
            <v>mstag:freeCashFlowAdjustedForConsensus</v>
          </cell>
          <cell r="BU111">
            <v>3</v>
          </cell>
          <cell r="BV111" t="str">
            <v>ISO4217:USD</v>
          </cell>
          <cell r="BW111" t="b">
            <v>0</v>
          </cell>
        </row>
        <row r="113">
          <cell r="A113" t="str">
            <v>shares</v>
          </cell>
          <cell r="J113">
            <v>78566.666666666672</v>
          </cell>
          <cell r="K113">
            <v>78566.666666666672</v>
          </cell>
          <cell r="L113">
            <v>84049.777499999997</v>
          </cell>
          <cell r="M113">
            <v>88420.833333333343</v>
          </cell>
          <cell r="N113">
            <v>98029.166666666672</v>
          </cell>
          <cell r="O113">
            <v>99075</v>
          </cell>
          <cell r="P113">
            <v>100445.83333333333</v>
          </cell>
          <cell r="Q113">
            <v>101071.68989547038</v>
          </cell>
          <cell r="R113">
            <v>94958.832752613234</v>
          </cell>
          <cell r="S113">
            <v>91117.480313588836</v>
          </cell>
          <cell r="T113">
            <v>90286.494837979073</v>
          </cell>
          <cell r="U113">
            <v>89447.199507613215</v>
          </cell>
        </row>
        <row r="114">
          <cell r="A114" t="str">
            <v>Mkt cap</v>
          </cell>
          <cell r="J114">
            <v>450972.66666666669</v>
          </cell>
          <cell r="K114">
            <v>450972.66666666669</v>
          </cell>
          <cell r="L114">
            <v>482445.72285000002</v>
          </cell>
          <cell r="M114">
            <v>507535.58333333343</v>
          </cell>
          <cell r="N114">
            <v>562687.41666666674</v>
          </cell>
          <cell r="O114">
            <v>568690.5</v>
          </cell>
          <cell r="P114">
            <v>576559.08333333337</v>
          </cell>
          <cell r="Q114">
            <v>580151.5</v>
          </cell>
          <cell r="R114">
            <v>545063.69999999995</v>
          </cell>
          <cell r="S114">
            <v>523014.33699999994</v>
          </cell>
          <cell r="T114">
            <v>518244.48036999989</v>
          </cell>
          <cell r="U114">
            <v>513426.92517369986</v>
          </cell>
        </row>
        <row r="115">
          <cell r="A115" t="str">
            <v>FCF yld</v>
          </cell>
          <cell r="J115">
            <v>1.7595190543698878</v>
          </cell>
          <cell r="K115">
            <v>2.417861060315555</v>
          </cell>
          <cell r="L115">
            <v>2.3759934966951688</v>
          </cell>
          <cell r="M115">
            <v>1.4682495660813268</v>
          </cell>
          <cell r="N115">
            <v>1.0200334732916394</v>
          </cell>
          <cell r="O115">
            <v>1.0227443574316786</v>
          </cell>
          <cell r="P115">
            <v>1.1802259641213411</v>
          </cell>
          <cell r="Q115">
            <v>0.40670271823964066</v>
          </cell>
          <cell r="R115">
            <v>-0.22315562804198857</v>
          </cell>
          <cell r="S115">
            <v>0.27163706341400479</v>
          </cell>
          <cell r="T115">
            <v>0.6678163570473884</v>
          </cell>
          <cell r="U115">
            <v>0.70310637318267799</v>
          </cell>
        </row>
        <row r="117">
          <cell r="E117" t="str">
            <v>2003-FY</v>
          </cell>
          <cell r="F117" t="str">
            <v>2004-FY</v>
          </cell>
          <cell r="G117" t="str">
            <v>2005-FY</v>
          </cell>
          <cell r="H117" t="str">
            <v>2006-FY</v>
          </cell>
          <cell r="I117" t="str">
            <v>2007-FY</v>
          </cell>
          <cell r="J117" t="str">
            <v>2008-FY</v>
          </cell>
          <cell r="K117" t="str">
            <v>2009-FY</v>
          </cell>
          <cell r="L117" t="str">
            <v>2010-FY</v>
          </cell>
          <cell r="M117" t="str">
            <v>2011-FY</v>
          </cell>
          <cell r="N117" t="str">
            <v>2012-FY</v>
          </cell>
          <cell r="O117" t="str">
            <v>2013-FY</v>
          </cell>
          <cell r="P117" t="str">
            <v>2014-FY</v>
          </cell>
          <cell r="Q117" t="str">
            <v>2015-FY</v>
          </cell>
          <cell r="R117" t="str">
            <v>2016-FY</v>
          </cell>
          <cell r="S117" t="str">
            <v>2017-FY</v>
          </cell>
          <cell r="T117" t="str">
            <v>2018-FY</v>
          </cell>
          <cell r="U117" t="str">
            <v>2019-FY</v>
          </cell>
          <cell r="W117" t="str">
            <v>2004-Q1</v>
          </cell>
          <cell r="X117" t="str">
            <v>2004-Q2</v>
          </cell>
          <cell r="Y117" t="str">
            <v>2004-Q3</v>
          </cell>
          <cell r="Z117" t="str">
            <v>2004-Q4</v>
          </cell>
          <cell r="AA117" t="str">
            <v>2005-Q1</v>
          </cell>
          <cell r="AB117" t="str">
            <v>2005-Q2</v>
          </cell>
          <cell r="AC117" t="str">
            <v>2005-Q3</v>
          </cell>
          <cell r="AD117" t="str">
            <v>2005-Q4</v>
          </cell>
          <cell r="AE117" t="str">
            <v>2006-Q1</v>
          </cell>
          <cell r="AF117" t="str">
            <v>2006-Q2</v>
          </cell>
          <cell r="AG117" t="str">
            <v>2006-Q3</v>
          </cell>
          <cell r="AH117" t="str">
            <v>2006-Q4</v>
          </cell>
          <cell r="AI117" t="str">
            <v>2007-Q1</v>
          </cell>
          <cell r="AJ117" t="str">
            <v>2007-Q2</v>
          </cell>
          <cell r="AK117" t="str">
            <v>2007-Q3</v>
          </cell>
          <cell r="AL117" t="str">
            <v>2007-Q4</v>
          </cell>
          <cell r="AM117" t="str">
            <v>2008-Q1</v>
          </cell>
          <cell r="AN117" t="str">
            <v>2008-Q2</v>
          </cell>
          <cell r="AO117" t="str">
            <v>2008-Q3</v>
          </cell>
          <cell r="AP117" t="str">
            <v>2008-Q4</v>
          </cell>
          <cell r="AQ117" t="str">
            <v>2009-Q1</v>
          </cell>
          <cell r="AR117" t="str">
            <v>2009-Q2</v>
          </cell>
          <cell r="AS117" t="str">
            <v>2009-Q3</v>
          </cell>
          <cell r="AT117" t="str">
            <v>2009-Q4</v>
          </cell>
          <cell r="AU117" t="str">
            <v>2010-Q1</v>
          </cell>
          <cell r="AV117" t="str">
            <v>2010-Q2</v>
          </cell>
          <cell r="AW117" t="str">
            <v>2010-Q3</v>
          </cell>
          <cell r="AX117" t="str">
            <v>2010-Q4</v>
          </cell>
          <cell r="AY117" t="str">
            <v>2011-Q1</v>
          </cell>
          <cell r="AZ117" t="str">
            <v>2011-Q2</v>
          </cell>
          <cell r="BA117" t="str">
            <v>2011-Q3</v>
          </cell>
          <cell r="BB117" t="str">
            <v>2011-Q4</v>
          </cell>
          <cell r="BC117" t="str">
            <v>2012-Q1</v>
          </cell>
          <cell r="BD117" t="str">
            <v>2012-Q2</v>
          </cell>
          <cell r="BE117" t="str">
            <v>2012-Q3</v>
          </cell>
          <cell r="BF117" t="str">
            <v>2012-Q4</v>
          </cell>
          <cell r="BG117" t="str">
            <v>2013-Q1</v>
          </cell>
          <cell r="BH117" t="str">
            <v>2013-Q2</v>
          </cell>
          <cell r="BI117" t="str">
            <v>2013-Q3</v>
          </cell>
          <cell r="BJ117" t="str">
            <v>2013-Q4</v>
          </cell>
          <cell r="BK117" t="str">
            <v>2014-Q1</v>
          </cell>
          <cell r="BL117" t="str">
            <v>2014-Q2</v>
          </cell>
          <cell r="BM117" t="str">
            <v>2014-Q3</v>
          </cell>
          <cell r="BN117" t="str">
            <v>2014-Q4</v>
          </cell>
          <cell r="BO117" t="str">
            <v>2015-Q1</v>
          </cell>
          <cell r="BP117" t="str">
            <v>2015-Q2</v>
          </cell>
          <cell r="BQ117" t="str">
            <v>2015-Q3</v>
          </cell>
          <cell r="BR117" t="str">
            <v>2015-Q4</v>
          </cell>
        </row>
      </sheetData>
      <sheetData sheetId="6">
        <row r="1">
          <cell r="A1" t="str">
            <v>Windstream Communications</v>
          </cell>
          <cell r="BU1" t="str">
            <v>ElementName</v>
          </cell>
          <cell r="BV1" t="str">
            <v>ScaleOverride</v>
          </cell>
          <cell r="BW1" t="str">
            <v>UnitOverride</v>
          </cell>
          <cell r="BX1" t="str">
            <v>ReverseSign</v>
          </cell>
          <cell r="BY1" t="str">
            <v>IsDrivingAssumption</v>
          </cell>
          <cell r="BZ1" t="str">
            <v>SegmentID</v>
          </cell>
        </row>
        <row r="2">
          <cell r="A2" t="str">
            <v>Morgan Stanley</v>
          </cell>
        </row>
        <row r="3">
          <cell r="A3" t="str">
            <v>Simon Flannery (212) 761-6432</v>
          </cell>
        </row>
        <row r="5">
          <cell r="A5" t="str">
            <v>Balance Sheet</v>
          </cell>
          <cell r="F5">
            <v>2003</v>
          </cell>
          <cell r="G5">
            <v>2004</v>
          </cell>
          <cell r="H5">
            <v>2005</v>
          </cell>
          <cell r="I5">
            <v>2006</v>
          </cell>
          <cell r="J5">
            <v>2007</v>
          </cell>
          <cell r="K5">
            <v>2008</v>
          </cell>
          <cell r="L5">
            <v>2009</v>
          </cell>
          <cell r="M5">
            <v>2010</v>
          </cell>
          <cell r="N5">
            <v>2011</v>
          </cell>
          <cell r="O5">
            <v>2012</v>
          </cell>
          <cell r="P5">
            <v>2013</v>
          </cell>
          <cell r="Q5">
            <v>2014</v>
          </cell>
          <cell r="R5">
            <v>2015</v>
          </cell>
          <cell r="S5">
            <v>2016</v>
          </cell>
          <cell r="T5">
            <v>2017</v>
          </cell>
          <cell r="U5">
            <v>2018</v>
          </cell>
          <cell r="V5">
            <v>2019</v>
          </cell>
          <cell r="X5" t="str">
            <v>1Q04</v>
          </cell>
          <cell r="Y5" t="str">
            <v>2Q04</v>
          </cell>
          <cell r="Z5" t="str">
            <v>3Q04</v>
          </cell>
          <cell r="AA5" t="str">
            <v>4Q04</v>
          </cell>
          <cell r="AB5" t="str">
            <v>1Q05</v>
          </cell>
          <cell r="AC5" t="str">
            <v>2Q05</v>
          </cell>
          <cell r="AD5" t="str">
            <v>3Q05</v>
          </cell>
          <cell r="AE5" t="str">
            <v>4Q05</v>
          </cell>
          <cell r="AF5" t="str">
            <v>1Q06</v>
          </cell>
          <cell r="AG5" t="str">
            <v>2Q06</v>
          </cell>
          <cell r="AH5" t="str">
            <v>3Q06</v>
          </cell>
          <cell r="AI5" t="str">
            <v>4Q06</v>
          </cell>
          <cell r="AJ5" t="str">
            <v>1Q07</v>
          </cell>
          <cell r="AK5" t="str">
            <v>2Q07</v>
          </cell>
          <cell r="AL5" t="str">
            <v>3Q07</v>
          </cell>
          <cell r="AM5" t="str">
            <v>4Q07</v>
          </cell>
          <cell r="AN5" t="str">
            <v>1Q08</v>
          </cell>
          <cell r="AO5" t="str">
            <v>2Q08</v>
          </cell>
          <cell r="AP5" t="str">
            <v>3Q08</v>
          </cell>
          <cell r="AQ5" t="str">
            <v>4Q08</v>
          </cell>
          <cell r="AR5" t="str">
            <v>1Q09</v>
          </cell>
          <cell r="AS5" t="str">
            <v>2Q09</v>
          </cell>
          <cell r="AT5" t="str">
            <v>3Q09</v>
          </cell>
          <cell r="AU5" t="str">
            <v>4Q09</v>
          </cell>
          <cell r="AV5" t="str">
            <v>1Q10</v>
          </cell>
          <cell r="AW5" t="str">
            <v>2Q10</v>
          </cell>
          <cell r="AX5" t="str">
            <v>3Q10</v>
          </cell>
          <cell r="AY5" t="str">
            <v>4Q10</v>
          </cell>
          <cell r="AZ5" t="str">
            <v>1Q11</v>
          </cell>
          <cell r="BA5" t="str">
            <v>2Q11</v>
          </cell>
          <cell r="BB5" t="str">
            <v>3Q11</v>
          </cell>
          <cell r="BC5" t="str">
            <v>4Q11</v>
          </cell>
          <cell r="BD5" t="str">
            <v>1Q12</v>
          </cell>
          <cell r="BE5" t="str">
            <v>2Q12</v>
          </cell>
          <cell r="BF5" t="str">
            <v>3Q12</v>
          </cell>
          <cell r="BG5" t="str">
            <v>4Q12</v>
          </cell>
          <cell r="BH5" t="str">
            <v>1Q13</v>
          </cell>
          <cell r="BI5" t="str">
            <v>2Q13</v>
          </cell>
          <cell r="BJ5" t="str">
            <v>3Q13</v>
          </cell>
          <cell r="BK5" t="str">
            <v>4Q13</v>
          </cell>
          <cell r="BL5" t="str">
            <v>1Q14</v>
          </cell>
          <cell r="BM5" t="str">
            <v>2Q14</v>
          </cell>
          <cell r="BN5" t="str">
            <v>3Q14</v>
          </cell>
          <cell r="BO5" t="str">
            <v>4Q14</v>
          </cell>
          <cell r="BP5" t="str">
            <v>1Q15</v>
          </cell>
          <cell r="BQ5" t="str">
            <v>2Q15</v>
          </cell>
          <cell r="BR5" t="str">
            <v>3Q15</v>
          </cell>
          <cell r="BS5" t="str">
            <v>4Q15E</v>
          </cell>
        </row>
        <row r="6">
          <cell r="A6" t="str">
            <v>EPS (Proforma)</v>
          </cell>
          <cell r="J6">
            <v>1.0072356964787699</v>
          </cell>
          <cell r="K6">
            <v>6.6793466270683064</v>
          </cell>
          <cell r="L6">
            <v>5.497793381417055</v>
          </cell>
          <cell r="M6">
            <v>4.3993691714412932</v>
          </cell>
          <cell r="N6">
            <v>3.3216832383016821</v>
          </cell>
          <cell r="O6">
            <v>1.9683937603604369</v>
          </cell>
          <cell r="P6">
            <v>2.465606863487257</v>
          </cell>
          <cell r="Q6">
            <v>-0.29812539316418535</v>
          </cell>
          <cell r="R6">
            <v>-2.300829053486483</v>
          </cell>
          <cell r="S6">
            <v>-4.2474116883273805</v>
          </cell>
          <cell r="T6">
            <v>-4.6778681947079965</v>
          </cell>
          <cell r="U6">
            <v>-5.0752577459528876</v>
          </cell>
          <cell r="V6">
            <v>-5.2812976327107606</v>
          </cell>
          <cell r="AI6">
            <v>0.2586414778893506</v>
          </cell>
          <cell r="AJ6">
            <v>0.22965697429414242</v>
          </cell>
          <cell r="AK6">
            <v>0.23967586352148273</v>
          </cell>
          <cell r="AL6">
            <v>0.24871551905664349</v>
          </cell>
          <cell r="AM6">
            <v>0.28918733960650128</v>
          </cell>
          <cell r="AN6">
            <v>0.30160932297447279</v>
          </cell>
          <cell r="AO6">
            <v>0.30693628558517849</v>
          </cell>
          <cell r="AP6">
            <v>0.28907822506861847</v>
          </cell>
          <cell r="AQ6">
            <v>0.28978265843056511</v>
          </cell>
          <cell r="AR6">
            <v>1.2979165828249815</v>
          </cell>
          <cell r="AS6">
            <v>1.2322043327241408</v>
          </cell>
          <cell r="AT6">
            <v>1.2677844388106798</v>
          </cell>
          <cell r="AU6">
            <v>1.3412313911241467</v>
          </cell>
          <cell r="AV6">
            <v>1.160526570103056</v>
          </cell>
          <cell r="AW6">
            <v>1.1222992232192406</v>
          </cell>
          <cell r="AX6">
            <v>1.1840126525022627</v>
          </cell>
          <cell r="AY6">
            <v>0.93253072561673356</v>
          </cell>
          <cell r="AZ6">
            <v>1.2712790928983491</v>
          </cell>
          <cell r="BA6">
            <v>1.1893882352941176</v>
          </cell>
          <cell r="BB6">
            <v>1.3197192435172547</v>
          </cell>
          <cell r="BC6">
            <v>-0.31267407840842598</v>
          </cell>
          <cell r="BD6">
            <v>0.70798569725864113</v>
          </cell>
          <cell r="BE6">
            <v>0.58959537572254328</v>
          </cell>
          <cell r="BF6">
            <v>0.49991498044550242</v>
          </cell>
          <cell r="BG6">
            <v>0.15363427697016066</v>
          </cell>
          <cell r="BH6">
            <v>0.48654416123295796</v>
          </cell>
          <cell r="BI6">
            <v>0.43323492197385072</v>
          </cell>
          <cell r="BJ6">
            <v>0.28140297754226595</v>
          </cell>
          <cell r="BK6">
            <v>1.2653191310911682</v>
          </cell>
          <cell r="BL6">
            <v>0.15794478271749102</v>
          </cell>
          <cell r="BM6">
            <v>0.17262319561971129</v>
          </cell>
          <cell r="BN6">
            <v>0.12506845904904157</v>
          </cell>
          <cell r="BO6">
            <v>-0.75691070531077231</v>
          </cell>
          <cell r="BP6">
            <v>0.10873015873015873</v>
          </cell>
          <cell r="BQ6">
            <v>-0.77868525896414342</v>
          </cell>
          <cell r="BR6">
            <v>-7.5125881168177241E-2</v>
          </cell>
          <cell r="BS6">
            <v>-1.5495388566308343</v>
          </cell>
        </row>
        <row r="7">
          <cell r="A7" t="str">
            <v>y/y growth %</v>
          </cell>
          <cell r="J7">
            <v>0</v>
          </cell>
          <cell r="K7">
            <v>5.6313640892780761</v>
          </cell>
          <cell r="L7" t="str">
            <v>na</v>
          </cell>
          <cell r="M7">
            <v>-0.199793650610537</v>
          </cell>
          <cell r="N7">
            <v>-0.24496374165083912</v>
          </cell>
          <cell r="O7">
            <v>-0.40741075558822948</v>
          </cell>
          <cell r="P7">
            <v>0.25259839425409192</v>
          </cell>
          <cell r="Q7">
            <v>-1.1209135963965191</v>
          </cell>
          <cell r="R7">
            <v>6.717655410249999</v>
          </cell>
          <cell r="S7">
            <v>0.84603531578811109</v>
          </cell>
          <cell r="T7">
            <v>0.10134560479823151</v>
          </cell>
          <cell r="U7">
            <v>8.49509936373265E-2</v>
          </cell>
          <cell r="V7">
            <v>4.0596930652866403E-2</v>
          </cell>
          <cell r="AJ7">
            <v>0</v>
          </cell>
          <cell r="AK7">
            <v>0</v>
          </cell>
          <cell r="AL7">
            <v>0.42659949522075258</v>
          </cell>
          <cell r="AM7">
            <v>0.11810117219566196</v>
          </cell>
          <cell r="AN7">
            <v>0.31330356459444819</v>
          </cell>
          <cell r="AO7">
            <v>0.28063076972148693</v>
          </cell>
          <cell r="AP7">
            <v>0.16228463010698824</v>
          </cell>
          <cell r="AQ7">
            <v>2.0585922774969401E-3</v>
          </cell>
          <cell r="AR7" t="str">
            <v>na</v>
          </cell>
          <cell r="AS7" t="str">
            <v>na</v>
          </cell>
          <cell r="AT7" t="str">
            <v>na</v>
          </cell>
          <cell r="AU7" t="str">
            <v>na</v>
          </cell>
          <cell r="AV7">
            <v>-0.10585427025124305</v>
          </cell>
          <cell r="AW7">
            <v>-8.9193899571772706E-2</v>
          </cell>
          <cell r="AX7">
            <v>-6.6077310735099593E-2</v>
          </cell>
          <cell r="AY7">
            <v>-0.30472047419413784</v>
          </cell>
          <cell r="AZ7">
            <v>9.5432991926637234E-2</v>
          </cell>
          <cell r="BA7">
            <v>5.9778186322215099E-2</v>
          </cell>
          <cell r="BB7">
            <v>0.11461582841044216</v>
          </cell>
          <cell r="BC7">
            <v>-1.3352962747706114</v>
          </cell>
          <cell r="BD7">
            <v>-0.44309184252804246</v>
          </cell>
          <cell r="BE7">
            <v>-0.50428686090312191</v>
          </cell>
          <cell r="BF7">
            <v>-0.62119596050357484</v>
          </cell>
          <cell r="BG7">
            <v>-1.4913559760124346</v>
          </cell>
          <cell r="BH7">
            <v>-0.31277684970631014</v>
          </cell>
          <cell r="BI7">
            <v>-0.26519959312278252</v>
          </cell>
          <cell r="BJ7">
            <v>-0.43709832961698425</v>
          </cell>
          <cell r="BK7">
            <v>7.2359168542637295</v>
          </cell>
          <cell r="BL7">
            <v>-0.67537420998488384</v>
          </cell>
          <cell r="BM7">
            <v>-0.60154828970567031</v>
          </cell>
          <cell r="BN7">
            <v>-0.55555388879900303</v>
          </cell>
          <cell r="BO7">
            <v>-1.5981974718567942</v>
          </cell>
          <cell r="BP7">
            <v>-0.31159385666673367</v>
          </cell>
          <cell r="BQ7">
            <v>-5.5108958629151221</v>
          </cell>
          <cell r="BR7">
            <v>-1.600678074547309</v>
          </cell>
          <cell r="BS7">
            <v>1.0471884540127161</v>
          </cell>
        </row>
        <row r="8">
          <cell r="A8" t="str">
            <v>ASSETS</v>
          </cell>
          <cell r="M8" t="str">
            <v>NOT Pf</v>
          </cell>
          <cell r="N8" t="str">
            <v>NOT Pf</v>
          </cell>
          <cell r="AV8" t="str">
            <v>NOT PROFORMA FOR PAETEC</v>
          </cell>
          <cell r="AZ8" t="str">
            <v>NOT PROFORMA FOR PAETEC</v>
          </cell>
        </row>
        <row r="9">
          <cell r="A9" t="str">
            <v>Current assets</v>
          </cell>
        </row>
        <row r="10">
          <cell r="A10" t="str">
            <v xml:space="preserve">  Cash and cash equivalents</v>
          </cell>
          <cell r="F10">
            <v>1414</v>
          </cell>
          <cell r="G10">
            <v>17034</v>
          </cell>
          <cell r="H10">
            <v>64178</v>
          </cell>
          <cell r="I10">
            <v>386852</v>
          </cell>
          <cell r="J10">
            <v>72000</v>
          </cell>
          <cell r="K10">
            <v>296600</v>
          </cell>
          <cell r="L10">
            <v>1062900</v>
          </cell>
          <cell r="M10">
            <v>42300</v>
          </cell>
          <cell r="N10">
            <v>227000</v>
          </cell>
          <cell r="O10">
            <v>132000</v>
          </cell>
          <cell r="P10">
            <v>48200</v>
          </cell>
          <cell r="Q10">
            <v>27800</v>
          </cell>
          <cell r="R10">
            <v>527617.97698088782</v>
          </cell>
          <cell r="S10">
            <v>82032.883749875124</v>
          </cell>
          <cell r="T10">
            <v>75929.965506164415</v>
          </cell>
          <cell r="U10">
            <v>86331.756606986863</v>
          </cell>
          <cell r="V10">
            <v>89072.060551966424</v>
          </cell>
          <cell r="AA10">
            <v>17034</v>
          </cell>
          <cell r="AB10">
            <v>39122</v>
          </cell>
          <cell r="AC10">
            <v>60129</v>
          </cell>
          <cell r="AD10">
            <v>46721</v>
          </cell>
          <cell r="AE10">
            <v>64178</v>
          </cell>
          <cell r="AF10">
            <v>69848</v>
          </cell>
          <cell r="AG10">
            <v>92169</v>
          </cell>
          <cell r="AH10">
            <v>372976</v>
          </cell>
          <cell r="AI10">
            <v>386852</v>
          </cell>
          <cell r="AJ10">
            <v>397600</v>
          </cell>
          <cell r="AK10">
            <v>483800</v>
          </cell>
          <cell r="AL10">
            <v>67900</v>
          </cell>
          <cell r="AM10">
            <v>72000</v>
          </cell>
          <cell r="AN10">
            <v>53500</v>
          </cell>
          <cell r="AO10">
            <v>59600</v>
          </cell>
          <cell r="AP10">
            <v>111600</v>
          </cell>
          <cell r="AQ10">
            <v>296600</v>
          </cell>
          <cell r="AR10">
            <v>312200</v>
          </cell>
          <cell r="AS10">
            <v>245400</v>
          </cell>
          <cell r="AT10">
            <v>290000</v>
          </cell>
          <cell r="AU10">
            <v>1062900</v>
          </cell>
          <cell r="AV10">
            <v>580100</v>
          </cell>
          <cell r="AW10">
            <v>53500</v>
          </cell>
          <cell r="AX10">
            <v>155200</v>
          </cell>
          <cell r="AY10">
            <v>42300</v>
          </cell>
          <cell r="AZ10">
            <v>35800</v>
          </cell>
          <cell r="BA10">
            <v>52100</v>
          </cell>
          <cell r="BB10">
            <v>34300</v>
          </cell>
          <cell r="BC10">
            <v>227000</v>
          </cell>
          <cell r="BD10">
            <v>64200</v>
          </cell>
          <cell r="BE10">
            <v>37500</v>
          </cell>
          <cell r="BF10">
            <v>114800</v>
          </cell>
          <cell r="BG10">
            <v>132000</v>
          </cell>
          <cell r="BH10">
            <v>54400</v>
          </cell>
          <cell r="BI10">
            <v>78300</v>
          </cell>
          <cell r="BJ10">
            <v>73400</v>
          </cell>
          <cell r="BK10">
            <v>48200</v>
          </cell>
          <cell r="BL10">
            <v>70000</v>
          </cell>
          <cell r="BM10">
            <v>54800</v>
          </cell>
          <cell r="BN10">
            <v>103700</v>
          </cell>
          <cell r="BO10">
            <v>27800</v>
          </cell>
          <cell r="BP10">
            <v>74000</v>
          </cell>
          <cell r="BQ10">
            <v>47000</v>
          </cell>
          <cell r="BR10">
            <v>97200</v>
          </cell>
          <cell r="BS10">
            <v>527617.97698088782</v>
          </cell>
          <cell r="BU10" t="str">
            <v>mstag:cashAndCashEquivalents</v>
          </cell>
          <cell r="BV10">
            <v>3</v>
          </cell>
          <cell r="BW10" t="str">
            <v>ISO4217:USD</v>
          </cell>
          <cell r="BX10" t="b">
            <v>0</v>
          </cell>
          <cell r="BY10" t="b">
            <v>0</v>
          </cell>
        </row>
        <row r="11">
          <cell r="A11" t="str">
            <v xml:space="preserve">  Accounts receivable:</v>
          </cell>
        </row>
        <row r="12">
          <cell r="A12" t="str">
            <v xml:space="preserve">    Customers, net of allowance for doubtful</v>
          </cell>
          <cell r="F12">
            <v>26550</v>
          </cell>
          <cell r="G12">
            <v>26602</v>
          </cell>
          <cell r="H12">
            <v>25333</v>
          </cell>
          <cell r="I12">
            <v>0</v>
          </cell>
          <cell r="J12">
            <v>0</v>
          </cell>
          <cell r="K12">
            <v>0</v>
          </cell>
          <cell r="L12">
            <v>0</v>
          </cell>
          <cell r="M12">
            <v>0</v>
          </cell>
          <cell r="N12">
            <v>0</v>
          </cell>
          <cell r="O12">
            <v>0</v>
          </cell>
          <cell r="T12">
            <v>0</v>
          </cell>
          <cell r="U12">
            <v>0</v>
          </cell>
          <cell r="V12">
            <v>0</v>
          </cell>
          <cell r="AA12">
            <v>26602</v>
          </cell>
          <cell r="AB12">
            <v>24247</v>
          </cell>
          <cell r="AC12">
            <v>26760</v>
          </cell>
          <cell r="AD12">
            <v>25850</v>
          </cell>
          <cell r="AE12">
            <v>25333</v>
          </cell>
          <cell r="AF12">
            <v>24346</v>
          </cell>
          <cell r="AG12">
            <v>23841</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BU12" t="str">
            <v>mstag:tradeReceivables</v>
          </cell>
          <cell r="BV12">
            <v>3</v>
          </cell>
          <cell r="BW12" t="str">
            <v>ISO4217:USD</v>
          </cell>
          <cell r="BX12" t="b">
            <v>0</v>
          </cell>
          <cell r="BY12" t="b">
            <v>0</v>
          </cell>
        </row>
        <row r="13">
          <cell r="A13" t="str">
            <v xml:space="preserve">    Carriers and other, net of allowance for</v>
          </cell>
          <cell r="F13">
            <v>34223</v>
          </cell>
          <cell r="G13">
            <v>36155</v>
          </cell>
          <cell r="H13">
            <v>34640</v>
          </cell>
          <cell r="I13">
            <v>0</v>
          </cell>
          <cell r="J13">
            <v>0</v>
          </cell>
          <cell r="K13">
            <v>0</v>
          </cell>
          <cell r="L13">
            <v>0</v>
          </cell>
          <cell r="M13">
            <v>0</v>
          </cell>
          <cell r="N13">
            <v>0</v>
          </cell>
          <cell r="O13">
            <v>0</v>
          </cell>
          <cell r="T13">
            <v>0</v>
          </cell>
          <cell r="U13">
            <v>0</v>
          </cell>
          <cell r="V13">
            <v>0</v>
          </cell>
          <cell r="AA13">
            <v>36155</v>
          </cell>
          <cell r="AB13">
            <v>34687</v>
          </cell>
          <cell r="AC13">
            <v>31753</v>
          </cell>
          <cell r="AD13">
            <v>33653</v>
          </cell>
          <cell r="AE13">
            <v>34640</v>
          </cell>
          <cell r="AF13">
            <v>30150</v>
          </cell>
          <cell r="AG13">
            <v>29222</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BU13" t="str">
            <v>mstag:tradeReceivables</v>
          </cell>
          <cell r="BV13">
            <v>3</v>
          </cell>
          <cell r="BW13" t="str">
            <v>ISO4217:USD</v>
          </cell>
          <cell r="BX13" t="b">
            <v>0</v>
          </cell>
          <cell r="BY13" t="b">
            <v>0</v>
          </cell>
        </row>
        <row r="14">
          <cell r="A14" t="str">
            <v xml:space="preserve">    Materials and supplies, at average cost</v>
          </cell>
          <cell r="F14">
            <v>1922</v>
          </cell>
          <cell r="G14">
            <v>1400</v>
          </cell>
          <cell r="H14">
            <v>1418</v>
          </cell>
          <cell r="I14">
            <v>0</v>
          </cell>
          <cell r="J14">
            <v>0</v>
          </cell>
          <cell r="K14">
            <v>0</v>
          </cell>
          <cell r="L14">
            <v>0</v>
          </cell>
          <cell r="M14">
            <v>0</v>
          </cell>
          <cell r="N14">
            <v>0</v>
          </cell>
          <cell r="O14">
            <v>0</v>
          </cell>
          <cell r="T14">
            <v>0</v>
          </cell>
          <cell r="U14">
            <v>0</v>
          </cell>
          <cell r="V14">
            <v>0</v>
          </cell>
          <cell r="AA14">
            <v>1400</v>
          </cell>
          <cell r="AB14">
            <v>1477</v>
          </cell>
          <cell r="AC14">
            <v>1641</v>
          </cell>
          <cell r="AD14">
            <v>1356</v>
          </cell>
          <cell r="AE14">
            <v>1418</v>
          </cell>
          <cell r="AF14">
            <v>1373</v>
          </cell>
          <cell r="AG14">
            <v>1513</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BU14" t="str">
            <v>mstag:tradeReceivables</v>
          </cell>
          <cell r="BV14">
            <v>3</v>
          </cell>
          <cell r="BW14" t="str">
            <v>ISO4217:USD</v>
          </cell>
          <cell r="BX14" t="b">
            <v>0</v>
          </cell>
          <cell r="BY14" t="b">
            <v>0</v>
          </cell>
        </row>
        <row r="15">
          <cell r="A15" t="str">
            <v xml:space="preserve">  Accounts receivable</v>
          </cell>
          <cell r="H15">
            <v>0</v>
          </cell>
          <cell r="I15">
            <v>337211</v>
          </cell>
          <cell r="J15">
            <v>327100</v>
          </cell>
          <cell r="K15">
            <v>316600</v>
          </cell>
          <cell r="L15">
            <v>291700</v>
          </cell>
          <cell r="M15">
            <v>373900</v>
          </cell>
          <cell r="N15">
            <v>781500</v>
          </cell>
          <cell r="O15">
            <v>614100</v>
          </cell>
          <cell r="P15">
            <v>635300</v>
          </cell>
          <cell r="Q15">
            <v>635500</v>
          </cell>
          <cell r="R15">
            <v>647823.94935653114</v>
          </cell>
          <cell r="S15">
            <v>648113.54055711546</v>
          </cell>
          <cell r="T15">
            <v>641099.48507665924</v>
          </cell>
          <cell r="U15">
            <v>637569.06316067651</v>
          </cell>
          <cell r="V15">
            <v>635969.5677949501</v>
          </cell>
          <cell r="AH15">
            <v>420407</v>
          </cell>
          <cell r="AI15">
            <v>337211</v>
          </cell>
          <cell r="AJ15">
            <v>312800</v>
          </cell>
          <cell r="AK15">
            <v>311100</v>
          </cell>
          <cell r="AL15">
            <v>350800</v>
          </cell>
          <cell r="AM15">
            <v>327100</v>
          </cell>
          <cell r="AN15">
            <v>329400</v>
          </cell>
          <cell r="AO15">
            <v>322200</v>
          </cell>
          <cell r="AP15">
            <v>329100</v>
          </cell>
          <cell r="AQ15">
            <v>316600</v>
          </cell>
          <cell r="AR15">
            <v>287900</v>
          </cell>
          <cell r="AS15">
            <v>296200</v>
          </cell>
          <cell r="AT15">
            <v>294700</v>
          </cell>
          <cell r="AU15">
            <v>291700</v>
          </cell>
          <cell r="AV15">
            <v>321000</v>
          </cell>
          <cell r="AW15">
            <v>343000</v>
          </cell>
          <cell r="AX15">
            <v>348500</v>
          </cell>
          <cell r="AY15">
            <v>373900</v>
          </cell>
          <cell r="AZ15">
            <v>370500</v>
          </cell>
          <cell r="BA15">
            <v>371700</v>
          </cell>
          <cell r="BB15">
            <v>386200</v>
          </cell>
          <cell r="BC15">
            <v>781500</v>
          </cell>
          <cell r="BD15">
            <v>606900</v>
          </cell>
          <cell r="BE15">
            <v>597800</v>
          </cell>
          <cell r="BF15">
            <v>634800</v>
          </cell>
          <cell r="BG15">
            <v>614100</v>
          </cell>
          <cell r="BH15">
            <v>594100</v>
          </cell>
          <cell r="BI15">
            <v>613500</v>
          </cell>
          <cell r="BJ15">
            <v>634800</v>
          </cell>
          <cell r="BK15">
            <v>635300</v>
          </cell>
          <cell r="BL15">
            <v>632700</v>
          </cell>
          <cell r="BM15">
            <v>630900</v>
          </cell>
          <cell r="BN15">
            <v>617300</v>
          </cell>
          <cell r="BO15">
            <v>635500</v>
          </cell>
          <cell r="BP15">
            <v>658500</v>
          </cell>
          <cell r="BQ15">
            <v>665700</v>
          </cell>
          <cell r="BR15">
            <v>657300</v>
          </cell>
          <cell r="BS15">
            <v>647823.94935653114</v>
          </cell>
          <cell r="BU15" t="str">
            <v>mstag:tradeReceivables</v>
          </cell>
          <cell r="BV15">
            <v>3</v>
          </cell>
          <cell r="BW15" t="str">
            <v>ISO4217:USD</v>
          </cell>
          <cell r="BX15" t="b">
            <v>0</v>
          </cell>
          <cell r="BY15" t="b">
            <v>0</v>
          </cell>
        </row>
        <row r="16">
          <cell r="A16" t="str">
            <v>Inventories</v>
          </cell>
          <cell r="F16">
            <v>0</v>
          </cell>
          <cell r="G16">
            <v>0</v>
          </cell>
          <cell r="H16">
            <v>0</v>
          </cell>
          <cell r="I16">
            <v>43485</v>
          </cell>
          <cell r="J16">
            <v>30100</v>
          </cell>
          <cell r="K16">
            <v>30800</v>
          </cell>
          <cell r="L16">
            <v>26100</v>
          </cell>
          <cell r="M16">
            <v>52500</v>
          </cell>
          <cell r="N16">
            <v>76500</v>
          </cell>
          <cell r="O16">
            <v>75000</v>
          </cell>
          <cell r="P16">
            <v>67700</v>
          </cell>
          <cell r="Q16">
            <v>63700</v>
          </cell>
          <cell r="R16">
            <v>76784.944513066221</v>
          </cell>
          <cell r="S16">
            <v>63473.977887243404</v>
          </cell>
          <cell r="T16">
            <v>64058.038605904949</v>
          </cell>
          <cell r="U16">
            <v>63831.681642579497</v>
          </cell>
          <cell r="V16">
            <v>63671.544514112691</v>
          </cell>
          <cell r="AA16">
            <v>0</v>
          </cell>
          <cell r="AB16">
            <v>0</v>
          </cell>
          <cell r="AC16">
            <v>0</v>
          </cell>
          <cell r="AD16">
            <v>0</v>
          </cell>
          <cell r="AE16">
            <v>0</v>
          </cell>
          <cell r="AF16">
            <v>0</v>
          </cell>
          <cell r="AG16">
            <v>0</v>
          </cell>
          <cell r="AH16">
            <v>40088</v>
          </cell>
          <cell r="AI16">
            <v>43485</v>
          </cell>
          <cell r="AJ16">
            <v>37000</v>
          </cell>
          <cell r="AK16">
            <v>44300</v>
          </cell>
          <cell r="AL16">
            <v>34800</v>
          </cell>
          <cell r="AM16">
            <v>30100</v>
          </cell>
          <cell r="AN16">
            <v>30800</v>
          </cell>
          <cell r="AO16">
            <v>29600</v>
          </cell>
          <cell r="AP16">
            <v>31000</v>
          </cell>
          <cell r="AQ16">
            <v>30800</v>
          </cell>
          <cell r="AR16">
            <v>24100</v>
          </cell>
          <cell r="AS16">
            <v>31000</v>
          </cell>
          <cell r="AT16">
            <v>23500</v>
          </cell>
          <cell r="AU16">
            <v>26100</v>
          </cell>
          <cell r="AV16">
            <v>31900</v>
          </cell>
          <cell r="AW16">
            <v>35100</v>
          </cell>
          <cell r="AX16">
            <v>33600</v>
          </cell>
          <cell r="AY16">
            <v>52500</v>
          </cell>
          <cell r="AZ16">
            <v>45400</v>
          </cell>
          <cell r="BA16">
            <v>56400</v>
          </cell>
          <cell r="BB16">
            <v>60800</v>
          </cell>
          <cell r="BC16">
            <v>76500</v>
          </cell>
          <cell r="BD16">
            <v>68200</v>
          </cell>
          <cell r="BE16">
            <v>70700</v>
          </cell>
          <cell r="BF16">
            <v>74400</v>
          </cell>
          <cell r="BG16">
            <v>75000</v>
          </cell>
          <cell r="BH16">
            <v>71400</v>
          </cell>
          <cell r="BI16">
            <v>69900</v>
          </cell>
          <cell r="BJ16">
            <v>68500</v>
          </cell>
          <cell r="BK16">
            <v>67700</v>
          </cell>
          <cell r="BL16">
            <v>70400</v>
          </cell>
          <cell r="BM16">
            <v>64500</v>
          </cell>
          <cell r="BN16">
            <v>68100</v>
          </cell>
          <cell r="BO16">
            <v>63700</v>
          </cell>
          <cell r="BP16">
            <v>63000</v>
          </cell>
          <cell r="BQ16">
            <v>73100</v>
          </cell>
          <cell r="BR16">
            <v>81000</v>
          </cell>
          <cell r="BS16">
            <v>76784.944513066221</v>
          </cell>
          <cell r="BU16" t="str">
            <v>mstag:inventories</v>
          </cell>
          <cell r="BV16">
            <v>3</v>
          </cell>
          <cell r="BW16" t="str">
            <v>ISO4217:USD</v>
          </cell>
          <cell r="BX16" t="b">
            <v>0</v>
          </cell>
          <cell r="BY16" t="b">
            <v>0</v>
          </cell>
        </row>
        <row r="17">
          <cell r="A17" t="str">
            <v>Deferred income taxes</v>
          </cell>
          <cell r="J17">
            <v>32000</v>
          </cell>
          <cell r="K17">
            <v>30800</v>
          </cell>
          <cell r="L17">
            <v>21700</v>
          </cell>
          <cell r="M17">
            <v>44800</v>
          </cell>
          <cell r="N17">
            <v>232100</v>
          </cell>
          <cell r="O17">
            <v>249500</v>
          </cell>
          <cell r="P17">
            <v>241500</v>
          </cell>
          <cell r="Q17">
            <v>105400</v>
          </cell>
          <cell r="R17">
            <v>146114.73275</v>
          </cell>
          <cell r="S17">
            <v>119027.28038249997</v>
          </cell>
          <cell r="T17">
            <v>106002.54895544995</v>
          </cell>
          <cell r="U17">
            <v>106518.37648143814</v>
          </cell>
          <cell r="V17">
            <v>106518.37648143814</v>
          </cell>
          <cell r="AM17">
            <v>32000</v>
          </cell>
          <cell r="AN17">
            <v>32000</v>
          </cell>
          <cell r="AO17">
            <v>28500</v>
          </cell>
          <cell r="AP17">
            <v>22400</v>
          </cell>
          <cell r="AQ17">
            <v>30800</v>
          </cell>
          <cell r="AR17">
            <v>22200</v>
          </cell>
          <cell r="AS17">
            <v>19000</v>
          </cell>
          <cell r="AT17">
            <v>16500</v>
          </cell>
          <cell r="AU17">
            <v>21700</v>
          </cell>
          <cell r="AV17">
            <v>27300</v>
          </cell>
          <cell r="AW17">
            <v>29500</v>
          </cell>
          <cell r="AX17">
            <v>21300</v>
          </cell>
          <cell r="AY17">
            <v>44800</v>
          </cell>
          <cell r="AZ17">
            <v>40600</v>
          </cell>
          <cell r="BA17">
            <v>33600</v>
          </cell>
          <cell r="BB17">
            <v>92600</v>
          </cell>
          <cell r="BC17">
            <v>232100</v>
          </cell>
          <cell r="BD17">
            <v>183500</v>
          </cell>
          <cell r="BE17">
            <v>168000</v>
          </cell>
          <cell r="BF17">
            <v>126000</v>
          </cell>
          <cell r="BG17">
            <v>249500</v>
          </cell>
          <cell r="BH17">
            <v>145000</v>
          </cell>
          <cell r="BI17">
            <v>124900</v>
          </cell>
          <cell r="BJ17">
            <v>96200</v>
          </cell>
          <cell r="BK17">
            <v>241500</v>
          </cell>
          <cell r="BL17">
            <v>167500</v>
          </cell>
          <cell r="BM17">
            <v>98700</v>
          </cell>
          <cell r="BN17">
            <v>69500</v>
          </cell>
          <cell r="BO17">
            <v>105400</v>
          </cell>
          <cell r="BP17">
            <v>91700</v>
          </cell>
          <cell r="BQ17">
            <v>166300</v>
          </cell>
          <cell r="BR17">
            <v>128800</v>
          </cell>
          <cell r="BS17">
            <v>146114.73275</v>
          </cell>
          <cell r="BU17" t="str">
            <v>mstag:deferredTaxAssetsCurrent</v>
          </cell>
          <cell r="BV17">
            <v>3</v>
          </cell>
          <cell r="BW17" t="str">
            <v>ISO4217:USD</v>
          </cell>
          <cell r="BX17" t="b">
            <v>0</v>
          </cell>
          <cell r="BY17" t="b">
            <v>0</v>
          </cell>
        </row>
        <row r="18">
          <cell r="A18" t="str">
            <v>Acquired assets held for sale</v>
          </cell>
          <cell r="I18">
            <v>80005</v>
          </cell>
          <cell r="J18">
            <v>26600</v>
          </cell>
          <cell r="K18">
            <v>0</v>
          </cell>
          <cell r="L18">
            <v>0</v>
          </cell>
          <cell r="M18">
            <v>50600</v>
          </cell>
          <cell r="N18">
            <v>61400</v>
          </cell>
          <cell r="O18">
            <v>0</v>
          </cell>
          <cell r="R18">
            <v>0</v>
          </cell>
          <cell r="T18">
            <v>0</v>
          </cell>
          <cell r="U18">
            <v>0</v>
          </cell>
          <cell r="V18">
            <v>0</v>
          </cell>
          <cell r="AI18">
            <v>80005</v>
          </cell>
          <cell r="AJ18">
            <v>66400</v>
          </cell>
          <cell r="AK18">
            <v>75500</v>
          </cell>
          <cell r="AL18">
            <v>98500</v>
          </cell>
          <cell r="AM18">
            <v>26600</v>
          </cell>
          <cell r="AN18">
            <v>10000</v>
          </cell>
          <cell r="AO18">
            <v>20600</v>
          </cell>
          <cell r="AP18">
            <v>10500</v>
          </cell>
          <cell r="AR18">
            <v>0</v>
          </cell>
          <cell r="AS18">
            <v>0</v>
          </cell>
          <cell r="AT18">
            <v>0</v>
          </cell>
          <cell r="AU18">
            <v>0</v>
          </cell>
          <cell r="AV18">
            <v>0</v>
          </cell>
          <cell r="AW18">
            <v>0</v>
          </cell>
          <cell r="AX18">
            <v>40000</v>
          </cell>
          <cell r="AY18">
            <v>50600</v>
          </cell>
          <cell r="AZ18">
            <v>50600</v>
          </cell>
          <cell r="BA18">
            <v>51200</v>
          </cell>
          <cell r="BB18">
            <v>50600</v>
          </cell>
          <cell r="BC18">
            <v>61400</v>
          </cell>
          <cell r="BD18">
            <v>6500</v>
          </cell>
          <cell r="BE18">
            <v>0</v>
          </cell>
          <cell r="BF18">
            <v>0</v>
          </cell>
          <cell r="BG18">
            <v>0</v>
          </cell>
          <cell r="BU18" t="str">
            <v>mstag:otherAssets</v>
          </cell>
          <cell r="BV18">
            <v>3</v>
          </cell>
          <cell r="BW18" t="str">
            <v>ISO4217:USD</v>
          </cell>
          <cell r="BX18" t="b">
            <v>0</v>
          </cell>
          <cell r="BY18" t="b">
            <v>0</v>
          </cell>
        </row>
        <row r="19">
          <cell r="A19" t="str">
            <v>Prepaid expenses and other</v>
          </cell>
          <cell r="F19">
            <v>9052</v>
          </cell>
          <cell r="G19">
            <v>8821</v>
          </cell>
          <cell r="H19">
            <v>10306</v>
          </cell>
          <cell r="I19">
            <v>29189</v>
          </cell>
          <cell r="J19">
            <v>40500</v>
          </cell>
          <cell r="K19">
            <v>33900</v>
          </cell>
          <cell r="L19">
            <v>53600</v>
          </cell>
          <cell r="M19">
            <v>123600</v>
          </cell>
          <cell r="N19">
            <v>139900</v>
          </cell>
          <cell r="O19">
            <v>229500</v>
          </cell>
          <cell r="P19">
            <v>192100</v>
          </cell>
          <cell r="Q19">
            <v>171300</v>
          </cell>
          <cell r="R19">
            <v>158700</v>
          </cell>
          <cell r="S19">
            <v>158700</v>
          </cell>
          <cell r="T19">
            <v>158700</v>
          </cell>
          <cell r="U19">
            <v>158700</v>
          </cell>
          <cell r="V19">
            <v>158700</v>
          </cell>
          <cell r="AA19">
            <v>8821</v>
          </cell>
          <cell r="AB19">
            <v>7828</v>
          </cell>
          <cell r="AC19">
            <v>7378</v>
          </cell>
          <cell r="AD19">
            <v>7701</v>
          </cell>
          <cell r="AE19">
            <v>10306</v>
          </cell>
          <cell r="AF19">
            <v>11061</v>
          </cell>
          <cell r="AG19">
            <v>9394</v>
          </cell>
          <cell r="AH19">
            <v>34811</v>
          </cell>
          <cell r="AI19">
            <v>29189</v>
          </cell>
          <cell r="AJ19">
            <v>35400</v>
          </cell>
          <cell r="AK19">
            <v>34300</v>
          </cell>
          <cell r="AL19">
            <v>45700</v>
          </cell>
          <cell r="AM19">
            <v>40500</v>
          </cell>
          <cell r="AN19">
            <v>43000</v>
          </cell>
          <cell r="AO19">
            <v>39200</v>
          </cell>
          <cell r="AP19">
            <v>55000</v>
          </cell>
          <cell r="AQ19">
            <v>33900</v>
          </cell>
          <cell r="AR19">
            <v>40800</v>
          </cell>
          <cell r="AS19">
            <v>37100</v>
          </cell>
          <cell r="AT19">
            <v>53900</v>
          </cell>
          <cell r="AU19">
            <v>53600</v>
          </cell>
          <cell r="AV19">
            <v>56100</v>
          </cell>
          <cell r="AW19">
            <v>117000</v>
          </cell>
          <cell r="AX19">
            <v>108200</v>
          </cell>
          <cell r="AY19">
            <v>123600</v>
          </cell>
          <cell r="AZ19">
            <v>158300</v>
          </cell>
          <cell r="BA19">
            <v>148200</v>
          </cell>
          <cell r="BB19">
            <v>198900</v>
          </cell>
          <cell r="BC19">
            <v>139900</v>
          </cell>
          <cell r="BD19">
            <v>203500</v>
          </cell>
          <cell r="BE19">
            <v>237900</v>
          </cell>
          <cell r="BF19">
            <v>263500</v>
          </cell>
          <cell r="BG19">
            <v>229500</v>
          </cell>
          <cell r="BH19">
            <v>249700</v>
          </cell>
          <cell r="BI19">
            <v>227200</v>
          </cell>
          <cell r="BJ19">
            <v>211700</v>
          </cell>
          <cell r="BK19">
            <v>192100</v>
          </cell>
          <cell r="BL19">
            <v>202800</v>
          </cell>
          <cell r="BM19">
            <v>182100</v>
          </cell>
          <cell r="BN19">
            <v>169500</v>
          </cell>
          <cell r="BO19">
            <v>171300</v>
          </cell>
          <cell r="BP19">
            <v>178700</v>
          </cell>
          <cell r="BQ19">
            <v>162100</v>
          </cell>
          <cell r="BR19">
            <v>158700</v>
          </cell>
          <cell r="BS19">
            <v>158700</v>
          </cell>
          <cell r="BU19" t="str">
            <v>mstag:otherAssets</v>
          </cell>
          <cell r="BV19">
            <v>3</v>
          </cell>
          <cell r="BW19" t="str">
            <v>ISO4217:USD</v>
          </cell>
          <cell r="BX19" t="b">
            <v>0</v>
          </cell>
          <cell r="BY19" t="b">
            <v>0</v>
          </cell>
        </row>
        <row r="20">
          <cell r="A20" t="str">
            <v>Total current assets</v>
          </cell>
          <cell r="F20">
            <v>73161</v>
          </cell>
          <cell r="G20">
            <v>90012</v>
          </cell>
          <cell r="H20">
            <v>135875</v>
          </cell>
          <cell r="I20">
            <v>876742</v>
          </cell>
          <cell r="J20">
            <v>528300</v>
          </cell>
          <cell r="K20">
            <v>708700</v>
          </cell>
          <cell r="L20">
            <v>1456000</v>
          </cell>
          <cell r="M20">
            <v>687700</v>
          </cell>
          <cell r="N20">
            <v>1518400</v>
          </cell>
          <cell r="O20">
            <v>1300100</v>
          </cell>
          <cell r="P20">
            <v>1184800</v>
          </cell>
          <cell r="Q20">
            <v>1003700</v>
          </cell>
          <cell r="R20">
            <v>1557041.6036004853</v>
          </cell>
          <cell r="S20">
            <v>1071347.6825767339</v>
          </cell>
          <cell r="T20">
            <v>1045790.0381441786</v>
          </cell>
          <cell r="U20">
            <v>1052950.8778916812</v>
          </cell>
          <cell r="V20">
            <v>1053931.5493424674</v>
          </cell>
          <cell r="AA20">
            <v>90012</v>
          </cell>
          <cell r="AB20">
            <v>107361</v>
          </cell>
          <cell r="AC20">
            <v>127661</v>
          </cell>
          <cell r="AD20">
            <v>115281</v>
          </cell>
          <cell r="AE20">
            <v>135875</v>
          </cell>
          <cell r="AF20">
            <v>136778</v>
          </cell>
          <cell r="AG20">
            <v>156139</v>
          </cell>
          <cell r="AH20">
            <v>868282</v>
          </cell>
          <cell r="AI20">
            <v>876742</v>
          </cell>
          <cell r="AJ20">
            <v>849200</v>
          </cell>
          <cell r="AK20">
            <v>949000</v>
          </cell>
          <cell r="AL20">
            <v>597700</v>
          </cell>
          <cell r="AM20">
            <v>528300</v>
          </cell>
          <cell r="AN20">
            <v>498700</v>
          </cell>
          <cell r="AO20">
            <v>499700</v>
          </cell>
          <cell r="AP20">
            <v>559600</v>
          </cell>
          <cell r="AQ20">
            <v>708700</v>
          </cell>
          <cell r="AR20">
            <v>687200</v>
          </cell>
          <cell r="AS20">
            <v>628700</v>
          </cell>
          <cell r="AT20">
            <v>678600</v>
          </cell>
          <cell r="AU20">
            <v>1456000</v>
          </cell>
          <cell r="AV20">
            <v>1016400</v>
          </cell>
          <cell r="AW20">
            <v>578100</v>
          </cell>
          <cell r="AX20">
            <v>706800</v>
          </cell>
          <cell r="AY20">
            <v>687700</v>
          </cell>
          <cell r="AZ20">
            <v>701200</v>
          </cell>
          <cell r="BA20">
            <v>713200</v>
          </cell>
          <cell r="BB20">
            <v>823400</v>
          </cell>
          <cell r="BC20">
            <v>1518400</v>
          </cell>
          <cell r="BD20">
            <v>1132800</v>
          </cell>
          <cell r="BE20">
            <v>1111900</v>
          </cell>
          <cell r="BF20">
            <v>1213500</v>
          </cell>
          <cell r="BG20">
            <v>1300100</v>
          </cell>
          <cell r="BH20">
            <v>1114600</v>
          </cell>
          <cell r="BI20">
            <v>1113800</v>
          </cell>
          <cell r="BJ20">
            <v>1084600</v>
          </cell>
          <cell r="BK20">
            <v>1184800</v>
          </cell>
          <cell r="BL20">
            <v>1143400</v>
          </cell>
          <cell r="BM20">
            <v>1031000</v>
          </cell>
          <cell r="BN20">
            <v>1028100</v>
          </cell>
          <cell r="BO20">
            <v>1003700</v>
          </cell>
          <cell r="BP20">
            <v>1065900</v>
          </cell>
          <cell r="BQ20">
            <v>1114200</v>
          </cell>
          <cell r="BR20">
            <v>1123000</v>
          </cell>
          <cell r="BS20">
            <v>1557041.6036004853</v>
          </cell>
        </row>
        <row r="21">
          <cell r="A21" t="str">
            <v/>
          </cell>
        </row>
        <row r="22">
          <cell r="A22" t="str">
            <v>Gross PP&amp;E</v>
          </cell>
          <cell r="F22">
            <v>990188</v>
          </cell>
          <cell r="G22">
            <v>1048527</v>
          </cell>
          <cell r="H22">
            <v>1089937</v>
          </cell>
          <cell r="I22">
            <v>8724326</v>
          </cell>
          <cell r="J22">
            <v>9220700</v>
          </cell>
          <cell r="K22">
            <v>9470900</v>
          </cell>
          <cell r="L22">
            <v>9985700</v>
          </cell>
          <cell r="M22">
            <v>11254500</v>
          </cell>
          <cell r="N22">
            <v>12764600</v>
          </cell>
          <cell r="O22">
            <v>13827900</v>
          </cell>
          <cell r="P22">
            <v>14627400</v>
          </cell>
          <cell r="Q22">
            <v>15723500</v>
          </cell>
          <cell r="R22">
            <v>16968188.607327141</v>
          </cell>
          <cell r="S22">
            <v>17938552.331077848</v>
          </cell>
          <cell r="T22">
            <v>18570261.518056072</v>
          </cell>
          <cell r="U22">
            <v>19186161.657052949</v>
          </cell>
          <cell r="V22">
            <v>19788685.984046895</v>
          </cell>
          <cell r="AA22">
            <v>1048527</v>
          </cell>
          <cell r="AB22">
            <v>1065730</v>
          </cell>
          <cell r="AC22">
            <v>1079230</v>
          </cell>
          <cell r="AD22">
            <v>1093750</v>
          </cell>
          <cell r="AE22">
            <v>1089937</v>
          </cell>
          <cell r="AF22">
            <v>1101800</v>
          </cell>
          <cell r="AG22">
            <v>1113731</v>
          </cell>
          <cell r="AH22">
            <v>8590033</v>
          </cell>
          <cell r="AI22">
            <v>8724326</v>
          </cell>
          <cell r="AJ22">
            <v>8808600</v>
          </cell>
          <cell r="AK22">
            <v>8934500</v>
          </cell>
          <cell r="AL22">
            <v>9264400</v>
          </cell>
          <cell r="AM22">
            <v>9220700</v>
          </cell>
          <cell r="AN22">
            <v>9324200</v>
          </cell>
          <cell r="AO22">
            <v>9431100</v>
          </cell>
          <cell r="AP22">
            <v>9562800</v>
          </cell>
          <cell r="AQ22">
            <v>9470900</v>
          </cell>
          <cell r="AR22">
            <v>9621300</v>
          </cell>
          <cell r="AS22">
            <v>9798100</v>
          </cell>
          <cell r="AT22">
            <v>9962700</v>
          </cell>
          <cell r="AU22">
            <v>9985700</v>
          </cell>
          <cell r="AV22">
            <v>10471200</v>
          </cell>
          <cell r="AW22">
            <v>11074800</v>
          </cell>
          <cell r="AX22">
            <v>11340400</v>
          </cell>
          <cell r="AY22">
            <v>11254500</v>
          </cell>
          <cell r="AZ22">
            <v>11552100</v>
          </cell>
          <cell r="BA22">
            <v>11854000</v>
          </cell>
          <cell r="BB22">
            <v>12159900</v>
          </cell>
          <cell r="BC22">
            <v>12764600</v>
          </cell>
          <cell r="BD22">
            <v>13085700</v>
          </cell>
          <cell r="BE22">
            <v>13447000</v>
          </cell>
          <cell r="BF22">
            <v>13838500</v>
          </cell>
          <cell r="BG22">
            <v>13827900</v>
          </cell>
          <cell r="BH22">
            <v>14152700</v>
          </cell>
          <cell r="BI22">
            <v>14462100</v>
          </cell>
          <cell r="BJ22">
            <v>14745900</v>
          </cell>
          <cell r="BK22">
            <v>14627400</v>
          </cell>
          <cell r="BL22">
            <v>14873800</v>
          </cell>
          <cell r="BM22">
            <v>15148400</v>
          </cell>
          <cell r="BN22">
            <v>15412500</v>
          </cell>
          <cell r="BO22">
            <v>15723500</v>
          </cell>
          <cell r="BP22">
            <v>15966900</v>
          </cell>
          <cell r="BQ22">
            <v>16285400</v>
          </cell>
          <cell r="BR22">
            <v>16673900</v>
          </cell>
          <cell r="BS22">
            <v>16968188.607327141</v>
          </cell>
          <cell r="BU22" t="str">
            <v>mstag:propertyPlantAndEquipmentGross</v>
          </cell>
          <cell r="BV22">
            <v>3</v>
          </cell>
          <cell r="BW22" t="str">
            <v>ISO4217:USD</v>
          </cell>
          <cell r="BX22" t="b">
            <v>0</v>
          </cell>
          <cell r="BY22" t="b">
            <v>0</v>
          </cell>
        </row>
        <row r="23">
          <cell r="A23" t="str">
            <v>Accum. depreciation</v>
          </cell>
          <cell r="F23">
            <v>220618</v>
          </cell>
          <cell r="G23">
            <v>298543</v>
          </cell>
          <cell r="H23">
            <v>372408</v>
          </cell>
          <cell r="I23">
            <v>4784585</v>
          </cell>
          <cell r="J23">
            <v>5178400</v>
          </cell>
          <cell r="K23">
            <v>5573800</v>
          </cell>
          <cell r="L23">
            <v>5993100</v>
          </cell>
          <cell r="M23">
            <v>6481800</v>
          </cell>
          <cell r="N23">
            <v>7055400</v>
          </cell>
          <cell r="O23">
            <v>7965200</v>
          </cell>
          <cell r="P23">
            <v>8924800</v>
          </cell>
          <cell r="Q23">
            <v>10311200</v>
          </cell>
          <cell r="R23">
            <v>11744660.122992991</v>
          </cell>
          <cell r="S23">
            <v>13056088.817492554</v>
          </cell>
          <cell r="T23">
            <v>14259612.909679273</v>
          </cell>
          <cell r="U23">
            <v>15493324.699577998</v>
          </cell>
          <cell r="V23">
            <v>16744975.958603762</v>
          </cell>
          <cell r="AA23">
            <v>298543</v>
          </cell>
          <cell r="AB23">
            <v>320574</v>
          </cell>
          <cell r="AC23">
            <v>344084</v>
          </cell>
          <cell r="AD23">
            <v>366435</v>
          </cell>
          <cell r="AE23">
            <v>372408</v>
          </cell>
          <cell r="AF23">
            <v>394222</v>
          </cell>
          <cell r="AG23">
            <v>415559</v>
          </cell>
          <cell r="AH23">
            <v>4699665</v>
          </cell>
          <cell r="AI23">
            <v>4784585</v>
          </cell>
          <cell r="AJ23">
            <v>4891300</v>
          </cell>
          <cell r="AK23">
            <v>5040800</v>
          </cell>
          <cell r="AL23">
            <v>5190500</v>
          </cell>
          <cell r="AM23">
            <v>5178400</v>
          </cell>
          <cell r="AN23">
            <v>5337700</v>
          </cell>
          <cell r="AO23">
            <v>5495900</v>
          </cell>
          <cell r="AP23">
            <v>5651400</v>
          </cell>
          <cell r="AQ23">
            <v>5573800</v>
          </cell>
          <cell r="AR23">
            <v>5786000</v>
          </cell>
          <cell r="AS23">
            <v>5999300</v>
          </cell>
          <cell r="AT23">
            <v>6210900</v>
          </cell>
          <cell r="AU23">
            <v>5993100</v>
          </cell>
          <cell r="AV23">
            <v>6304000</v>
          </cell>
          <cell r="AW23">
            <v>6606400</v>
          </cell>
          <cell r="AX23">
            <v>6901700</v>
          </cell>
          <cell r="AY23">
            <v>6481800</v>
          </cell>
          <cell r="AZ23">
            <v>6769300</v>
          </cell>
          <cell r="BA23">
            <v>7049800</v>
          </cell>
          <cell r="BB23">
            <v>7334300</v>
          </cell>
          <cell r="BC23">
            <v>7055400</v>
          </cell>
          <cell r="BD23">
            <v>7367500</v>
          </cell>
          <cell r="BE23">
            <v>7687500</v>
          </cell>
          <cell r="BF23">
            <v>8013600</v>
          </cell>
          <cell r="BG23">
            <v>7965200</v>
          </cell>
          <cell r="BH23">
            <v>8294500</v>
          </cell>
          <cell r="BI23">
            <v>8626700</v>
          </cell>
          <cell r="BJ23">
            <v>8964900</v>
          </cell>
          <cell r="BK23">
            <v>8924800</v>
          </cell>
          <cell r="BL23">
            <v>9263700</v>
          </cell>
          <cell r="BM23">
            <v>9607700</v>
          </cell>
          <cell r="BN23">
            <v>9956200</v>
          </cell>
          <cell r="BO23">
            <v>10311200</v>
          </cell>
          <cell r="BP23">
            <v>10651900</v>
          </cell>
          <cell r="BQ23">
            <v>10993700</v>
          </cell>
          <cell r="BR23">
            <v>11344200</v>
          </cell>
          <cell r="BS23">
            <v>11744660.122992991</v>
          </cell>
          <cell r="BU23" t="str">
            <v>mstag:accumulatedDepreciation</v>
          </cell>
          <cell r="BV23">
            <v>3</v>
          </cell>
          <cell r="BW23" t="str">
            <v>ISO4217:USD</v>
          </cell>
          <cell r="BX23" t="b">
            <v>0</v>
          </cell>
          <cell r="BY23" t="b">
            <v>0</v>
          </cell>
        </row>
        <row r="24">
          <cell r="A24" t="str">
            <v>Net, PPE</v>
          </cell>
          <cell r="F24">
            <v>769570</v>
          </cell>
          <cell r="G24">
            <v>749984</v>
          </cell>
          <cell r="H24">
            <v>717529</v>
          </cell>
          <cell r="I24">
            <v>3939741</v>
          </cell>
          <cell r="J24">
            <v>4042300</v>
          </cell>
          <cell r="K24">
            <v>3897100</v>
          </cell>
          <cell r="L24">
            <v>3992600</v>
          </cell>
          <cell r="M24">
            <v>4772700</v>
          </cell>
          <cell r="N24">
            <v>5709200</v>
          </cell>
          <cell r="O24">
            <v>5862700</v>
          </cell>
          <cell r="P24">
            <v>5702600</v>
          </cell>
          <cell r="Q24">
            <v>5412300</v>
          </cell>
          <cell r="R24">
            <v>5223528.4843341503</v>
          </cell>
          <cell r="S24">
            <v>4882463.5135852937</v>
          </cell>
          <cell r="T24">
            <v>4310648.6083767992</v>
          </cell>
          <cell r="U24">
            <v>3692836.9574749507</v>
          </cell>
          <cell r="V24">
            <v>3043710.025443133</v>
          </cell>
          <cell r="AA24">
            <v>749984</v>
          </cell>
          <cell r="AB24">
            <v>745156</v>
          </cell>
          <cell r="AC24">
            <v>735146</v>
          </cell>
          <cell r="AD24">
            <v>727315</v>
          </cell>
          <cell r="AE24">
            <v>717529</v>
          </cell>
          <cell r="AF24">
            <v>707578</v>
          </cell>
          <cell r="AG24">
            <v>698172</v>
          </cell>
          <cell r="AH24">
            <v>3890368</v>
          </cell>
          <cell r="AI24">
            <v>3939741</v>
          </cell>
          <cell r="AJ24">
            <v>3917300</v>
          </cell>
          <cell r="AK24">
            <v>3893700</v>
          </cell>
          <cell r="AL24">
            <v>4073900</v>
          </cell>
          <cell r="AM24">
            <v>4042300</v>
          </cell>
          <cell r="AN24">
            <v>3986500</v>
          </cell>
          <cell r="AO24">
            <v>3935200</v>
          </cell>
          <cell r="AP24">
            <v>3911400</v>
          </cell>
          <cell r="AQ24">
            <v>3897100</v>
          </cell>
          <cell r="AR24">
            <v>3835300</v>
          </cell>
          <cell r="AS24">
            <v>3798800</v>
          </cell>
          <cell r="AT24">
            <v>3751800</v>
          </cell>
          <cell r="AU24">
            <v>3992600</v>
          </cell>
          <cell r="AV24">
            <v>4167200</v>
          </cell>
          <cell r="AW24">
            <v>4468400</v>
          </cell>
          <cell r="AX24">
            <v>4438700</v>
          </cell>
          <cell r="AY24">
            <v>4772700</v>
          </cell>
          <cell r="AZ24">
            <v>4782800</v>
          </cell>
          <cell r="BA24">
            <v>4804200</v>
          </cell>
          <cell r="BB24">
            <v>4825600</v>
          </cell>
          <cell r="BC24">
            <v>5709200</v>
          </cell>
          <cell r="BD24">
            <v>5718200</v>
          </cell>
          <cell r="BE24">
            <v>5759500</v>
          </cell>
          <cell r="BF24">
            <v>5824900</v>
          </cell>
          <cell r="BG24">
            <v>5862700</v>
          </cell>
          <cell r="BH24">
            <v>5858200</v>
          </cell>
          <cell r="BI24">
            <v>5835400</v>
          </cell>
          <cell r="BJ24">
            <v>5781000</v>
          </cell>
          <cell r="BK24">
            <v>5702600</v>
          </cell>
          <cell r="BL24">
            <v>5610100</v>
          </cell>
          <cell r="BM24">
            <v>5540700</v>
          </cell>
          <cell r="BN24">
            <v>5456300</v>
          </cell>
          <cell r="BO24">
            <v>5412300</v>
          </cell>
          <cell r="BP24">
            <v>5315000</v>
          </cell>
          <cell r="BQ24">
            <v>5291700</v>
          </cell>
          <cell r="BR24">
            <v>5329700</v>
          </cell>
          <cell r="BS24">
            <v>5223528.4843341503</v>
          </cell>
        </row>
        <row r="25">
          <cell r="A25" t="str">
            <v>Goodwill</v>
          </cell>
          <cell r="F25">
            <v>1057007</v>
          </cell>
          <cell r="G25">
            <v>1058235</v>
          </cell>
          <cell r="H25">
            <v>1057007</v>
          </cell>
          <cell r="I25">
            <v>1965063</v>
          </cell>
          <cell r="J25">
            <v>2276400</v>
          </cell>
          <cell r="K25">
            <v>2198200</v>
          </cell>
          <cell r="L25">
            <v>2344400</v>
          </cell>
          <cell r="M25">
            <v>3704000</v>
          </cell>
          <cell r="N25">
            <v>4301700</v>
          </cell>
          <cell r="O25">
            <v>4340900</v>
          </cell>
          <cell r="P25">
            <v>4331400</v>
          </cell>
          <cell r="Q25">
            <v>4352800</v>
          </cell>
          <cell r="R25">
            <v>4340000</v>
          </cell>
          <cell r="S25">
            <v>4340000</v>
          </cell>
          <cell r="T25">
            <v>4340000</v>
          </cell>
          <cell r="U25">
            <v>4340000</v>
          </cell>
          <cell r="V25">
            <v>4340000</v>
          </cell>
          <cell r="AA25">
            <v>1058235</v>
          </cell>
          <cell r="AB25">
            <v>1058235</v>
          </cell>
          <cell r="AC25">
            <v>1058235</v>
          </cell>
          <cell r="AD25">
            <v>1058215</v>
          </cell>
          <cell r="AE25">
            <v>1057007</v>
          </cell>
          <cell r="AF25">
            <v>1057007</v>
          </cell>
          <cell r="AG25">
            <v>1057007</v>
          </cell>
          <cell r="AH25">
            <v>3112195</v>
          </cell>
          <cell r="AI25">
            <v>1965063</v>
          </cell>
          <cell r="AJ25">
            <v>1965000</v>
          </cell>
          <cell r="AK25">
            <v>1965000</v>
          </cell>
          <cell r="AL25">
            <v>2284900</v>
          </cell>
          <cell r="AM25">
            <v>2276400</v>
          </cell>
          <cell r="AN25">
            <v>2276400</v>
          </cell>
          <cell r="AO25">
            <v>2224200</v>
          </cell>
          <cell r="AP25">
            <v>2224200</v>
          </cell>
          <cell r="AQ25">
            <v>2198200</v>
          </cell>
          <cell r="AR25">
            <v>2198200</v>
          </cell>
          <cell r="AS25">
            <v>2198200</v>
          </cell>
          <cell r="AT25">
            <v>2198200</v>
          </cell>
          <cell r="AU25">
            <v>2344400</v>
          </cell>
          <cell r="AV25">
            <v>2639900</v>
          </cell>
          <cell r="AW25">
            <v>3208300</v>
          </cell>
          <cell r="AX25">
            <v>3187900</v>
          </cell>
          <cell r="AY25">
            <v>3704000</v>
          </cell>
          <cell r="AZ25">
            <v>3721300</v>
          </cell>
          <cell r="BA25">
            <v>3724300</v>
          </cell>
          <cell r="BB25">
            <v>3720400</v>
          </cell>
          <cell r="BC25">
            <v>4301700</v>
          </cell>
          <cell r="BD25">
            <v>4357000</v>
          </cell>
          <cell r="BE25">
            <v>4409000</v>
          </cell>
          <cell r="BF25">
            <v>4411600</v>
          </cell>
          <cell r="BG25">
            <v>4340900</v>
          </cell>
          <cell r="BH25">
            <v>4340900</v>
          </cell>
          <cell r="BI25">
            <v>4340900</v>
          </cell>
          <cell r="BJ25">
            <v>4340900</v>
          </cell>
          <cell r="BK25">
            <v>4331400</v>
          </cell>
          <cell r="BL25">
            <v>4331400</v>
          </cell>
          <cell r="BM25">
            <v>4331400</v>
          </cell>
          <cell r="BN25">
            <v>4331400</v>
          </cell>
          <cell r="BO25">
            <v>4352800</v>
          </cell>
          <cell r="BP25">
            <v>4352800</v>
          </cell>
          <cell r="BQ25">
            <v>4340000</v>
          </cell>
          <cell r="BR25">
            <v>4340000</v>
          </cell>
          <cell r="BS25">
            <v>4340000</v>
          </cell>
          <cell r="BU25" t="str">
            <v>mstag:goodwill</v>
          </cell>
          <cell r="BV25">
            <v>3</v>
          </cell>
          <cell r="BW25" t="str">
            <v>ISO4217:USD</v>
          </cell>
          <cell r="BX25" t="b">
            <v>0</v>
          </cell>
          <cell r="BY25" t="b">
            <v>0</v>
          </cell>
        </row>
        <row r="26">
          <cell r="A26" t="str">
            <v>Other</v>
          </cell>
          <cell r="F26">
            <v>139305</v>
          </cell>
          <cell r="G26">
            <v>72936</v>
          </cell>
          <cell r="H26">
            <v>52370</v>
          </cell>
          <cell r="I26">
            <v>1249174</v>
          </cell>
          <cell r="J26">
            <v>1394200</v>
          </cell>
          <cell r="K26">
            <v>1205300</v>
          </cell>
          <cell r="L26">
            <v>1352400</v>
          </cell>
          <cell r="M26">
            <v>2189300</v>
          </cell>
          <cell r="N26">
            <v>2862800</v>
          </cell>
          <cell r="O26">
            <v>2478300</v>
          </cell>
          <cell r="P26">
            <v>2225800</v>
          </cell>
          <cell r="Q26">
            <v>1856900</v>
          </cell>
          <cell r="R26">
            <v>1110700</v>
          </cell>
          <cell r="S26">
            <v>1110700</v>
          </cell>
          <cell r="T26">
            <v>1110700</v>
          </cell>
          <cell r="U26">
            <v>1110700</v>
          </cell>
          <cell r="V26">
            <v>1110700</v>
          </cell>
          <cell r="AA26">
            <v>72936</v>
          </cell>
          <cell r="AB26">
            <v>55098</v>
          </cell>
          <cell r="AC26">
            <v>53437</v>
          </cell>
          <cell r="AD26">
            <v>51289</v>
          </cell>
          <cell r="AE26">
            <v>52370</v>
          </cell>
          <cell r="AF26">
            <v>55941</v>
          </cell>
          <cell r="AG26">
            <v>58567</v>
          </cell>
          <cell r="AH26">
            <v>290903</v>
          </cell>
          <cell r="AI26">
            <v>1249174</v>
          </cell>
          <cell r="AJ26">
            <v>1229700</v>
          </cell>
          <cell r="AK26">
            <v>1198700</v>
          </cell>
          <cell r="AL26">
            <v>1340900</v>
          </cell>
          <cell r="AM26">
            <v>1394200</v>
          </cell>
          <cell r="AN26">
            <v>1381300</v>
          </cell>
          <cell r="AO26">
            <v>1381400</v>
          </cell>
          <cell r="AP26">
            <v>1365000</v>
          </cell>
          <cell r="AQ26">
            <v>1205300</v>
          </cell>
          <cell r="AR26">
            <v>1184300</v>
          </cell>
          <cell r="AS26">
            <v>1163800</v>
          </cell>
          <cell r="AT26">
            <v>1139500</v>
          </cell>
          <cell r="AU26">
            <v>1352400</v>
          </cell>
          <cell r="AV26">
            <v>1503900</v>
          </cell>
          <cell r="AW26">
            <v>1832400</v>
          </cell>
          <cell r="AX26">
            <v>1798800</v>
          </cell>
          <cell r="AY26">
            <v>2189300</v>
          </cell>
          <cell r="AZ26">
            <v>2137500</v>
          </cell>
          <cell r="BA26">
            <v>2087500</v>
          </cell>
          <cell r="BB26">
            <v>2049700</v>
          </cell>
          <cell r="BC26">
            <v>2862800</v>
          </cell>
          <cell r="BD26">
            <v>2758400</v>
          </cell>
          <cell r="BE26">
            <v>2646800</v>
          </cell>
          <cell r="BF26">
            <v>2578400</v>
          </cell>
          <cell r="BG26">
            <v>2478300</v>
          </cell>
          <cell r="BH26">
            <v>2409800</v>
          </cell>
          <cell r="BI26">
            <v>2348800</v>
          </cell>
          <cell r="BJ26">
            <v>2280200</v>
          </cell>
          <cell r="BK26">
            <v>2225800</v>
          </cell>
          <cell r="BL26">
            <v>2154900</v>
          </cell>
          <cell r="BM26">
            <v>2082600</v>
          </cell>
          <cell r="BN26">
            <v>2015800</v>
          </cell>
          <cell r="BO26">
            <v>1856900</v>
          </cell>
          <cell r="BP26">
            <v>1885400</v>
          </cell>
          <cell r="BQ26">
            <v>1732100</v>
          </cell>
          <cell r="BR26">
            <v>1685700</v>
          </cell>
          <cell r="BS26">
            <v>1110700</v>
          </cell>
          <cell r="BU26" t="str">
            <v>mstag:otherAssets</v>
          </cell>
          <cell r="BV26">
            <v>3</v>
          </cell>
          <cell r="BW26" t="str">
            <v>ISO4217:USD</v>
          </cell>
          <cell r="BX26" t="b">
            <v>0</v>
          </cell>
          <cell r="BY26" t="b">
            <v>0</v>
          </cell>
        </row>
        <row r="27">
          <cell r="A27" t="str">
            <v>Investment in CS&amp;L</v>
          </cell>
          <cell r="R27">
            <v>526000</v>
          </cell>
          <cell r="S27">
            <v>0</v>
          </cell>
          <cell r="T27">
            <v>0</v>
          </cell>
          <cell r="U27">
            <v>0</v>
          </cell>
          <cell r="V27">
            <v>0</v>
          </cell>
          <cell r="BM27" t="str">
            <v>`</v>
          </cell>
          <cell r="BQ27">
            <v>726400</v>
          </cell>
          <cell r="BR27">
            <v>526000</v>
          </cell>
          <cell r="BS27">
            <v>526000</v>
          </cell>
          <cell r="BU27" t="str">
            <v>mstag:otherAssets</v>
          </cell>
          <cell r="BV27">
            <v>3</v>
          </cell>
          <cell r="BW27" t="str">
            <v>ISO4217:USD</v>
          </cell>
          <cell r="BX27" t="b">
            <v>0</v>
          </cell>
          <cell r="BY27" t="b">
            <v>0</v>
          </cell>
        </row>
        <row r="28">
          <cell r="A28" t="str">
            <v>Total long-term assets</v>
          </cell>
          <cell r="F28">
            <v>1965882</v>
          </cell>
          <cell r="G28">
            <v>1881155</v>
          </cell>
          <cell r="H28">
            <v>1826906</v>
          </cell>
          <cell r="I28">
            <v>7153978</v>
          </cell>
          <cell r="J28">
            <v>7712900</v>
          </cell>
          <cell r="K28">
            <v>7300600</v>
          </cell>
          <cell r="L28">
            <v>7689400</v>
          </cell>
          <cell r="M28">
            <v>10666000</v>
          </cell>
          <cell r="N28">
            <v>12873700</v>
          </cell>
          <cell r="O28">
            <v>12681900</v>
          </cell>
          <cell r="P28">
            <v>12259800</v>
          </cell>
          <cell r="Q28">
            <v>11622000</v>
          </cell>
          <cell r="R28">
            <v>11200228.48433415</v>
          </cell>
          <cell r="S28">
            <v>10333163.513585294</v>
          </cell>
          <cell r="T28">
            <v>9761348.6083767992</v>
          </cell>
          <cell r="U28">
            <v>9143536.9574749507</v>
          </cell>
          <cell r="V28">
            <v>8494410.025443133</v>
          </cell>
          <cell r="AA28">
            <v>1881155</v>
          </cell>
          <cell r="AB28">
            <v>1858489</v>
          </cell>
          <cell r="AC28">
            <v>1846818</v>
          </cell>
          <cell r="AD28">
            <v>1836819</v>
          </cell>
          <cell r="AE28">
            <v>1826906</v>
          </cell>
          <cell r="AF28">
            <v>1820526</v>
          </cell>
          <cell r="AG28">
            <v>1813746</v>
          </cell>
          <cell r="AH28">
            <v>7293466</v>
          </cell>
          <cell r="AI28">
            <v>7153978</v>
          </cell>
          <cell r="AJ28">
            <v>7112000</v>
          </cell>
          <cell r="AK28">
            <v>7057400</v>
          </cell>
          <cell r="AL28">
            <v>7699700</v>
          </cell>
          <cell r="AM28">
            <v>7712900</v>
          </cell>
          <cell r="AN28">
            <v>7644200</v>
          </cell>
          <cell r="AO28">
            <v>7540800</v>
          </cell>
          <cell r="AP28">
            <v>7500600</v>
          </cell>
          <cell r="AQ28">
            <v>7300600</v>
          </cell>
          <cell r="AR28">
            <v>7217800</v>
          </cell>
          <cell r="AS28">
            <v>7160800</v>
          </cell>
          <cell r="AT28">
            <v>7089500</v>
          </cell>
          <cell r="AU28">
            <v>7689400</v>
          </cell>
          <cell r="AV28">
            <v>8311000</v>
          </cell>
          <cell r="AW28">
            <v>9509100</v>
          </cell>
          <cell r="AX28">
            <v>9425400</v>
          </cell>
          <cell r="AY28">
            <v>10666000</v>
          </cell>
          <cell r="AZ28">
            <v>10641600</v>
          </cell>
          <cell r="BA28">
            <v>10616000</v>
          </cell>
          <cell r="BB28">
            <v>10595700</v>
          </cell>
          <cell r="BC28">
            <v>12873700</v>
          </cell>
          <cell r="BD28">
            <v>12833600</v>
          </cell>
          <cell r="BE28">
            <v>12815300</v>
          </cell>
          <cell r="BF28">
            <v>12814900</v>
          </cell>
          <cell r="BG28">
            <v>12681900</v>
          </cell>
          <cell r="BH28">
            <v>12608900</v>
          </cell>
          <cell r="BI28">
            <v>12525100</v>
          </cell>
          <cell r="BJ28">
            <v>12402100</v>
          </cell>
          <cell r="BK28">
            <v>12259800</v>
          </cell>
          <cell r="BL28">
            <v>12096400</v>
          </cell>
          <cell r="BM28">
            <v>11954700</v>
          </cell>
          <cell r="BN28">
            <v>11803500</v>
          </cell>
          <cell r="BO28">
            <v>11622000</v>
          </cell>
          <cell r="BP28">
            <v>11553200</v>
          </cell>
          <cell r="BQ28">
            <v>12090200</v>
          </cell>
          <cell r="BR28">
            <v>11881400</v>
          </cell>
          <cell r="BS28">
            <v>11200228.48433415</v>
          </cell>
        </row>
        <row r="30">
          <cell r="A30" t="str">
            <v>TOTAL ASSETS</v>
          </cell>
          <cell r="F30">
            <v>2039043</v>
          </cell>
          <cell r="G30">
            <v>1971167</v>
          </cell>
          <cell r="H30">
            <v>1962781</v>
          </cell>
          <cell r="I30">
            <v>8030720</v>
          </cell>
          <cell r="J30">
            <v>8241200</v>
          </cell>
          <cell r="K30">
            <v>8009300</v>
          </cell>
          <cell r="L30">
            <v>9145400</v>
          </cell>
          <cell r="M30">
            <v>11353700</v>
          </cell>
          <cell r="N30">
            <v>14392100</v>
          </cell>
          <cell r="O30">
            <v>13982000</v>
          </cell>
          <cell r="P30">
            <v>13444600</v>
          </cell>
          <cell r="Q30">
            <v>12625700</v>
          </cell>
          <cell r="R30">
            <v>12757270.087934636</v>
          </cell>
          <cell r="S30">
            <v>11404511.196162028</v>
          </cell>
          <cell r="T30">
            <v>10807138.646520978</v>
          </cell>
          <cell r="U30">
            <v>10196487.835366633</v>
          </cell>
          <cell r="V30">
            <v>9548341.5747856013</v>
          </cell>
          <cell r="AA30">
            <v>1971167</v>
          </cell>
          <cell r="AB30">
            <v>1965850</v>
          </cell>
          <cell r="AC30">
            <v>1974479</v>
          </cell>
          <cell r="AD30">
            <v>1952100</v>
          </cell>
          <cell r="AE30">
            <v>1962781</v>
          </cell>
          <cell r="AF30">
            <v>1957304</v>
          </cell>
          <cell r="AG30">
            <v>1969885</v>
          </cell>
          <cell r="AH30">
            <v>8161748</v>
          </cell>
          <cell r="AI30">
            <v>8030720</v>
          </cell>
          <cell r="AJ30">
            <v>7961200</v>
          </cell>
          <cell r="AK30">
            <v>8006400</v>
          </cell>
          <cell r="AL30">
            <v>8297400</v>
          </cell>
          <cell r="AM30">
            <v>8241200</v>
          </cell>
          <cell r="AN30">
            <v>8142900</v>
          </cell>
          <cell r="AO30">
            <v>8040500</v>
          </cell>
          <cell r="AP30">
            <v>8060200</v>
          </cell>
          <cell r="AQ30">
            <v>8009300</v>
          </cell>
          <cell r="AR30">
            <v>7905000</v>
          </cell>
          <cell r="AS30">
            <v>7789500</v>
          </cell>
          <cell r="AT30">
            <v>7768100</v>
          </cell>
          <cell r="AU30">
            <v>9145400</v>
          </cell>
          <cell r="AV30">
            <v>9327400</v>
          </cell>
          <cell r="AW30">
            <v>10087200</v>
          </cell>
          <cell r="AX30">
            <v>10132200</v>
          </cell>
          <cell r="AY30">
            <v>11353700</v>
          </cell>
          <cell r="AZ30">
            <v>11342800</v>
          </cell>
          <cell r="BA30">
            <v>11329200</v>
          </cell>
          <cell r="BB30">
            <v>11419100</v>
          </cell>
          <cell r="BC30">
            <v>14392100</v>
          </cell>
          <cell r="BD30">
            <v>13966400</v>
          </cell>
          <cell r="BE30">
            <v>13927200</v>
          </cell>
          <cell r="BF30">
            <v>14028400</v>
          </cell>
          <cell r="BG30">
            <v>13982000</v>
          </cell>
          <cell r="BH30">
            <v>13723500</v>
          </cell>
          <cell r="BI30">
            <v>13638900</v>
          </cell>
          <cell r="BJ30">
            <v>13486700</v>
          </cell>
          <cell r="BK30">
            <v>13444600</v>
          </cell>
          <cell r="BL30">
            <v>13239800</v>
          </cell>
          <cell r="BM30">
            <v>12985700</v>
          </cell>
          <cell r="BN30">
            <v>12831600</v>
          </cell>
          <cell r="BO30">
            <v>12625700</v>
          </cell>
          <cell r="BP30">
            <v>12619100</v>
          </cell>
          <cell r="BQ30">
            <v>13204400</v>
          </cell>
          <cell r="BR30">
            <v>13004400</v>
          </cell>
          <cell r="BS30">
            <v>12757270.087934636</v>
          </cell>
        </row>
        <row r="32">
          <cell r="A32" t="str">
            <v>LIABILITIES AND EQUITY</v>
          </cell>
          <cell r="AB32" t="str">
            <v/>
          </cell>
          <cell r="AC32" t="str">
            <v/>
          </cell>
          <cell r="AD32" t="str">
            <v/>
          </cell>
        </row>
        <row r="33">
          <cell r="A33" t="str">
            <v>Current liabilities</v>
          </cell>
          <cell r="F33" t="str">
            <v/>
          </cell>
          <cell r="G33" t="str">
            <v/>
          </cell>
          <cell r="AA33" t="str">
            <v/>
          </cell>
          <cell r="AB33" t="str">
            <v/>
          </cell>
          <cell r="AC33" t="str">
            <v/>
          </cell>
          <cell r="AD33" t="str">
            <v/>
          </cell>
        </row>
        <row r="34">
          <cell r="A34" t="str">
            <v xml:space="preserve">  Current maturities of LT Debt</v>
          </cell>
          <cell r="F34">
            <v>37318</v>
          </cell>
          <cell r="G34">
            <v>1801</v>
          </cell>
          <cell r="H34">
            <v>59</v>
          </cell>
          <cell r="I34">
            <v>32241</v>
          </cell>
          <cell r="J34">
            <v>24300</v>
          </cell>
          <cell r="K34">
            <v>24300</v>
          </cell>
          <cell r="L34">
            <v>23800</v>
          </cell>
          <cell r="M34">
            <v>139200</v>
          </cell>
          <cell r="N34">
            <v>213700</v>
          </cell>
          <cell r="O34">
            <v>866000</v>
          </cell>
          <cell r="P34">
            <v>85000</v>
          </cell>
          <cell r="Q34">
            <v>717500</v>
          </cell>
          <cell r="R34">
            <v>5900</v>
          </cell>
          <cell r="S34">
            <v>5900</v>
          </cell>
          <cell r="T34">
            <v>5900</v>
          </cell>
          <cell r="U34">
            <v>5900</v>
          </cell>
          <cell r="V34">
            <v>5900</v>
          </cell>
          <cell r="AA34">
            <v>1801</v>
          </cell>
          <cell r="AB34">
            <v>223</v>
          </cell>
          <cell r="AC34">
            <v>208</v>
          </cell>
          <cell r="AD34">
            <v>123</v>
          </cell>
          <cell r="AE34">
            <v>59</v>
          </cell>
          <cell r="AF34">
            <v>16</v>
          </cell>
          <cell r="AG34">
            <v>0</v>
          </cell>
          <cell r="AH34">
            <v>21237</v>
          </cell>
          <cell r="AI34">
            <v>32241</v>
          </cell>
          <cell r="AJ34">
            <v>39500</v>
          </cell>
          <cell r="AK34">
            <v>49300</v>
          </cell>
          <cell r="AL34">
            <v>65200</v>
          </cell>
          <cell r="AM34">
            <v>24300</v>
          </cell>
          <cell r="AN34">
            <v>24300</v>
          </cell>
          <cell r="AO34">
            <v>24300</v>
          </cell>
          <cell r="AP34">
            <v>24300</v>
          </cell>
          <cell r="AQ34">
            <v>24300</v>
          </cell>
          <cell r="AR34">
            <v>24200</v>
          </cell>
          <cell r="AS34">
            <v>24200</v>
          </cell>
          <cell r="AT34">
            <v>24100</v>
          </cell>
          <cell r="AU34">
            <v>23800</v>
          </cell>
          <cell r="AV34">
            <v>28300</v>
          </cell>
          <cell r="AW34">
            <v>28100</v>
          </cell>
          <cell r="AX34">
            <v>130500</v>
          </cell>
          <cell r="AY34">
            <v>139200</v>
          </cell>
          <cell r="AZ34">
            <v>137700</v>
          </cell>
          <cell r="BA34">
            <v>142700</v>
          </cell>
          <cell r="BB34">
            <v>44800</v>
          </cell>
          <cell r="BC34">
            <v>213700</v>
          </cell>
          <cell r="BD34">
            <v>66100</v>
          </cell>
          <cell r="BE34">
            <v>65800</v>
          </cell>
          <cell r="BF34">
            <v>1182500</v>
          </cell>
          <cell r="BG34">
            <v>866000</v>
          </cell>
          <cell r="BH34">
            <v>888000</v>
          </cell>
          <cell r="BI34">
            <v>76800</v>
          </cell>
          <cell r="BJ34">
            <v>86000</v>
          </cell>
          <cell r="BK34">
            <v>85000</v>
          </cell>
          <cell r="BL34">
            <v>88700</v>
          </cell>
          <cell r="BM34">
            <v>92500</v>
          </cell>
          <cell r="BN34">
            <v>92500</v>
          </cell>
          <cell r="BO34">
            <v>717500</v>
          </cell>
          <cell r="BP34">
            <v>92500</v>
          </cell>
          <cell r="BQ34">
            <v>5900</v>
          </cell>
          <cell r="BR34">
            <v>5900</v>
          </cell>
          <cell r="BS34">
            <v>5900</v>
          </cell>
          <cell r="BU34" t="str">
            <v>mstag:shortTermBorrowings</v>
          </cell>
          <cell r="BV34">
            <v>3</v>
          </cell>
          <cell r="BW34" t="str">
            <v>ISO4217:USD</v>
          </cell>
          <cell r="BX34" t="b">
            <v>0</v>
          </cell>
          <cell r="BY34" t="b">
            <v>0</v>
          </cell>
        </row>
        <row r="35">
          <cell r="A35" t="str">
            <v xml:space="preserve">  Accounts payable</v>
          </cell>
          <cell r="F35">
            <v>14458</v>
          </cell>
          <cell r="G35">
            <v>5847</v>
          </cell>
          <cell r="H35">
            <v>6621</v>
          </cell>
          <cell r="I35">
            <v>169443</v>
          </cell>
          <cell r="J35">
            <v>161900</v>
          </cell>
          <cell r="K35">
            <v>134000</v>
          </cell>
          <cell r="L35">
            <v>158500</v>
          </cell>
          <cell r="M35">
            <v>151300</v>
          </cell>
          <cell r="N35">
            <v>296000</v>
          </cell>
          <cell r="O35">
            <v>363700</v>
          </cell>
          <cell r="P35">
            <v>385900</v>
          </cell>
          <cell r="Q35">
            <v>403300</v>
          </cell>
          <cell r="R35">
            <v>420283.09357646207</v>
          </cell>
          <cell r="S35">
            <v>369474.12598953478</v>
          </cell>
          <cell r="T35">
            <v>371157.3883465383</v>
          </cell>
          <cell r="U35">
            <v>369920.7071371557</v>
          </cell>
          <cell r="V35">
            <v>369261.06940338109</v>
          </cell>
          <cell r="AA35">
            <v>5847</v>
          </cell>
          <cell r="AB35">
            <v>7362</v>
          </cell>
          <cell r="AC35">
            <v>7079</v>
          </cell>
          <cell r="AD35">
            <v>10904</v>
          </cell>
          <cell r="AE35">
            <v>6621</v>
          </cell>
          <cell r="AF35">
            <v>9881</v>
          </cell>
          <cell r="AG35">
            <v>11769</v>
          </cell>
          <cell r="AH35">
            <v>215356</v>
          </cell>
          <cell r="AI35">
            <v>169443</v>
          </cell>
          <cell r="AJ35">
            <v>169900</v>
          </cell>
          <cell r="AK35">
            <v>156100</v>
          </cell>
          <cell r="AL35">
            <v>160400</v>
          </cell>
          <cell r="AM35">
            <v>161900</v>
          </cell>
          <cell r="AN35">
            <v>163100</v>
          </cell>
          <cell r="AO35">
            <v>140000</v>
          </cell>
          <cell r="AP35">
            <v>149900</v>
          </cell>
          <cell r="AQ35">
            <v>134000</v>
          </cell>
          <cell r="AR35">
            <v>117000</v>
          </cell>
          <cell r="AS35">
            <v>119800</v>
          </cell>
          <cell r="AT35">
            <v>131900</v>
          </cell>
          <cell r="AU35">
            <v>158500</v>
          </cell>
          <cell r="AV35">
            <v>178700</v>
          </cell>
          <cell r="AW35">
            <v>182300</v>
          </cell>
          <cell r="AX35">
            <v>137200</v>
          </cell>
          <cell r="AY35">
            <v>151300</v>
          </cell>
          <cell r="AZ35">
            <v>170500</v>
          </cell>
          <cell r="BA35">
            <v>172000</v>
          </cell>
          <cell r="BB35">
            <v>171700</v>
          </cell>
          <cell r="BC35">
            <v>296000</v>
          </cell>
          <cell r="BD35">
            <v>330300</v>
          </cell>
          <cell r="BE35">
            <v>306200</v>
          </cell>
          <cell r="BF35">
            <v>320000</v>
          </cell>
          <cell r="BG35">
            <v>363700</v>
          </cell>
          <cell r="BH35">
            <v>301500</v>
          </cell>
          <cell r="BI35">
            <v>329900</v>
          </cell>
          <cell r="BJ35">
            <v>389500</v>
          </cell>
          <cell r="BK35">
            <v>385900</v>
          </cell>
          <cell r="BL35">
            <v>355900</v>
          </cell>
          <cell r="BM35">
            <v>361400</v>
          </cell>
          <cell r="BN35">
            <v>356500</v>
          </cell>
          <cell r="BO35">
            <v>403300</v>
          </cell>
          <cell r="BP35">
            <v>332000</v>
          </cell>
          <cell r="BQ35">
            <v>369600</v>
          </cell>
          <cell r="BR35">
            <v>366700</v>
          </cell>
          <cell r="BS35">
            <v>420283.09357646207</v>
          </cell>
          <cell r="BU35" t="str">
            <v>mstag:tradeAndOtherPayables</v>
          </cell>
          <cell r="BV35">
            <v>3</v>
          </cell>
          <cell r="BW35" t="str">
            <v>ISO4217:USD</v>
          </cell>
          <cell r="BX35" t="b">
            <v>0</v>
          </cell>
          <cell r="BY35" t="b">
            <v>0</v>
          </cell>
        </row>
        <row r="36">
          <cell r="A36" t="str">
            <v xml:space="preserve">  Notes payable</v>
          </cell>
          <cell r="F36">
            <v>6687</v>
          </cell>
          <cell r="G36">
            <v>1893</v>
          </cell>
          <cell r="H36">
            <v>0</v>
          </cell>
          <cell r="I36">
            <v>0</v>
          </cell>
          <cell r="J36">
            <v>0</v>
          </cell>
          <cell r="K36">
            <v>0</v>
          </cell>
          <cell r="L36">
            <v>0</v>
          </cell>
          <cell r="M36">
            <v>0</v>
          </cell>
          <cell r="N36">
            <v>0</v>
          </cell>
          <cell r="O36">
            <v>0</v>
          </cell>
          <cell r="R36">
            <v>0</v>
          </cell>
          <cell r="T36">
            <v>0</v>
          </cell>
          <cell r="U36">
            <v>0</v>
          </cell>
          <cell r="V36">
            <v>0</v>
          </cell>
          <cell r="AA36">
            <v>1893</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BU36" t="str">
            <v>mstag:shortTermBorrowings</v>
          </cell>
          <cell r="BV36">
            <v>3</v>
          </cell>
          <cell r="BW36" t="str">
            <v>ISO4217:USD</v>
          </cell>
          <cell r="BX36" t="b">
            <v>0</v>
          </cell>
          <cell r="BY36" t="b">
            <v>0</v>
          </cell>
        </row>
        <row r="37">
          <cell r="A37" t="str">
            <v>Accrued expenses and other current liabilities:</v>
          </cell>
          <cell r="R37">
            <v>0</v>
          </cell>
        </row>
        <row r="38">
          <cell r="A38" t="str">
            <v xml:space="preserve">  Taxes</v>
          </cell>
          <cell r="F38">
            <v>11983</v>
          </cell>
          <cell r="G38">
            <v>13505</v>
          </cell>
          <cell r="H38">
            <v>10760</v>
          </cell>
          <cell r="I38">
            <v>31896</v>
          </cell>
          <cell r="J38">
            <v>52600</v>
          </cell>
          <cell r="K38">
            <v>48000</v>
          </cell>
          <cell r="L38">
            <v>60600</v>
          </cell>
          <cell r="M38">
            <v>81200</v>
          </cell>
          <cell r="N38">
            <v>117900</v>
          </cell>
          <cell r="O38">
            <v>104300</v>
          </cell>
          <cell r="P38">
            <v>104200</v>
          </cell>
          <cell r="Q38">
            <v>95200</v>
          </cell>
          <cell r="R38">
            <v>93200</v>
          </cell>
          <cell r="S38">
            <v>93200</v>
          </cell>
          <cell r="T38">
            <v>93200</v>
          </cell>
          <cell r="U38">
            <v>93200</v>
          </cell>
          <cell r="V38">
            <v>93200</v>
          </cell>
          <cell r="AA38">
            <v>13505</v>
          </cell>
          <cell r="AB38">
            <v>8977</v>
          </cell>
          <cell r="AC38">
            <v>10160</v>
          </cell>
          <cell r="AD38">
            <v>11577</v>
          </cell>
          <cell r="AE38">
            <v>10760</v>
          </cell>
          <cell r="AF38">
            <v>7486</v>
          </cell>
          <cell r="AG38">
            <v>8548</v>
          </cell>
          <cell r="AH38">
            <v>89769</v>
          </cell>
          <cell r="AI38">
            <v>31896</v>
          </cell>
          <cell r="AJ38">
            <v>70500</v>
          </cell>
          <cell r="AK38">
            <v>52700</v>
          </cell>
          <cell r="AL38">
            <v>59900</v>
          </cell>
          <cell r="AM38">
            <v>52600</v>
          </cell>
          <cell r="AN38">
            <v>84600</v>
          </cell>
          <cell r="AO38">
            <v>29300</v>
          </cell>
          <cell r="AP38">
            <v>69900</v>
          </cell>
          <cell r="AQ38">
            <v>48000</v>
          </cell>
          <cell r="AR38">
            <v>71800</v>
          </cell>
          <cell r="AS38">
            <v>54400</v>
          </cell>
          <cell r="AT38">
            <v>43100</v>
          </cell>
          <cell r="AU38">
            <v>60600</v>
          </cell>
          <cell r="AV38">
            <v>87600</v>
          </cell>
          <cell r="AW38">
            <v>81300</v>
          </cell>
          <cell r="AX38">
            <v>71300</v>
          </cell>
          <cell r="AY38">
            <v>81200</v>
          </cell>
          <cell r="AZ38">
            <v>75400</v>
          </cell>
          <cell r="BA38">
            <v>85100</v>
          </cell>
          <cell r="BB38">
            <v>90800</v>
          </cell>
          <cell r="BC38">
            <v>117900</v>
          </cell>
          <cell r="BD38">
            <v>103300</v>
          </cell>
          <cell r="BE38">
            <v>115400</v>
          </cell>
          <cell r="BF38">
            <v>114400</v>
          </cell>
          <cell r="BG38">
            <v>104300</v>
          </cell>
          <cell r="BH38">
            <v>96200</v>
          </cell>
          <cell r="BI38">
            <v>103300</v>
          </cell>
          <cell r="BJ38">
            <v>104300</v>
          </cell>
          <cell r="BK38">
            <v>104200</v>
          </cell>
          <cell r="BL38">
            <v>89000</v>
          </cell>
          <cell r="BM38">
            <v>95000</v>
          </cell>
          <cell r="BN38">
            <v>97600</v>
          </cell>
          <cell r="BO38">
            <v>95200</v>
          </cell>
          <cell r="BP38">
            <v>84300</v>
          </cell>
          <cell r="BQ38">
            <v>93100</v>
          </cell>
          <cell r="BR38">
            <v>93200</v>
          </cell>
          <cell r="BS38">
            <v>93200</v>
          </cell>
          <cell r="BU38" t="str">
            <v>mstag:deferredTaxLiabilitiesCurrent</v>
          </cell>
          <cell r="BV38">
            <v>3</v>
          </cell>
          <cell r="BW38" t="str">
            <v>ISO4217:USD</v>
          </cell>
          <cell r="BX38" t="b">
            <v>0</v>
          </cell>
          <cell r="BY38" t="b">
            <v>0</v>
          </cell>
        </row>
        <row r="39">
          <cell r="A39" t="str">
            <v xml:space="preserve">  Salaries and benefits</v>
          </cell>
          <cell r="F39">
            <v>14372</v>
          </cell>
          <cell r="G39">
            <v>15135</v>
          </cell>
          <cell r="H39">
            <v>13679</v>
          </cell>
          <cell r="I39">
            <v>0</v>
          </cell>
          <cell r="J39">
            <v>0</v>
          </cell>
          <cell r="K39">
            <v>0</v>
          </cell>
          <cell r="L39">
            <v>0</v>
          </cell>
          <cell r="M39">
            <v>0</v>
          </cell>
          <cell r="R39">
            <v>0</v>
          </cell>
          <cell r="AA39">
            <v>15135</v>
          </cell>
          <cell r="AB39">
            <v>13361</v>
          </cell>
          <cell r="AC39">
            <v>9911</v>
          </cell>
          <cell r="AD39">
            <v>12619</v>
          </cell>
          <cell r="AE39">
            <v>13679</v>
          </cell>
          <cell r="AF39">
            <v>11967</v>
          </cell>
          <cell r="AG39">
            <v>11094</v>
          </cell>
          <cell r="BU39" t="str">
            <v>mstag:deferredCompensation</v>
          </cell>
          <cell r="BV39">
            <v>3</v>
          </cell>
          <cell r="BW39" t="str">
            <v>ISO4217:USD</v>
          </cell>
          <cell r="BX39" t="b">
            <v>0</v>
          </cell>
          <cell r="BY39" t="b">
            <v>0</v>
          </cell>
        </row>
        <row r="40">
          <cell r="A40" t="str">
            <v xml:space="preserve">  Interest</v>
          </cell>
          <cell r="F40">
            <v>3190</v>
          </cell>
          <cell r="G40">
            <v>5471</v>
          </cell>
          <cell r="H40">
            <v>13705</v>
          </cell>
          <cell r="I40">
            <v>148184</v>
          </cell>
          <cell r="J40">
            <v>139600</v>
          </cell>
          <cell r="K40">
            <v>178900</v>
          </cell>
          <cell r="L40">
            <v>201800</v>
          </cell>
          <cell r="M40">
            <v>209300</v>
          </cell>
          <cell r="N40">
            <v>192300</v>
          </cell>
          <cell r="O40">
            <v>142600</v>
          </cell>
          <cell r="P40">
            <v>133500</v>
          </cell>
          <cell r="Q40">
            <v>102500</v>
          </cell>
          <cell r="R40">
            <v>139000</v>
          </cell>
          <cell r="S40">
            <v>173200</v>
          </cell>
          <cell r="T40">
            <v>207400</v>
          </cell>
          <cell r="U40">
            <v>241600</v>
          </cell>
          <cell r="V40">
            <v>275800</v>
          </cell>
          <cell r="AA40">
            <v>5471</v>
          </cell>
          <cell r="AB40">
            <v>4292</v>
          </cell>
          <cell r="AC40">
            <v>11746</v>
          </cell>
          <cell r="AD40">
            <v>5819</v>
          </cell>
          <cell r="AE40">
            <v>13705</v>
          </cell>
          <cell r="AF40">
            <v>4017</v>
          </cell>
          <cell r="AG40">
            <v>11770</v>
          </cell>
          <cell r="AH40">
            <v>89768</v>
          </cell>
          <cell r="AI40">
            <v>148184</v>
          </cell>
          <cell r="AJ40">
            <v>64300</v>
          </cell>
          <cell r="AK40">
            <v>143200</v>
          </cell>
          <cell r="AL40">
            <v>74700</v>
          </cell>
          <cell r="AM40">
            <v>139600</v>
          </cell>
          <cell r="AN40">
            <v>70700</v>
          </cell>
          <cell r="AO40">
            <v>172000</v>
          </cell>
          <cell r="AP40">
            <v>69800</v>
          </cell>
          <cell r="AQ40">
            <v>178900</v>
          </cell>
          <cell r="AR40">
            <v>108700</v>
          </cell>
          <cell r="AS40">
            <v>177300</v>
          </cell>
          <cell r="AT40">
            <v>111400</v>
          </cell>
          <cell r="AU40">
            <v>201800</v>
          </cell>
          <cell r="AV40">
            <v>154700</v>
          </cell>
          <cell r="AW40">
            <v>192700</v>
          </cell>
          <cell r="AX40">
            <v>107200</v>
          </cell>
          <cell r="AY40">
            <v>209300</v>
          </cell>
          <cell r="AZ40">
            <v>145100</v>
          </cell>
          <cell r="BA40">
            <v>168300</v>
          </cell>
          <cell r="BB40">
            <v>174000</v>
          </cell>
          <cell r="BC40">
            <v>192300</v>
          </cell>
          <cell r="BD40">
            <v>210400</v>
          </cell>
          <cell r="BE40">
            <v>178200</v>
          </cell>
          <cell r="BF40">
            <v>208800</v>
          </cell>
          <cell r="BG40">
            <v>142600</v>
          </cell>
          <cell r="BH40">
            <v>189400</v>
          </cell>
          <cell r="BI40">
            <v>158700</v>
          </cell>
          <cell r="BJ40">
            <v>182700</v>
          </cell>
          <cell r="BK40">
            <v>133500</v>
          </cell>
          <cell r="BL40">
            <v>200900</v>
          </cell>
          <cell r="BM40">
            <v>132300</v>
          </cell>
          <cell r="BN40">
            <v>199200</v>
          </cell>
          <cell r="BO40">
            <v>102500</v>
          </cell>
          <cell r="BP40">
            <v>170400</v>
          </cell>
          <cell r="BQ40">
            <v>84500</v>
          </cell>
          <cell r="BR40">
            <v>139000</v>
          </cell>
          <cell r="BS40">
            <v>139000</v>
          </cell>
          <cell r="BU40" t="str">
            <v>mstag:otherLiabilitiesOperating</v>
          </cell>
          <cell r="BV40">
            <v>3</v>
          </cell>
          <cell r="BW40" t="str">
            <v>ISO4217:USD</v>
          </cell>
          <cell r="BX40" t="b">
            <v>0</v>
          </cell>
          <cell r="BY40" t="b">
            <v>0</v>
          </cell>
        </row>
        <row r="41">
          <cell r="A41" t="str">
            <v xml:space="preserve">  Other</v>
          </cell>
          <cell r="F41">
            <v>14405</v>
          </cell>
          <cell r="G41">
            <v>15564</v>
          </cell>
          <cell r="H41">
            <v>40543</v>
          </cell>
          <cell r="I41">
            <v>187602</v>
          </cell>
          <cell r="J41">
            <v>189000</v>
          </cell>
          <cell r="K41">
            <v>186100</v>
          </cell>
          <cell r="L41">
            <v>169400</v>
          </cell>
          <cell r="M41">
            <v>258700</v>
          </cell>
          <cell r="N41">
            <v>399200</v>
          </cell>
          <cell r="O41">
            <v>471700</v>
          </cell>
          <cell r="P41">
            <v>513500</v>
          </cell>
          <cell r="Q41">
            <v>509800</v>
          </cell>
          <cell r="R41">
            <v>485500</v>
          </cell>
          <cell r="S41">
            <v>485500</v>
          </cell>
          <cell r="T41">
            <v>485500</v>
          </cell>
          <cell r="U41">
            <v>485500</v>
          </cell>
          <cell r="V41">
            <v>485500</v>
          </cell>
          <cell r="AA41">
            <v>15564</v>
          </cell>
          <cell r="AB41">
            <v>29527</v>
          </cell>
          <cell r="AC41">
            <v>39528</v>
          </cell>
          <cell r="AD41">
            <v>40198</v>
          </cell>
          <cell r="AE41">
            <v>40543</v>
          </cell>
          <cell r="AF41">
            <v>40215</v>
          </cell>
          <cell r="AG41">
            <v>38355</v>
          </cell>
          <cell r="AH41">
            <v>171300</v>
          </cell>
          <cell r="AI41">
            <v>187602</v>
          </cell>
          <cell r="AJ41">
            <v>196300</v>
          </cell>
          <cell r="AK41">
            <v>189800</v>
          </cell>
          <cell r="AL41">
            <v>210300</v>
          </cell>
          <cell r="AM41">
            <v>189000</v>
          </cell>
          <cell r="AN41">
            <v>175400</v>
          </cell>
          <cell r="AO41">
            <v>173200</v>
          </cell>
          <cell r="AP41">
            <v>203100</v>
          </cell>
          <cell r="AQ41">
            <v>186100</v>
          </cell>
          <cell r="AR41">
            <v>156300</v>
          </cell>
          <cell r="AS41">
            <v>159100</v>
          </cell>
          <cell r="AT41">
            <v>169600</v>
          </cell>
          <cell r="AU41">
            <v>169400</v>
          </cell>
          <cell r="AV41">
            <v>161600</v>
          </cell>
          <cell r="AW41">
            <v>180100</v>
          </cell>
          <cell r="AX41">
            <v>297300</v>
          </cell>
          <cell r="AY41">
            <v>258700</v>
          </cell>
          <cell r="AZ41">
            <v>244400</v>
          </cell>
          <cell r="BA41">
            <v>236600</v>
          </cell>
          <cell r="BB41">
            <v>251900</v>
          </cell>
          <cell r="BC41">
            <v>399200</v>
          </cell>
          <cell r="BD41">
            <v>352800</v>
          </cell>
          <cell r="BE41">
            <v>410400</v>
          </cell>
          <cell r="BF41">
            <v>391900</v>
          </cell>
          <cell r="BG41">
            <v>471700</v>
          </cell>
          <cell r="BH41">
            <v>406600</v>
          </cell>
          <cell r="BI41">
            <v>437700</v>
          </cell>
          <cell r="BJ41">
            <v>449600</v>
          </cell>
          <cell r="BK41">
            <v>513500</v>
          </cell>
          <cell r="BL41">
            <v>471100</v>
          </cell>
          <cell r="BM41">
            <v>503200</v>
          </cell>
          <cell r="BN41">
            <v>441400</v>
          </cell>
          <cell r="BO41">
            <v>509800</v>
          </cell>
          <cell r="BP41">
            <v>462600</v>
          </cell>
          <cell r="BQ41">
            <v>452900</v>
          </cell>
          <cell r="BR41">
            <v>485500</v>
          </cell>
          <cell r="BS41">
            <v>485500</v>
          </cell>
          <cell r="BU41" t="str">
            <v>mstag:otherLiabilitiesOperating</v>
          </cell>
          <cell r="BV41">
            <v>3</v>
          </cell>
          <cell r="BW41" t="str">
            <v>ISO4217:USD</v>
          </cell>
          <cell r="BX41" t="b">
            <v>0</v>
          </cell>
          <cell r="BY41" t="b">
            <v>0</v>
          </cell>
        </row>
        <row r="42">
          <cell r="A42" t="str">
            <v xml:space="preserve">  Adv billings/customer deposits</v>
          </cell>
          <cell r="F42">
            <v>16958</v>
          </cell>
          <cell r="G42">
            <v>15700</v>
          </cell>
          <cell r="H42">
            <v>14892</v>
          </cell>
          <cell r="I42">
            <v>115215</v>
          </cell>
          <cell r="J42">
            <v>91400</v>
          </cell>
          <cell r="K42">
            <v>94000</v>
          </cell>
          <cell r="L42">
            <v>95200</v>
          </cell>
          <cell r="M42">
            <v>145800</v>
          </cell>
          <cell r="N42">
            <v>243900</v>
          </cell>
          <cell r="O42">
            <v>219600</v>
          </cell>
          <cell r="P42">
            <v>223500</v>
          </cell>
          <cell r="Q42">
            <v>214700</v>
          </cell>
          <cell r="R42">
            <v>209897.07977950253</v>
          </cell>
          <cell r="S42">
            <v>211116.71138876423</v>
          </cell>
          <cell r="T42">
            <v>208831.95071973183</v>
          </cell>
          <cell r="U42">
            <v>207681.94995894472</v>
          </cell>
          <cell r="V42">
            <v>207160.9298284234</v>
          </cell>
          <cell r="AA42">
            <v>15700</v>
          </cell>
          <cell r="AB42">
            <v>15551</v>
          </cell>
          <cell r="AC42">
            <v>15308</v>
          </cell>
          <cell r="AD42">
            <v>15129</v>
          </cell>
          <cell r="AE42">
            <v>14892</v>
          </cell>
          <cell r="AF42">
            <v>15445</v>
          </cell>
          <cell r="AG42">
            <v>15059</v>
          </cell>
          <cell r="AH42">
            <v>64979</v>
          </cell>
          <cell r="AI42">
            <v>115215</v>
          </cell>
          <cell r="AJ42">
            <v>92300</v>
          </cell>
          <cell r="AK42">
            <v>90800</v>
          </cell>
          <cell r="AL42">
            <v>94100</v>
          </cell>
          <cell r="AM42">
            <v>91400</v>
          </cell>
          <cell r="AN42">
            <v>97000</v>
          </cell>
          <cell r="AO42">
            <v>100700</v>
          </cell>
          <cell r="AP42">
            <v>94300</v>
          </cell>
          <cell r="AQ42">
            <v>94000</v>
          </cell>
          <cell r="AR42">
            <v>93000</v>
          </cell>
          <cell r="AS42">
            <v>92200</v>
          </cell>
          <cell r="AT42">
            <v>92000</v>
          </cell>
          <cell r="AU42">
            <v>95200</v>
          </cell>
          <cell r="AV42">
            <v>110500</v>
          </cell>
          <cell r="AW42">
            <v>122100</v>
          </cell>
          <cell r="AX42">
            <v>121100</v>
          </cell>
          <cell r="AY42">
            <v>145800</v>
          </cell>
          <cell r="AZ42">
            <v>150300</v>
          </cell>
          <cell r="BA42">
            <v>146200</v>
          </cell>
          <cell r="BB42">
            <v>142400</v>
          </cell>
          <cell r="BC42">
            <v>243900</v>
          </cell>
          <cell r="BD42">
            <v>217200</v>
          </cell>
          <cell r="BE42">
            <v>225700</v>
          </cell>
          <cell r="BF42">
            <v>224800</v>
          </cell>
          <cell r="BG42">
            <v>219600</v>
          </cell>
          <cell r="BH42">
            <v>223200</v>
          </cell>
          <cell r="BI42">
            <v>226000</v>
          </cell>
          <cell r="BJ42">
            <v>223600</v>
          </cell>
          <cell r="BK42">
            <v>223500</v>
          </cell>
          <cell r="BL42">
            <v>222000</v>
          </cell>
          <cell r="BM42">
            <v>220900</v>
          </cell>
          <cell r="BN42">
            <v>216700</v>
          </cell>
          <cell r="BO42">
            <v>214700</v>
          </cell>
          <cell r="BP42">
            <v>214500</v>
          </cell>
          <cell r="BQ42">
            <v>211100</v>
          </cell>
          <cell r="BR42">
            <v>207400</v>
          </cell>
          <cell r="BS42">
            <v>209897.07977950253</v>
          </cell>
          <cell r="BU42" t="str">
            <v>mstag:customerAdvancesOrDeposits</v>
          </cell>
          <cell r="BV42">
            <v>3</v>
          </cell>
          <cell r="BW42" t="str">
            <v>ISO4217:USD</v>
          </cell>
          <cell r="BX42" t="b">
            <v>0</v>
          </cell>
          <cell r="BY42" t="b">
            <v>0</v>
          </cell>
        </row>
        <row r="43">
          <cell r="A43" t="str">
            <v>Total current liabilities</v>
          </cell>
          <cell r="F43">
            <v>119371</v>
          </cell>
          <cell r="G43">
            <v>74916</v>
          </cell>
          <cell r="H43">
            <v>100259</v>
          </cell>
          <cell r="I43">
            <v>684581</v>
          </cell>
          <cell r="J43">
            <v>658800</v>
          </cell>
          <cell r="K43">
            <v>665300</v>
          </cell>
          <cell r="L43">
            <v>709300</v>
          </cell>
          <cell r="M43">
            <v>985500</v>
          </cell>
          <cell r="N43">
            <v>1463000</v>
          </cell>
          <cell r="O43">
            <v>2167900</v>
          </cell>
          <cell r="P43">
            <v>1445600</v>
          </cell>
          <cell r="Q43">
            <v>2043000</v>
          </cell>
          <cell r="R43">
            <v>1353780.1733559645</v>
          </cell>
          <cell r="S43">
            <v>1338390.8373782991</v>
          </cell>
          <cell r="T43">
            <v>1371989.3390662703</v>
          </cell>
          <cell r="U43">
            <v>1403802.6570961005</v>
          </cell>
          <cell r="V43">
            <v>1436821.9992318044</v>
          </cell>
          <cell r="AA43">
            <v>74916</v>
          </cell>
          <cell r="AB43">
            <v>79293</v>
          </cell>
          <cell r="AC43">
            <v>93940</v>
          </cell>
          <cell r="AD43">
            <v>96369</v>
          </cell>
          <cell r="AE43">
            <v>100259</v>
          </cell>
          <cell r="AF43">
            <v>89027</v>
          </cell>
          <cell r="AG43">
            <v>96595</v>
          </cell>
          <cell r="AH43">
            <v>652409</v>
          </cell>
          <cell r="AI43">
            <v>684581</v>
          </cell>
          <cell r="AJ43">
            <v>632800</v>
          </cell>
          <cell r="AK43">
            <v>681900</v>
          </cell>
          <cell r="AL43">
            <v>664600</v>
          </cell>
          <cell r="AM43">
            <v>658800</v>
          </cell>
          <cell r="AN43">
            <v>615100</v>
          </cell>
          <cell r="AO43">
            <v>639500</v>
          </cell>
          <cell r="AP43">
            <v>611300</v>
          </cell>
          <cell r="AQ43">
            <v>665300</v>
          </cell>
          <cell r="AR43">
            <v>571000</v>
          </cell>
          <cell r="AS43">
            <v>627000</v>
          </cell>
          <cell r="AT43">
            <v>572100</v>
          </cell>
          <cell r="AU43">
            <v>709300</v>
          </cell>
          <cell r="AV43">
            <v>721400</v>
          </cell>
          <cell r="AW43">
            <v>786600</v>
          </cell>
          <cell r="AX43">
            <v>864600</v>
          </cell>
          <cell r="AY43">
            <v>985500</v>
          </cell>
          <cell r="AZ43">
            <v>923400</v>
          </cell>
          <cell r="BA43">
            <v>950900</v>
          </cell>
          <cell r="BB43">
            <v>875600</v>
          </cell>
          <cell r="BC43">
            <v>1463000</v>
          </cell>
          <cell r="BD43">
            <v>1280100</v>
          </cell>
          <cell r="BE43">
            <v>1301700</v>
          </cell>
          <cell r="BF43">
            <v>2442400</v>
          </cell>
          <cell r="BG43">
            <v>2167900</v>
          </cell>
          <cell r="BH43">
            <v>2104900</v>
          </cell>
          <cell r="BI43">
            <v>1332400</v>
          </cell>
          <cell r="BJ43">
            <v>1435700</v>
          </cell>
          <cell r="BK43">
            <v>1445600</v>
          </cell>
          <cell r="BL43">
            <v>1427600</v>
          </cell>
          <cell r="BM43">
            <v>1405300</v>
          </cell>
          <cell r="BN43">
            <v>1403900</v>
          </cell>
          <cell r="BO43">
            <v>2043000</v>
          </cell>
          <cell r="BP43">
            <v>1356300</v>
          </cell>
          <cell r="BQ43">
            <v>1217100</v>
          </cell>
          <cell r="BR43">
            <v>1297700</v>
          </cell>
          <cell r="BS43">
            <v>1353780.1733559645</v>
          </cell>
        </row>
        <row r="45">
          <cell r="A45" t="str">
            <v>Long-term debt</v>
          </cell>
          <cell r="F45">
            <v>1426655</v>
          </cell>
          <cell r="G45">
            <v>1599177</v>
          </cell>
          <cell r="H45">
            <v>1180555</v>
          </cell>
          <cell r="I45">
            <v>5456172</v>
          </cell>
          <cell r="J45">
            <v>5331200</v>
          </cell>
          <cell r="K45">
            <v>5358200</v>
          </cell>
          <cell r="L45">
            <v>6271400</v>
          </cell>
          <cell r="M45">
            <v>7186600</v>
          </cell>
          <cell r="N45">
            <v>8936700</v>
          </cell>
          <cell r="O45">
            <v>8099800</v>
          </cell>
          <cell r="P45">
            <v>8622200</v>
          </cell>
          <cell r="Q45">
            <v>7846500</v>
          </cell>
          <cell r="R45">
            <v>5693400</v>
          </cell>
          <cell r="S45">
            <v>4801400</v>
          </cell>
          <cell r="T45">
            <v>4601400</v>
          </cell>
          <cell r="U45">
            <v>4421400</v>
          </cell>
          <cell r="V45">
            <v>4155200</v>
          </cell>
          <cell r="AA45">
            <v>1599177</v>
          </cell>
          <cell r="AB45">
            <v>1200590</v>
          </cell>
          <cell r="AC45">
            <v>1190556</v>
          </cell>
          <cell r="AD45">
            <v>1180555</v>
          </cell>
          <cell r="AE45">
            <v>1180555</v>
          </cell>
          <cell r="AF45">
            <v>1180555</v>
          </cell>
          <cell r="AG45">
            <v>1180555</v>
          </cell>
          <cell r="AH45">
            <v>5477428</v>
          </cell>
          <cell r="AI45">
            <v>5456172</v>
          </cell>
          <cell r="AJ45">
            <v>5449100</v>
          </cell>
          <cell r="AK45">
            <v>5439500</v>
          </cell>
          <cell r="AL45">
            <v>5633700</v>
          </cell>
          <cell r="AM45">
            <v>5331200</v>
          </cell>
          <cell r="AN45">
            <v>5342900</v>
          </cell>
          <cell r="AO45">
            <v>5344700</v>
          </cell>
          <cell r="AP45">
            <v>5371400</v>
          </cell>
          <cell r="AQ45">
            <v>5358200</v>
          </cell>
          <cell r="AR45">
            <v>5355100</v>
          </cell>
          <cell r="AS45">
            <v>5202000</v>
          </cell>
          <cell r="AT45">
            <v>5199000</v>
          </cell>
          <cell r="AU45">
            <v>6271400</v>
          </cell>
          <cell r="AV45">
            <v>6266700</v>
          </cell>
          <cell r="AW45">
            <v>6564000</v>
          </cell>
          <cell r="AX45">
            <v>6555800</v>
          </cell>
          <cell r="AY45">
            <v>7186600</v>
          </cell>
          <cell r="AZ45">
            <v>7285300</v>
          </cell>
          <cell r="BA45">
            <v>7224500</v>
          </cell>
          <cell r="BB45">
            <v>7296600</v>
          </cell>
          <cell r="BC45">
            <v>8936700</v>
          </cell>
          <cell r="BD45">
            <v>8788000</v>
          </cell>
          <cell r="BE45">
            <v>8794300</v>
          </cell>
          <cell r="BF45">
            <v>7848300</v>
          </cell>
          <cell r="BG45">
            <v>8099800</v>
          </cell>
          <cell r="BH45">
            <v>8108700</v>
          </cell>
          <cell r="BI45">
            <v>8867900</v>
          </cell>
          <cell r="BJ45">
            <v>8760800</v>
          </cell>
          <cell r="BK45">
            <v>8622200</v>
          </cell>
          <cell r="BL45">
            <v>8617600</v>
          </cell>
          <cell r="BM45">
            <v>8593100</v>
          </cell>
          <cell r="BN45">
            <v>8568600</v>
          </cell>
          <cell r="BO45">
            <v>7846500</v>
          </cell>
          <cell r="BP45">
            <v>8728100</v>
          </cell>
          <cell r="BQ45">
            <v>5637900</v>
          </cell>
          <cell r="BR45">
            <v>5693400</v>
          </cell>
          <cell r="BS45">
            <v>5693400</v>
          </cell>
          <cell r="BU45" t="str">
            <v>mstag:longTermDebt</v>
          </cell>
          <cell r="BV45">
            <v>3</v>
          </cell>
          <cell r="BW45" t="str">
            <v>ISO4217:USD</v>
          </cell>
          <cell r="BX45" t="b">
            <v>0</v>
          </cell>
          <cell r="BY45" t="b">
            <v>0</v>
          </cell>
        </row>
        <row r="46">
          <cell r="A46" t="str">
            <v>Deferred income taxes</v>
          </cell>
          <cell r="F46">
            <v>0</v>
          </cell>
          <cell r="G46">
            <v>0</v>
          </cell>
          <cell r="H46">
            <v>0</v>
          </cell>
          <cell r="I46">
            <v>990816</v>
          </cell>
          <cell r="J46">
            <v>1136600</v>
          </cell>
          <cell r="K46">
            <v>1070600</v>
          </cell>
          <cell r="L46">
            <v>1372000</v>
          </cell>
          <cell r="M46">
            <v>1767600</v>
          </cell>
          <cell r="N46">
            <v>1849800</v>
          </cell>
          <cell r="O46">
            <v>1896800</v>
          </cell>
          <cell r="P46">
            <v>2038300</v>
          </cell>
          <cell r="Q46">
            <v>1878600</v>
          </cell>
          <cell r="R46">
            <v>305485.26725000003</v>
          </cell>
          <cell r="S46">
            <v>332572.71961750009</v>
          </cell>
          <cell r="T46">
            <v>345597.45104455011</v>
          </cell>
          <cell r="U46">
            <v>345081.62351856194</v>
          </cell>
          <cell r="V46">
            <v>345081.62351856194</v>
          </cell>
          <cell r="AA46">
            <v>0</v>
          </cell>
          <cell r="AB46">
            <v>0</v>
          </cell>
          <cell r="AC46">
            <v>0</v>
          </cell>
          <cell r="AD46">
            <v>0</v>
          </cell>
          <cell r="AE46">
            <v>0</v>
          </cell>
          <cell r="AF46">
            <v>0</v>
          </cell>
          <cell r="AG46">
            <v>0</v>
          </cell>
          <cell r="AH46">
            <v>1063860</v>
          </cell>
          <cell r="AI46">
            <v>990816</v>
          </cell>
          <cell r="AJ46">
            <v>987500</v>
          </cell>
          <cell r="AK46">
            <v>1002200</v>
          </cell>
          <cell r="AL46">
            <v>1077700</v>
          </cell>
          <cell r="AM46">
            <v>1136600</v>
          </cell>
          <cell r="AN46">
            <v>1131000</v>
          </cell>
          <cell r="AO46">
            <v>1177600</v>
          </cell>
          <cell r="AP46">
            <v>1210600</v>
          </cell>
          <cell r="AQ46">
            <v>1070600</v>
          </cell>
          <cell r="AR46">
            <v>1105300</v>
          </cell>
          <cell r="AS46">
            <v>1111400</v>
          </cell>
          <cell r="AT46">
            <v>1177700</v>
          </cell>
          <cell r="AU46">
            <v>1372000</v>
          </cell>
          <cell r="AV46">
            <v>1412500</v>
          </cell>
          <cell r="AW46">
            <v>1541300</v>
          </cell>
          <cell r="AX46">
            <v>1563900</v>
          </cell>
          <cell r="AY46">
            <v>1767600</v>
          </cell>
          <cell r="AZ46">
            <v>1819800</v>
          </cell>
          <cell r="BA46">
            <v>1864700</v>
          </cell>
          <cell r="BB46">
            <v>2003600</v>
          </cell>
          <cell r="BC46">
            <v>1849800</v>
          </cell>
          <cell r="BD46">
            <v>1841600</v>
          </cell>
          <cell r="BE46">
            <v>1853500</v>
          </cell>
          <cell r="BF46">
            <v>1835700</v>
          </cell>
          <cell r="BG46">
            <v>1896800</v>
          </cell>
          <cell r="BH46">
            <v>1815200</v>
          </cell>
          <cell r="BI46">
            <v>1827000</v>
          </cell>
          <cell r="BJ46">
            <v>1810400</v>
          </cell>
          <cell r="BK46">
            <v>2038300</v>
          </cell>
          <cell r="BL46">
            <v>1968000</v>
          </cell>
          <cell r="BM46">
            <v>1897900</v>
          </cell>
          <cell r="BN46">
            <v>1872500</v>
          </cell>
          <cell r="BO46">
            <v>1878600</v>
          </cell>
          <cell r="BP46">
            <v>1828800</v>
          </cell>
          <cell r="BQ46">
            <v>382500</v>
          </cell>
          <cell r="BR46">
            <v>322800</v>
          </cell>
          <cell r="BS46">
            <v>305485.26725000003</v>
          </cell>
          <cell r="BU46" t="str">
            <v>mstag:deferredTaxLiabilitiesNonCurrent</v>
          </cell>
          <cell r="BV46">
            <v>3</v>
          </cell>
          <cell r="BW46" t="str">
            <v>ISO4217:USD</v>
          </cell>
          <cell r="BX46" t="b">
            <v>0</v>
          </cell>
          <cell r="BY46" t="b">
            <v>0</v>
          </cell>
        </row>
        <row r="47">
          <cell r="A47" t="str">
            <v>Other liabilities</v>
          </cell>
          <cell r="F47">
            <v>48072</v>
          </cell>
          <cell r="G47">
            <v>38698</v>
          </cell>
          <cell r="H47">
            <v>110199</v>
          </cell>
          <cell r="I47">
            <v>429317</v>
          </cell>
          <cell r="J47">
            <v>414800</v>
          </cell>
          <cell r="K47">
            <v>662900</v>
          </cell>
          <cell r="L47">
            <v>532000</v>
          </cell>
          <cell r="M47">
            <v>583400</v>
          </cell>
          <cell r="N47">
            <v>647300</v>
          </cell>
          <cell r="O47">
            <v>712700</v>
          </cell>
          <cell r="P47">
            <v>498300</v>
          </cell>
          <cell r="Q47">
            <v>551800</v>
          </cell>
          <cell r="R47">
            <v>527123.48274999997</v>
          </cell>
          <cell r="S47">
            <v>502471.03038249991</v>
          </cell>
          <cell r="T47">
            <v>491881.29895544983</v>
          </cell>
          <cell r="U47">
            <v>494832.12648143794</v>
          </cell>
          <cell r="V47">
            <v>558432.12648143794</v>
          </cell>
          <cell r="AA47">
            <v>38698</v>
          </cell>
          <cell r="AB47">
            <v>113476</v>
          </cell>
          <cell r="AC47">
            <v>125252</v>
          </cell>
          <cell r="AD47">
            <v>99245</v>
          </cell>
          <cell r="AE47">
            <v>110199</v>
          </cell>
          <cell r="AF47">
            <v>121638</v>
          </cell>
          <cell r="AG47">
            <v>132667</v>
          </cell>
          <cell r="AH47">
            <v>365165</v>
          </cell>
          <cell r="AI47">
            <v>429317</v>
          </cell>
          <cell r="AJ47">
            <v>431700</v>
          </cell>
          <cell r="AK47">
            <v>409300</v>
          </cell>
          <cell r="AL47">
            <v>460600</v>
          </cell>
          <cell r="AM47">
            <v>414800</v>
          </cell>
          <cell r="AN47">
            <v>458900</v>
          </cell>
          <cell r="AO47">
            <v>376400</v>
          </cell>
          <cell r="AP47">
            <v>326300</v>
          </cell>
          <cell r="AQ47">
            <v>662900</v>
          </cell>
          <cell r="AR47">
            <v>650400</v>
          </cell>
          <cell r="AS47">
            <v>622700</v>
          </cell>
          <cell r="AT47">
            <v>629500</v>
          </cell>
          <cell r="AU47">
            <v>532000</v>
          </cell>
          <cell r="AV47">
            <v>523900</v>
          </cell>
          <cell r="AW47">
            <v>553500</v>
          </cell>
          <cell r="AX47">
            <v>532500</v>
          </cell>
          <cell r="AY47">
            <v>583400</v>
          </cell>
          <cell r="AZ47">
            <v>509500</v>
          </cell>
          <cell r="BA47">
            <v>488700</v>
          </cell>
          <cell r="BB47">
            <v>420700</v>
          </cell>
          <cell r="BC47">
            <v>647300</v>
          </cell>
          <cell r="BD47">
            <v>630600</v>
          </cell>
          <cell r="BE47">
            <v>640300</v>
          </cell>
          <cell r="BF47">
            <v>657400</v>
          </cell>
          <cell r="BG47">
            <v>712700</v>
          </cell>
          <cell r="BH47">
            <v>670800</v>
          </cell>
          <cell r="BI47">
            <v>665500</v>
          </cell>
          <cell r="BJ47">
            <v>625000</v>
          </cell>
          <cell r="BK47">
            <v>498300</v>
          </cell>
          <cell r="BL47">
            <v>503900</v>
          </cell>
          <cell r="BM47">
            <v>499200</v>
          </cell>
          <cell r="BN47">
            <v>527700</v>
          </cell>
          <cell r="BO47">
            <v>551800</v>
          </cell>
          <cell r="BP47">
            <v>610900</v>
          </cell>
          <cell r="BQ47">
            <v>486500</v>
          </cell>
          <cell r="BR47">
            <v>508600</v>
          </cell>
          <cell r="BS47">
            <v>527123.48274999997</v>
          </cell>
          <cell r="BU47" t="str">
            <v>mstag:otherLiabilitiesOperating</v>
          </cell>
          <cell r="BV47">
            <v>3</v>
          </cell>
          <cell r="BW47" t="str">
            <v>ISO4217:USD</v>
          </cell>
          <cell r="BX47" t="b">
            <v>0</v>
          </cell>
          <cell r="BY47" t="b">
            <v>0</v>
          </cell>
        </row>
        <row r="48">
          <cell r="A48" t="str">
            <v>Redeemable preferred interests</v>
          </cell>
          <cell r="F48">
            <v>370231</v>
          </cell>
          <cell r="G48">
            <v>236129</v>
          </cell>
          <cell r="H48">
            <v>0</v>
          </cell>
          <cell r="I48">
            <v>0</v>
          </cell>
          <cell r="J48">
            <v>0</v>
          </cell>
          <cell r="K48">
            <v>0</v>
          </cell>
          <cell r="L48">
            <v>0</v>
          </cell>
          <cell r="M48">
            <v>0</v>
          </cell>
          <cell r="N48">
            <v>0</v>
          </cell>
          <cell r="O48">
            <v>0</v>
          </cell>
          <cell r="T48">
            <v>0</v>
          </cell>
          <cell r="U48">
            <v>0</v>
          </cell>
          <cell r="V48">
            <v>0</v>
          </cell>
          <cell r="AA48">
            <v>236129</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BU48" t="str">
            <v>mstag:otherLiabilitiesNonOperating</v>
          </cell>
          <cell r="BV48">
            <v>3</v>
          </cell>
          <cell r="BW48" t="str">
            <v>ISO4217:USD</v>
          </cell>
          <cell r="BX48" t="b">
            <v>0</v>
          </cell>
          <cell r="BY48" t="b">
            <v>0</v>
          </cell>
        </row>
        <row r="49">
          <cell r="A49" t="str">
            <v>Long-term Lease</v>
          </cell>
          <cell r="F49">
            <v>24475</v>
          </cell>
          <cell r="G49">
            <v>15776</v>
          </cell>
          <cell r="H49">
            <v>0</v>
          </cell>
          <cell r="I49">
            <v>0</v>
          </cell>
          <cell r="J49">
            <v>0</v>
          </cell>
          <cell r="K49">
            <v>0</v>
          </cell>
          <cell r="L49">
            <v>0</v>
          </cell>
          <cell r="M49">
            <v>0</v>
          </cell>
          <cell r="N49">
            <v>0</v>
          </cell>
          <cell r="O49">
            <v>0</v>
          </cell>
          <cell r="Q49">
            <v>81000</v>
          </cell>
          <cell r="R49">
            <v>5007600</v>
          </cell>
          <cell r="S49">
            <v>5007600</v>
          </cell>
          <cell r="T49">
            <v>5007600</v>
          </cell>
          <cell r="U49">
            <v>5007600</v>
          </cell>
          <cell r="V49">
            <v>5007600</v>
          </cell>
          <cell r="AA49">
            <v>15776</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BO49">
            <v>81000</v>
          </cell>
          <cell r="BQ49">
            <v>5045400</v>
          </cell>
          <cell r="BR49">
            <v>5007600</v>
          </cell>
          <cell r="BS49">
            <v>5007600</v>
          </cell>
          <cell r="BU49" t="str">
            <v>mstag:otherLiabilitiesNonOperating</v>
          </cell>
          <cell r="BV49">
            <v>3</v>
          </cell>
          <cell r="BW49" t="str">
            <v>ISO4217:USD</v>
          </cell>
          <cell r="BX49" t="b">
            <v>0</v>
          </cell>
          <cell r="BY49" t="b">
            <v>0</v>
          </cell>
        </row>
        <row r="50">
          <cell r="A50" t="str">
            <v>Total liabilities</v>
          </cell>
          <cell r="F50">
            <v>1988804</v>
          </cell>
          <cell r="G50">
            <v>1964696</v>
          </cell>
          <cell r="H50">
            <v>1391013</v>
          </cell>
          <cell r="I50">
            <v>7560886</v>
          </cell>
          <cell r="J50">
            <v>7541400</v>
          </cell>
          <cell r="K50">
            <v>7757000</v>
          </cell>
          <cell r="L50">
            <v>8884700</v>
          </cell>
          <cell r="M50">
            <v>10523100</v>
          </cell>
          <cell r="N50">
            <v>12896800</v>
          </cell>
          <cell r="O50">
            <v>12877200</v>
          </cell>
          <cell r="P50">
            <v>12604400</v>
          </cell>
          <cell r="Q50">
            <v>12400900</v>
          </cell>
          <cell r="R50">
            <v>12887388.923355965</v>
          </cell>
          <cell r="S50">
            <v>11982434.587378299</v>
          </cell>
          <cell r="T50">
            <v>11818468.089066271</v>
          </cell>
          <cell r="U50">
            <v>11672716.407096101</v>
          </cell>
          <cell r="V50">
            <v>11503135.749231804</v>
          </cell>
          <cell r="AA50">
            <v>1964696</v>
          </cell>
          <cell r="AB50">
            <v>1393359</v>
          </cell>
          <cell r="AC50">
            <v>1409748</v>
          </cell>
          <cell r="AD50">
            <v>1376169</v>
          </cell>
          <cell r="AE50">
            <v>1391013</v>
          </cell>
          <cell r="AF50">
            <v>1391220</v>
          </cell>
          <cell r="AG50">
            <v>1409817</v>
          </cell>
          <cell r="AH50">
            <v>7558862</v>
          </cell>
          <cell r="AI50">
            <v>7560886</v>
          </cell>
          <cell r="AJ50">
            <v>7501100</v>
          </cell>
          <cell r="AK50">
            <v>7532900</v>
          </cell>
          <cell r="AL50">
            <v>7836600</v>
          </cell>
          <cell r="AM50">
            <v>7541400</v>
          </cell>
          <cell r="AN50">
            <v>7547900</v>
          </cell>
          <cell r="AO50">
            <v>7538200</v>
          </cell>
          <cell r="AP50">
            <v>7519600</v>
          </cell>
          <cell r="AQ50">
            <v>7757000</v>
          </cell>
          <cell r="AR50">
            <v>7681800</v>
          </cell>
          <cell r="AS50">
            <v>7563100</v>
          </cell>
          <cell r="AT50">
            <v>7578300</v>
          </cell>
          <cell r="AU50">
            <v>8884700</v>
          </cell>
          <cell r="AV50">
            <v>8924500</v>
          </cell>
          <cell r="AW50">
            <v>9445400</v>
          </cell>
          <cell r="AX50">
            <v>9516800</v>
          </cell>
          <cell r="AY50">
            <v>10523100</v>
          </cell>
          <cell r="AZ50">
            <v>10538000</v>
          </cell>
          <cell r="BA50">
            <v>10528800</v>
          </cell>
          <cell r="BB50">
            <v>10596500</v>
          </cell>
          <cell r="BC50">
            <v>12896800</v>
          </cell>
          <cell r="BD50">
            <v>12540300</v>
          </cell>
          <cell r="BE50">
            <v>12589800</v>
          </cell>
          <cell r="BF50">
            <v>12783800</v>
          </cell>
          <cell r="BG50">
            <v>12877200</v>
          </cell>
          <cell r="BH50">
            <v>12699600</v>
          </cell>
          <cell r="BI50">
            <v>12692800</v>
          </cell>
          <cell r="BJ50">
            <v>12631900</v>
          </cell>
          <cell r="BK50">
            <v>12604400</v>
          </cell>
          <cell r="BL50">
            <v>12517100</v>
          </cell>
          <cell r="BM50">
            <v>12395500</v>
          </cell>
          <cell r="BN50">
            <v>12372700</v>
          </cell>
          <cell r="BO50">
            <v>12400900</v>
          </cell>
          <cell r="BP50">
            <v>12524100</v>
          </cell>
          <cell r="BQ50">
            <v>12769400</v>
          </cell>
          <cell r="BR50">
            <v>12830100</v>
          </cell>
          <cell r="BS50">
            <v>12887388.923355965</v>
          </cell>
        </row>
        <row r="52">
          <cell r="A52" t="str">
            <v>Minority interests</v>
          </cell>
          <cell r="F52">
            <v>377</v>
          </cell>
          <cell r="G52" t="str">
            <v/>
          </cell>
          <cell r="H52">
            <v>0</v>
          </cell>
          <cell r="I52">
            <v>0</v>
          </cell>
          <cell r="J52">
            <v>0</v>
          </cell>
          <cell r="AA52" t="str">
            <v/>
          </cell>
          <cell r="AB52" t="str">
            <v/>
          </cell>
          <cell r="AC52" t="str">
            <v/>
          </cell>
          <cell r="AD52" t="str">
            <v/>
          </cell>
          <cell r="BU52" t="str">
            <v>mstag:minorityInterestsInShareholdersEquity</v>
          </cell>
          <cell r="BV52">
            <v>3</v>
          </cell>
          <cell r="BW52" t="str">
            <v>ISO4217:USD</v>
          </cell>
          <cell r="BX52" t="b">
            <v>0</v>
          </cell>
          <cell r="BY52" t="b">
            <v>0</v>
          </cell>
        </row>
        <row r="53">
          <cell r="A53" t="str">
            <v/>
          </cell>
        </row>
        <row r="54">
          <cell r="A54" t="str">
            <v>Common owners equity</v>
          </cell>
          <cell r="F54" t="str">
            <v/>
          </cell>
          <cell r="G54" t="str">
            <v/>
          </cell>
          <cell r="AA54" t="str">
            <v/>
          </cell>
        </row>
        <row r="55">
          <cell r="A55" t="str">
            <v xml:space="preserve">  Class A common interests, no par or stated value</v>
          </cell>
          <cell r="F55">
            <v>64633</v>
          </cell>
          <cell r="G55">
            <v>64633</v>
          </cell>
          <cell r="H55">
            <v>0</v>
          </cell>
          <cell r="I55">
            <v>0</v>
          </cell>
          <cell r="J55">
            <v>0</v>
          </cell>
          <cell r="K55">
            <v>0</v>
          </cell>
          <cell r="L55">
            <v>0</v>
          </cell>
          <cell r="M55">
            <v>0</v>
          </cell>
          <cell r="N55">
            <v>0</v>
          </cell>
          <cell r="O55">
            <v>0</v>
          </cell>
          <cell r="T55">
            <v>0</v>
          </cell>
          <cell r="U55">
            <v>0</v>
          </cell>
          <cell r="V55">
            <v>0</v>
          </cell>
          <cell r="AA55">
            <v>64633</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BU55" t="str">
            <v>mstag:otherEquityItems</v>
          </cell>
          <cell r="BV55">
            <v>3</v>
          </cell>
          <cell r="BW55" t="str">
            <v>ISO4217:USD</v>
          </cell>
          <cell r="BX55" t="b">
            <v>0</v>
          </cell>
          <cell r="BY55" t="b">
            <v>0</v>
          </cell>
        </row>
        <row r="56">
          <cell r="A56" t="str">
            <v xml:space="preserve">  Class C interests, no par or stated value,</v>
          </cell>
          <cell r="F56">
            <v>46000</v>
          </cell>
          <cell r="G56">
            <v>29542</v>
          </cell>
          <cell r="H56">
            <v>0</v>
          </cell>
          <cell r="I56">
            <v>0</v>
          </cell>
          <cell r="J56">
            <v>0</v>
          </cell>
          <cell r="K56">
            <v>0</v>
          </cell>
          <cell r="L56">
            <v>0</v>
          </cell>
          <cell r="M56">
            <v>0</v>
          </cell>
          <cell r="N56">
            <v>0</v>
          </cell>
          <cell r="O56">
            <v>0</v>
          </cell>
          <cell r="T56">
            <v>0</v>
          </cell>
          <cell r="U56">
            <v>0</v>
          </cell>
          <cell r="V56">
            <v>0</v>
          </cell>
          <cell r="AA56">
            <v>29542</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BU56" t="str">
            <v>mstag:otherEquityItems</v>
          </cell>
          <cell r="BV56">
            <v>3</v>
          </cell>
          <cell r="BW56" t="str">
            <v>ISO4217:USD</v>
          </cell>
          <cell r="BX56" t="b">
            <v>0</v>
          </cell>
          <cell r="BY56" t="b">
            <v>0</v>
          </cell>
        </row>
        <row r="57">
          <cell r="A57" t="str">
            <v xml:space="preserve">  Common stock, $0.0001 par value per share</v>
          </cell>
          <cell r="F57">
            <v>0</v>
          </cell>
          <cell r="G57">
            <v>0</v>
          </cell>
          <cell r="H57">
            <v>7</v>
          </cell>
          <cell r="I57">
            <v>47</v>
          </cell>
          <cell r="J57">
            <v>0</v>
          </cell>
          <cell r="K57">
            <v>0</v>
          </cell>
          <cell r="L57">
            <v>0</v>
          </cell>
          <cell r="M57">
            <v>100</v>
          </cell>
          <cell r="N57">
            <v>100</v>
          </cell>
          <cell r="O57">
            <v>100</v>
          </cell>
          <cell r="P57">
            <v>100</v>
          </cell>
          <cell r="Q57">
            <v>100</v>
          </cell>
          <cell r="R57">
            <v>0</v>
          </cell>
          <cell r="S57">
            <v>0</v>
          </cell>
          <cell r="T57">
            <v>0</v>
          </cell>
          <cell r="U57">
            <v>0</v>
          </cell>
          <cell r="V57">
            <v>0</v>
          </cell>
          <cell r="AA57">
            <v>0</v>
          </cell>
          <cell r="AB57">
            <v>7</v>
          </cell>
          <cell r="AC57">
            <v>7</v>
          </cell>
          <cell r="AD57">
            <v>7</v>
          </cell>
          <cell r="AE57">
            <v>7</v>
          </cell>
          <cell r="AF57">
            <v>7</v>
          </cell>
          <cell r="AG57">
            <v>7</v>
          </cell>
          <cell r="AH57">
            <v>47</v>
          </cell>
          <cell r="AI57">
            <v>47</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100</v>
          </cell>
          <cell r="AY57">
            <v>100</v>
          </cell>
          <cell r="AZ57">
            <v>100</v>
          </cell>
          <cell r="BA57">
            <v>100</v>
          </cell>
          <cell r="BB57">
            <v>100</v>
          </cell>
          <cell r="BC57">
            <v>100</v>
          </cell>
          <cell r="BD57">
            <v>100</v>
          </cell>
          <cell r="BE57">
            <v>100</v>
          </cell>
          <cell r="BF57">
            <v>100</v>
          </cell>
          <cell r="BG57">
            <v>100</v>
          </cell>
          <cell r="BH57">
            <v>100</v>
          </cell>
          <cell r="BI57">
            <v>100</v>
          </cell>
          <cell r="BJ57">
            <v>100</v>
          </cell>
          <cell r="BK57">
            <v>100</v>
          </cell>
          <cell r="BL57">
            <v>100</v>
          </cell>
          <cell r="BM57">
            <v>100</v>
          </cell>
          <cell r="BN57">
            <v>100</v>
          </cell>
          <cell r="BO57">
            <v>100</v>
          </cell>
          <cell r="BP57">
            <v>100</v>
          </cell>
          <cell r="BQ57">
            <v>100</v>
          </cell>
          <cell r="BR57">
            <v>0</v>
          </cell>
          <cell r="BS57">
            <v>0</v>
          </cell>
          <cell r="BU57" t="str">
            <v>mstag:commonStock</v>
          </cell>
          <cell r="BV57">
            <v>3</v>
          </cell>
          <cell r="BW57" t="str">
            <v>ISO4217:USD</v>
          </cell>
          <cell r="BX57" t="b">
            <v>0</v>
          </cell>
          <cell r="BY57" t="b">
            <v>0</v>
          </cell>
        </row>
        <row r="58">
          <cell r="A58" t="str">
            <v xml:space="preserve">  Additional paid-in capital</v>
          </cell>
          <cell r="F58">
            <v>0</v>
          </cell>
          <cell r="G58">
            <v>0</v>
          </cell>
          <cell r="H58">
            <v>918929</v>
          </cell>
          <cell r="I58">
            <v>550480</v>
          </cell>
          <cell r="J58">
            <v>286800</v>
          </cell>
          <cell r="K58">
            <v>101500</v>
          </cell>
          <cell r="L58">
            <v>83600</v>
          </cell>
          <cell r="M58">
            <v>833300</v>
          </cell>
          <cell r="N58">
            <v>1493300</v>
          </cell>
          <cell r="O58">
            <v>1098300</v>
          </cell>
          <cell r="P58">
            <v>811600</v>
          </cell>
          <cell r="Q58">
            <v>212600</v>
          </cell>
          <cell r="R58">
            <v>485600</v>
          </cell>
          <cell r="S58">
            <v>498100</v>
          </cell>
          <cell r="T58">
            <v>545600</v>
          </cell>
          <cell r="U58">
            <v>593100</v>
          </cell>
          <cell r="V58">
            <v>640600</v>
          </cell>
          <cell r="AA58">
            <v>0</v>
          </cell>
          <cell r="AB58">
            <v>941968</v>
          </cell>
          <cell r="AC58">
            <v>916886</v>
          </cell>
          <cell r="AD58">
            <v>921891</v>
          </cell>
          <cell r="AE58">
            <v>918929</v>
          </cell>
          <cell r="AF58">
            <v>892710</v>
          </cell>
          <cell r="AG58">
            <v>884869</v>
          </cell>
          <cell r="AH58">
            <v>556842</v>
          </cell>
          <cell r="AI58">
            <v>550480</v>
          </cell>
          <cell r="AJ58">
            <v>558200</v>
          </cell>
          <cell r="AK58">
            <v>562700</v>
          </cell>
          <cell r="AL58">
            <v>565500</v>
          </cell>
          <cell r="AM58">
            <v>286800</v>
          </cell>
          <cell r="AN58">
            <v>190200</v>
          </cell>
          <cell r="AO58">
            <v>94500</v>
          </cell>
          <cell r="AP58">
            <v>96600</v>
          </cell>
          <cell r="AQ58">
            <v>101500</v>
          </cell>
          <cell r="AR58">
            <v>83600</v>
          </cell>
          <cell r="AS58">
            <v>77400</v>
          </cell>
          <cell r="AT58">
            <v>63600</v>
          </cell>
          <cell r="AU58">
            <v>83600</v>
          </cell>
          <cell r="AV58">
            <v>268100</v>
          </cell>
          <cell r="AW58">
            <v>550900</v>
          </cell>
          <cell r="AX58">
            <v>556100</v>
          </cell>
          <cell r="AY58">
            <v>833300</v>
          </cell>
          <cell r="AZ58">
            <v>894200</v>
          </cell>
          <cell r="BA58">
            <v>900600</v>
          </cell>
          <cell r="BB58">
            <v>982000</v>
          </cell>
          <cell r="BC58">
            <v>1493300</v>
          </cell>
          <cell r="BD58">
            <v>1419400</v>
          </cell>
          <cell r="BE58">
            <v>1331900</v>
          </cell>
          <cell r="BF58">
            <v>1245100</v>
          </cell>
          <cell r="BG58">
            <v>1098300</v>
          </cell>
          <cell r="BH58">
            <v>1023100</v>
          </cell>
          <cell r="BI58">
            <v>921500</v>
          </cell>
          <cell r="BJ58">
            <v>835700</v>
          </cell>
          <cell r="BK58">
            <v>811600</v>
          </cell>
          <cell r="BL58">
            <v>703300</v>
          </cell>
          <cell r="BM58">
            <v>574600</v>
          </cell>
          <cell r="BN58">
            <v>437700</v>
          </cell>
          <cell r="BO58">
            <v>212600</v>
          </cell>
          <cell r="BP58">
            <v>86900</v>
          </cell>
          <cell r="BQ58">
            <v>530400</v>
          </cell>
          <cell r="BR58">
            <v>486000</v>
          </cell>
          <cell r="BS58">
            <v>485600</v>
          </cell>
          <cell r="BU58" t="str">
            <v>mstag:additionalPaidInCapital</v>
          </cell>
          <cell r="BV58">
            <v>3</v>
          </cell>
          <cell r="BW58" t="str">
            <v>ISO4217:USD</v>
          </cell>
          <cell r="BX58" t="b">
            <v>0</v>
          </cell>
          <cell r="BY58" t="b">
            <v>0</v>
          </cell>
        </row>
        <row r="59">
          <cell r="A59" t="str">
            <v xml:space="preserve">  Treasury stock</v>
          </cell>
          <cell r="F59">
            <v>-34</v>
          </cell>
          <cell r="G59">
            <v>-34</v>
          </cell>
          <cell r="H59">
            <v>-46</v>
          </cell>
          <cell r="I59">
            <v>0</v>
          </cell>
          <cell r="J59">
            <v>0</v>
          </cell>
          <cell r="K59">
            <v>0</v>
          </cell>
          <cell r="L59">
            <v>0</v>
          </cell>
          <cell r="N59">
            <v>0</v>
          </cell>
          <cell r="O59">
            <v>0</v>
          </cell>
          <cell r="R59">
            <v>0</v>
          </cell>
          <cell r="T59">
            <v>0</v>
          </cell>
          <cell r="U59">
            <v>0</v>
          </cell>
          <cell r="V59">
            <v>0</v>
          </cell>
          <cell r="AA59">
            <v>-34</v>
          </cell>
          <cell r="AB59">
            <v>-3193</v>
          </cell>
          <cell r="AC59">
            <v>-1573</v>
          </cell>
          <cell r="AD59">
            <v>-1461</v>
          </cell>
          <cell r="AE59">
            <v>-46</v>
          </cell>
          <cell r="AF59">
            <v>-433</v>
          </cell>
          <cell r="AG59">
            <v>-296</v>
          </cell>
          <cell r="AH59">
            <v>-300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100</v>
          </cell>
          <cell r="AX59">
            <v>0</v>
          </cell>
          <cell r="AY59">
            <v>0</v>
          </cell>
          <cell r="AZ59">
            <v>0</v>
          </cell>
          <cell r="BA59">
            <v>0</v>
          </cell>
          <cell r="BB59">
            <v>0</v>
          </cell>
          <cell r="BC59">
            <v>0</v>
          </cell>
          <cell r="BD59">
            <v>0</v>
          </cell>
          <cell r="BE59">
            <v>0</v>
          </cell>
          <cell r="BF59">
            <v>0</v>
          </cell>
          <cell r="BG59">
            <v>0</v>
          </cell>
          <cell r="BU59" t="str">
            <v>mstag:treasuryStockAndInvestmentInOwnShares</v>
          </cell>
          <cell r="BV59">
            <v>3</v>
          </cell>
          <cell r="BW59" t="str">
            <v>ISO4217:USD</v>
          </cell>
          <cell r="BX59" t="b">
            <v>1</v>
          </cell>
          <cell r="BY59" t="b">
            <v>0</v>
          </cell>
        </row>
        <row r="60">
          <cell r="A60" t="str">
            <v xml:space="preserve">  Acc other comprehensive loss</v>
          </cell>
          <cell r="F60">
            <v>-7371</v>
          </cell>
          <cell r="G60">
            <v>-7894</v>
          </cell>
          <cell r="H60">
            <v>-7304</v>
          </cell>
          <cell r="I60">
            <v>-150838</v>
          </cell>
          <cell r="J60">
            <v>-103000</v>
          </cell>
          <cell r="K60">
            <v>-336600</v>
          </cell>
          <cell r="L60">
            <v>-208300</v>
          </cell>
          <cell r="M60">
            <v>-216900</v>
          </cell>
          <cell r="N60">
            <v>1900</v>
          </cell>
          <cell r="O60">
            <v>6400</v>
          </cell>
          <cell r="P60">
            <v>28500</v>
          </cell>
          <cell r="Q60">
            <v>12100</v>
          </cell>
          <cell r="R60">
            <v>-615718.8354213289</v>
          </cell>
          <cell r="S60">
            <v>-1076023.3912162711</v>
          </cell>
          <cell r="T60">
            <v>-1556929.4425452936</v>
          </cell>
          <cell r="U60">
            <v>-2069328.5717294698</v>
          </cell>
          <cell r="V60">
            <v>-2595394.1744462028</v>
          </cell>
          <cell r="AA60">
            <v>-7894</v>
          </cell>
          <cell r="AB60">
            <v>-7684</v>
          </cell>
          <cell r="AC60">
            <v>-10567</v>
          </cell>
          <cell r="AD60">
            <v>-7432</v>
          </cell>
          <cell r="AE60">
            <v>-7304</v>
          </cell>
          <cell r="AF60">
            <v>-4881</v>
          </cell>
          <cell r="AG60">
            <v>-3193</v>
          </cell>
          <cell r="AH60">
            <v>-25322</v>
          </cell>
          <cell r="AI60">
            <v>-150838</v>
          </cell>
          <cell r="AJ60">
            <v>-148900</v>
          </cell>
          <cell r="AK60">
            <v>-136500</v>
          </cell>
          <cell r="AL60">
            <v>-150600</v>
          </cell>
          <cell r="AM60">
            <v>-103000</v>
          </cell>
          <cell r="AN60">
            <v>-123100</v>
          </cell>
          <cell r="AO60">
            <v>-112300</v>
          </cell>
          <cell r="AP60">
            <v>-72100</v>
          </cell>
          <cell r="AQ60">
            <v>-336600</v>
          </cell>
          <cell r="AR60">
            <v>-326500</v>
          </cell>
          <cell r="AS60">
            <v>-298700</v>
          </cell>
          <cell r="AT60">
            <v>-292800</v>
          </cell>
          <cell r="AU60">
            <v>-208300</v>
          </cell>
          <cell r="AV60">
            <v>-210600</v>
          </cell>
          <cell r="AW60">
            <v>-212700</v>
          </cell>
          <cell r="AX60">
            <v>-208600</v>
          </cell>
          <cell r="AY60">
            <v>-216900</v>
          </cell>
          <cell r="AZ60">
            <v>-199700</v>
          </cell>
          <cell r="BA60">
            <v>-176200</v>
          </cell>
          <cell r="BB60">
            <v>-178100</v>
          </cell>
          <cell r="BC60">
            <v>1900</v>
          </cell>
          <cell r="BD60">
            <v>6600</v>
          </cell>
          <cell r="BE60">
            <v>5400</v>
          </cell>
          <cell r="BF60">
            <v>-600</v>
          </cell>
          <cell r="BG60">
            <v>6400</v>
          </cell>
          <cell r="BH60">
            <v>700</v>
          </cell>
          <cell r="BI60">
            <v>24500</v>
          </cell>
          <cell r="BJ60">
            <v>19000</v>
          </cell>
          <cell r="BK60">
            <v>28500</v>
          </cell>
          <cell r="BL60">
            <v>19300</v>
          </cell>
          <cell r="BM60">
            <v>15500</v>
          </cell>
          <cell r="BN60">
            <v>21100</v>
          </cell>
          <cell r="BO60">
            <v>12100</v>
          </cell>
          <cell r="BP60">
            <v>8000</v>
          </cell>
          <cell r="BQ60">
            <v>-95500</v>
          </cell>
          <cell r="BR60">
            <v>-311700</v>
          </cell>
          <cell r="BS60">
            <v>-615718.8354213289</v>
          </cell>
          <cell r="BU60" t="str">
            <v>mstag:accumulatedOtherComprehensiveIncomeLossAndReserves</v>
          </cell>
          <cell r="BV60">
            <v>3</v>
          </cell>
          <cell r="BW60" t="str">
            <v>ISO4217:USD</v>
          </cell>
          <cell r="BX60" t="b">
            <v>0</v>
          </cell>
          <cell r="BY60" t="b">
            <v>0</v>
          </cell>
        </row>
        <row r="61">
          <cell r="A61" t="str">
            <v xml:space="preserve">  Deferred equity compensation</v>
          </cell>
          <cell r="F61">
            <v>0</v>
          </cell>
          <cell r="G61">
            <v>0</v>
          </cell>
          <cell r="H61">
            <v>-18502</v>
          </cell>
          <cell r="I61">
            <v>0</v>
          </cell>
          <cell r="J61">
            <v>0</v>
          </cell>
          <cell r="K61">
            <v>0</v>
          </cell>
          <cell r="L61">
            <v>0</v>
          </cell>
          <cell r="M61">
            <v>0</v>
          </cell>
          <cell r="N61">
            <v>0</v>
          </cell>
          <cell r="O61">
            <v>0</v>
          </cell>
          <cell r="P61">
            <v>0</v>
          </cell>
          <cell r="Q61">
            <v>0</v>
          </cell>
          <cell r="R61">
            <v>0</v>
          </cell>
          <cell r="S61">
            <v>0</v>
          </cell>
          <cell r="T61">
            <v>0</v>
          </cell>
          <cell r="U61">
            <v>0</v>
          </cell>
          <cell r="V61">
            <v>0</v>
          </cell>
          <cell r="AA61">
            <v>0</v>
          </cell>
          <cell r="AB61">
            <v>-18301</v>
          </cell>
          <cell r="AC61">
            <v>-17790</v>
          </cell>
          <cell r="AD61">
            <v>-15841</v>
          </cell>
          <cell r="AE61">
            <v>-18502</v>
          </cell>
          <cell r="AF61">
            <v>0</v>
          </cell>
          <cell r="AG61">
            <v>0</v>
          </cell>
          <cell r="AI61">
            <v>0</v>
          </cell>
          <cell r="AJ61">
            <v>0</v>
          </cell>
          <cell r="AK61">
            <v>0</v>
          </cell>
          <cell r="AL61">
            <v>0</v>
          </cell>
          <cell r="AM61">
            <v>0</v>
          </cell>
          <cell r="AN61">
            <v>0</v>
          </cell>
          <cell r="AO61">
            <v>0</v>
          </cell>
          <cell r="AP61">
            <v>0</v>
          </cell>
          <cell r="AQ61">
            <v>0</v>
          </cell>
          <cell r="AR61">
            <v>0</v>
          </cell>
          <cell r="AS61">
            <v>0</v>
          </cell>
          <cell r="AT61">
            <v>0</v>
          </cell>
          <cell r="AU61">
            <v>0</v>
          </cell>
          <cell r="BU61" t="str">
            <v>mstag:otherEquityItems</v>
          </cell>
          <cell r="BV61">
            <v>3</v>
          </cell>
          <cell r="BW61" t="str">
            <v>ISO4217:USD</v>
          </cell>
          <cell r="BX61" t="b">
            <v>0</v>
          </cell>
          <cell r="BY61" t="b">
            <v>0</v>
          </cell>
        </row>
        <row r="62">
          <cell r="A62" t="str">
            <v xml:space="preserve">  Retained earnings</v>
          </cell>
          <cell r="F62">
            <v>-53366</v>
          </cell>
          <cell r="G62">
            <v>-79776</v>
          </cell>
          <cell r="H62">
            <v>-321316</v>
          </cell>
          <cell r="I62">
            <v>70145</v>
          </cell>
          <cell r="J62">
            <v>516000</v>
          </cell>
          <cell r="K62">
            <v>487400</v>
          </cell>
          <cell r="L62">
            <v>385400</v>
          </cell>
          <cell r="M62">
            <v>214100</v>
          </cell>
          <cell r="N62">
            <v>0</v>
          </cell>
          <cell r="O62">
            <v>0</v>
          </cell>
          <cell r="P62">
            <v>0</v>
          </cell>
          <cell r="Q62">
            <v>0</v>
          </cell>
          <cell r="R62">
            <v>0</v>
          </cell>
          <cell r="S62">
            <v>0</v>
          </cell>
          <cell r="T62">
            <v>0</v>
          </cell>
          <cell r="U62">
            <v>0</v>
          </cell>
          <cell r="V62">
            <v>0</v>
          </cell>
          <cell r="AA62">
            <v>-79776</v>
          </cell>
          <cell r="AB62">
            <v>-340306</v>
          </cell>
          <cell r="AC62">
            <v>-322232</v>
          </cell>
          <cell r="AD62">
            <v>-321233</v>
          </cell>
          <cell r="AE62">
            <v>-321316</v>
          </cell>
          <cell r="AF62">
            <v>-321319</v>
          </cell>
          <cell r="AG62">
            <v>-321319</v>
          </cell>
          <cell r="AH62">
            <v>71619</v>
          </cell>
          <cell r="AI62">
            <v>70145</v>
          </cell>
          <cell r="AJ62">
            <v>50800</v>
          </cell>
          <cell r="AK62">
            <v>47300</v>
          </cell>
          <cell r="AL62">
            <v>45900</v>
          </cell>
          <cell r="AM62">
            <v>516000</v>
          </cell>
          <cell r="AN62">
            <v>527900</v>
          </cell>
          <cell r="AO62">
            <v>520100</v>
          </cell>
          <cell r="AP62">
            <v>516100</v>
          </cell>
          <cell r="AQ62">
            <v>487400</v>
          </cell>
          <cell r="AR62">
            <v>466100</v>
          </cell>
          <cell r="AS62">
            <v>447700</v>
          </cell>
          <cell r="AT62">
            <v>419000</v>
          </cell>
          <cell r="AU62">
            <v>385400</v>
          </cell>
          <cell r="AV62">
            <v>345400</v>
          </cell>
          <cell r="AW62">
            <v>303500</v>
          </cell>
          <cell r="AX62">
            <v>267800</v>
          </cell>
          <cell r="AY62">
            <v>214100</v>
          </cell>
          <cell r="AZ62">
            <v>110200</v>
          </cell>
          <cell r="BA62">
            <v>75900</v>
          </cell>
          <cell r="BB62">
            <v>18600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U62" t="str">
            <v>mstag:retainedEarnings</v>
          </cell>
          <cell r="BV62">
            <v>3</v>
          </cell>
          <cell r="BW62" t="str">
            <v>ISO4217:USD</v>
          </cell>
          <cell r="BX62" t="b">
            <v>0</v>
          </cell>
          <cell r="BY62" t="b">
            <v>0</v>
          </cell>
        </row>
        <row r="63">
          <cell r="A63" t="str">
            <v>Total stockholders equity</v>
          </cell>
          <cell r="F63">
            <v>49862</v>
          </cell>
          <cell r="G63">
            <v>6471</v>
          </cell>
          <cell r="H63">
            <v>571768</v>
          </cell>
          <cell r="I63">
            <v>469834</v>
          </cell>
          <cell r="J63">
            <v>699800</v>
          </cell>
          <cell r="K63">
            <v>252300</v>
          </cell>
          <cell r="L63">
            <v>260700</v>
          </cell>
          <cell r="M63">
            <v>830600</v>
          </cell>
          <cell r="N63">
            <v>1495300</v>
          </cell>
          <cell r="O63">
            <v>1104800</v>
          </cell>
          <cell r="P63">
            <v>840200</v>
          </cell>
          <cell r="Q63">
            <v>224800</v>
          </cell>
          <cell r="R63">
            <v>-130118.8354213289</v>
          </cell>
          <cell r="S63">
            <v>-577923.39121627109</v>
          </cell>
          <cell r="T63">
            <v>-1011329.4425452936</v>
          </cell>
          <cell r="U63">
            <v>-1476228.5717294698</v>
          </cell>
          <cell r="V63">
            <v>-1954794.1744462028</v>
          </cell>
          <cell r="AA63">
            <v>6471</v>
          </cell>
          <cell r="AB63">
            <v>572491</v>
          </cell>
          <cell r="AC63">
            <v>564731</v>
          </cell>
          <cell r="AD63">
            <v>575931</v>
          </cell>
          <cell r="AE63">
            <v>571768</v>
          </cell>
          <cell r="AF63">
            <v>566084</v>
          </cell>
          <cell r="AG63">
            <v>560068</v>
          </cell>
          <cell r="AH63">
            <v>602886</v>
          </cell>
          <cell r="AI63">
            <v>469834</v>
          </cell>
          <cell r="AJ63">
            <v>460100</v>
          </cell>
          <cell r="AK63">
            <v>473500</v>
          </cell>
          <cell r="AL63">
            <v>460800</v>
          </cell>
          <cell r="AM63">
            <v>699800</v>
          </cell>
          <cell r="AN63">
            <v>595000</v>
          </cell>
          <cell r="AO63">
            <v>502300</v>
          </cell>
          <cell r="AP63">
            <v>540600</v>
          </cell>
          <cell r="AQ63">
            <v>252300</v>
          </cell>
          <cell r="AR63">
            <v>223200</v>
          </cell>
          <cell r="AS63">
            <v>226400</v>
          </cell>
          <cell r="AT63">
            <v>189800</v>
          </cell>
          <cell r="AU63">
            <v>260700</v>
          </cell>
          <cell r="AV63">
            <v>402900</v>
          </cell>
          <cell r="AW63">
            <v>641800</v>
          </cell>
          <cell r="AX63">
            <v>615400</v>
          </cell>
          <cell r="AY63">
            <v>830600</v>
          </cell>
          <cell r="AZ63">
            <v>804800</v>
          </cell>
          <cell r="BA63">
            <v>800400</v>
          </cell>
          <cell r="BB63">
            <v>822600</v>
          </cell>
          <cell r="BC63">
            <v>1495300</v>
          </cell>
          <cell r="BD63">
            <v>1426100</v>
          </cell>
          <cell r="BE63">
            <v>1337400</v>
          </cell>
          <cell r="BF63">
            <v>1244600</v>
          </cell>
          <cell r="BG63">
            <v>1104800</v>
          </cell>
          <cell r="BH63">
            <v>1023900</v>
          </cell>
          <cell r="BI63">
            <v>946100</v>
          </cell>
          <cell r="BJ63">
            <v>854800</v>
          </cell>
          <cell r="BK63">
            <v>840200</v>
          </cell>
          <cell r="BL63">
            <v>722700</v>
          </cell>
          <cell r="BM63">
            <v>590200</v>
          </cell>
          <cell r="BN63">
            <v>458900</v>
          </cell>
          <cell r="BO63">
            <v>224800</v>
          </cell>
          <cell r="BP63">
            <v>95000</v>
          </cell>
          <cell r="BQ63">
            <v>435000</v>
          </cell>
          <cell r="BR63">
            <v>174300</v>
          </cell>
          <cell r="BS63">
            <v>-130118.8354213289</v>
          </cell>
        </row>
        <row r="65">
          <cell r="A65" t="str">
            <v>LIABILITIES AND EQUITY</v>
          </cell>
          <cell r="F65">
            <v>2039043</v>
          </cell>
          <cell r="G65">
            <v>1971167</v>
          </cell>
          <cell r="H65">
            <v>1962781</v>
          </cell>
          <cell r="I65">
            <v>8030720</v>
          </cell>
          <cell r="J65">
            <v>8241200</v>
          </cell>
          <cell r="K65">
            <v>8009300</v>
          </cell>
          <cell r="L65">
            <v>9145400</v>
          </cell>
          <cell r="M65">
            <v>11353700</v>
          </cell>
          <cell r="N65">
            <v>14392100</v>
          </cell>
          <cell r="O65">
            <v>13982000</v>
          </cell>
          <cell r="P65">
            <v>13444600</v>
          </cell>
          <cell r="Q65">
            <v>12625700</v>
          </cell>
          <cell r="R65">
            <v>12757270.087934636</v>
          </cell>
          <cell r="S65">
            <v>11404511.196162028</v>
          </cell>
          <cell r="T65">
            <v>10807138.646520978</v>
          </cell>
          <cell r="U65">
            <v>10196487.835366631</v>
          </cell>
          <cell r="V65">
            <v>9548341.5747856013</v>
          </cell>
          <cell r="AA65">
            <v>1971167</v>
          </cell>
          <cell r="AB65">
            <v>1965850</v>
          </cell>
          <cell r="AC65">
            <v>1974479</v>
          </cell>
          <cell r="AD65">
            <v>1952100</v>
          </cell>
          <cell r="AE65">
            <v>1962781</v>
          </cell>
          <cell r="AF65">
            <v>1957304</v>
          </cell>
          <cell r="AG65">
            <v>1969885</v>
          </cell>
          <cell r="AH65">
            <v>8161748</v>
          </cell>
          <cell r="AI65">
            <v>8030720</v>
          </cell>
          <cell r="AJ65">
            <v>7961200</v>
          </cell>
          <cell r="AK65">
            <v>8006400</v>
          </cell>
          <cell r="AL65">
            <v>8297400</v>
          </cell>
          <cell r="AM65">
            <v>8241200</v>
          </cell>
          <cell r="AN65">
            <v>8142900</v>
          </cell>
          <cell r="AO65">
            <v>8040500</v>
          </cell>
          <cell r="AP65">
            <v>8060200</v>
          </cell>
          <cell r="AQ65">
            <v>8009300</v>
          </cell>
          <cell r="AR65">
            <v>7905000</v>
          </cell>
          <cell r="AS65">
            <v>7789500</v>
          </cell>
          <cell r="AT65">
            <v>7768100</v>
          </cell>
          <cell r="AU65">
            <v>9145400</v>
          </cell>
          <cell r="AV65">
            <v>9327400</v>
          </cell>
          <cell r="AW65">
            <v>10087200</v>
          </cell>
          <cell r="AX65">
            <v>10132200</v>
          </cell>
          <cell r="AY65">
            <v>11353700</v>
          </cell>
          <cell r="AZ65">
            <v>11342800</v>
          </cell>
          <cell r="BA65">
            <v>11329200</v>
          </cell>
          <cell r="BB65">
            <v>11419100</v>
          </cell>
          <cell r="BC65">
            <v>14392100</v>
          </cell>
          <cell r="BD65">
            <v>13966400</v>
          </cell>
          <cell r="BE65">
            <v>13927200</v>
          </cell>
          <cell r="BF65">
            <v>14028400</v>
          </cell>
          <cell r="BG65">
            <v>13982000</v>
          </cell>
          <cell r="BH65">
            <v>13723500</v>
          </cell>
          <cell r="BI65">
            <v>13638900</v>
          </cell>
          <cell r="BJ65">
            <v>13486700</v>
          </cell>
          <cell r="BK65">
            <v>13444600</v>
          </cell>
          <cell r="BL65">
            <v>13239800</v>
          </cell>
          <cell r="BM65">
            <v>12985700</v>
          </cell>
          <cell r="BN65">
            <v>12831600</v>
          </cell>
          <cell r="BO65">
            <v>12625700</v>
          </cell>
          <cell r="BP65">
            <v>12619100</v>
          </cell>
          <cell r="BQ65">
            <v>13204400</v>
          </cell>
          <cell r="BR65">
            <v>13004400</v>
          </cell>
          <cell r="BS65">
            <v>12757270.087934636</v>
          </cell>
        </row>
        <row r="66">
          <cell r="A66" t="str">
            <v xml:space="preserve"> check</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row>
        <row r="68">
          <cell r="A68" t="str">
            <v>Net issuance (repurchase) of common stock</v>
          </cell>
          <cell r="F68">
            <v>110599</v>
          </cell>
          <cell r="G68">
            <v>-16458</v>
          </cell>
          <cell r="H68">
            <v>806247</v>
          </cell>
          <cell r="I68">
            <v>-349861</v>
          </cell>
          <cell r="J68">
            <v>-263727</v>
          </cell>
          <cell r="K68">
            <v>-185300</v>
          </cell>
          <cell r="L68">
            <v>-17900</v>
          </cell>
          <cell r="M68">
            <v>749800</v>
          </cell>
          <cell r="N68">
            <v>660000</v>
          </cell>
          <cell r="O68">
            <v>-395000</v>
          </cell>
          <cell r="P68">
            <v>-286700</v>
          </cell>
          <cell r="Q68">
            <v>-599000</v>
          </cell>
          <cell r="R68">
            <v>272900</v>
          </cell>
          <cell r="S68">
            <v>12500</v>
          </cell>
          <cell r="T68">
            <v>47500</v>
          </cell>
          <cell r="U68">
            <v>47500</v>
          </cell>
          <cell r="V68">
            <v>47500</v>
          </cell>
          <cell r="AB68">
            <v>826340</v>
          </cell>
          <cell r="AC68">
            <v>-22951</v>
          </cell>
          <cell r="AD68">
            <v>7066</v>
          </cell>
          <cell r="AE68">
            <v>-4208</v>
          </cell>
          <cell r="AF68">
            <v>-8104</v>
          </cell>
          <cell r="AG68">
            <v>-7704</v>
          </cell>
          <cell r="AH68">
            <v>-327991</v>
          </cell>
          <cell r="AI68">
            <v>-6062</v>
          </cell>
          <cell r="AJ68">
            <v>7673</v>
          </cell>
          <cell r="AK68">
            <v>4500</v>
          </cell>
          <cell r="AL68">
            <v>2800</v>
          </cell>
          <cell r="AM68">
            <v>-278700</v>
          </cell>
          <cell r="AN68">
            <v>-96600</v>
          </cell>
          <cell r="AO68">
            <v>-95700</v>
          </cell>
          <cell r="AP68">
            <v>2100</v>
          </cell>
          <cell r="AQ68">
            <v>4900</v>
          </cell>
          <cell r="AR68">
            <v>-17900</v>
          </cell>
          <cell r="AS68">
            <v>-6200</v>
          </cell>
          <cell r="AT68">
            <v>-13800</v>
          </cell>
          <cell r="AU68">
            <v>20000</v>
          </cell>
          <cell r="AV68">
            <v>184500</v>
          </cell>
          <cell r="AW68">
            <v>282900</v>
          </cell>
          <cell r="AX68">
            <v>5200</v>
          </cell>
          <cell r="AY68">
            <v>277200</v>
          </cell>
          <cell r="AZ68">
            <v>60900</v>
          </cell>
          <cell r="BA68">
            <v>6400</v>
          </cell>
          <cell r="BB68">
            <v>81400</v>
          </cell>
          <cell r="BC68">
            <v>511300</v>
          </cell>
          <cell r="BD68">
            <v>-73900</v>
          </cell>
          <cell r="BE68">
            <v>-87500</v>
          </cell>
          <cell r="BF68">
            <v>-86800</v>
          </cell>
          <cell r="BG68">
            <v>-146800</v>
          </cell>
          <cell r="BH68">
            <v>-75200</v>
          </cell>
          <cell r="BI68">
            <v>-101600</v>
          </cell>
          <cell r="BJ68">
            <v>-85800</v>
          </cell>
          <cell r="BK68">
            <v>-24100</v>
          </cell>
          <cell r="BL68">
            <v>-108300</v>
          </cell>
          <cell r="BM68">
            <v>-128700</v>
          </cell>
          <cell r="BN68">
            <v>-136900</v>
          </cell>
          <cell r="BO68">
            <v>-225100</v>
          </cell>
          <cell r="BP68">
            <v>-125700</v>
          </cell>
          <cell r="BQ68">
            <v>443500</v>
          </cell>
          <cell r="BR68">
            <v>-44500</v>
          </cell>
          <cell r="BS68">
            <v>-400</v>
          </cell>
          <cell r="BU68" t="str">
            <v>mstag:netIssuanceRepurchaseOfCommonStock</v>
          </cell>
          <cell r="BV68">
            <v>3</v>
          </cell>
          <cell r="BW68" t="str">
            <v>ISO4217:USD</v>
          </cell>
          <cell r="BX68" t="b">
            <v>0</v>
          </cell>
          <cell r="BY68" t="b">
            <v>0</v>
          </cell>
        </row>
        <row r="69">
          <cell r="A69" t="str">
            <v xml:space="preserve"> Accumulated other comprehensive income </v>
          </cell>
          <cell r="F69">
            <v>-118970</v>
          </cell>
          <cell r="G69">
            <v>822</v>
          </cell>
          <cell r="H69">
            <v>-188903.35517999998</v>
          </cell>
          <cell r="I69">
            <v>-102073.39822734112</v>
          </cell>
          <cell r="J69">
            <v>53393</v>
          </cell>
          <cell r="K69">
            <v>-229700</v>
          </cell>
          <cell r="L69">
            <v>129200</v>
          </cell>
          <cell r="M69">
            <v>-26000</v>
          </cell>
          <cell r="N69">
            <v>344800</v>
          </cell>
          <cell r="O69">
            <v>417300</v>
          </cell>
          <cell r="P69">
            <v>374700</v>
          </cell>
          <cell r="Q69">
            <v>625300</v>
          </cell>
          <cell r="R69">
            <v>104980.00000000012</v>
          </cell>
          <cell r="S69">
            <v>0</v>
          </cell>
          <cell r="T69">
            <v>0</v>
          </cell>
          <cell r="U69">
            <v>0</v>
          </cell>
          <cell r="V69">
            <v>0</v>
          </cell>
          <cell r="AB69">
            <v>-235209.86158</v>
          </cell>
          <cell r="AC69">
            <v>21921.129720000026</v>
          </cell>
          <cell r="AD69">
            <v>15786.323839999968</v>
          </cell>
          <cell r="AE69">
            <v>8599.0528400000185</v>
          </cell>
          <cell r="AF69">
            <v>11539.353599999973</v>
          </cell>
          <cell r="AG69">
            <v>11635.672840000014</v>
          </cell>
          <cell r="AH69">
            <v>-20585</v>
          </cell>
          <cell r="AI69">
            <v>-104663.42466734111</v>
          </cell>
          <cell r="AJ69">
            <v>1793</v>
          </cell>
          <cell r="AK69">
            <v>12400</v>
          </cell>
          <cell r="AL69">
            <v>-14000</v>
          </cell>
          <cell r="AM69">
            <v>53200</v>
          </cell>
          <cell r="AN69">
            <v>-18300</v>
          </cell>
          <cell r="AO69">
            <v>12800</v>
          </cell>
          <cell r="AP69">
            <v>40200</v>
          </cell>
          <cell r="AQ69">
            <v>-283000</v>
          </cell>
          <cell r="AR69">
            <v>10500</v>
          </cell>
          <cell r="AS69">
            <v>28100</v>
          </cell>
          <cell r="AT69">
            <v>6400</v>
          </cell>
          <cell r="AU69">
            <v>84200</v>
          </cell>
          <cell r="AV69">
            <v>9674.6662500000093</v>
          </cell>
          <cell r="AW69">
            <v>3074.6662500000093</v>
          </cell>
          <cell r="AX69">
            <v>9274.6662500000093</v>
          </cell>
          <cell r="AY69">
            <v>-8325.3337499999907</v>
          </cell>
          <cell r="AZ69">
            <v>9575</v>
          </cell>
          <cell r="BA69">
            <v>20000</v>
          </cell>
          <cell r="BB69">
            <v>-9074.9999999999854</v>
          </cell>
          <cell r="BC69">
            <v>333862.5</v>
          </cell>
          <cell r="BD69">
            <v>91125</v>
          </cell>
          <cell r="BE69">
            <v>94850</v>
          </cell>
          <cell r="BF69">
            <v>87325</v>
          </cell>
          <cell r="BG69">
            <v>143937.5</v>
          </cell>
          <cell r="BH69">
            <v>89612.5</v>
          </cell>
          <cell r="BI69">
            <v>132287.5</v>
          </cell>
          <cell r="BJ69">
            <v>112512.5</v>
          </cell>
          <cell r="BK69">
            <v>40137.5</v>
          </cell>
          <cell r="BL69">
            <v>124662.5</v>
          </cell>
          <cell r="BM69">
            <v>132875</v>
          </cell>
          <cell r="BN69">
            <v>148237.5</v>
          </cell>
          <cell r="BO69">
            <v>219162.5</v>
          </cell>
          <cell r="BP69">
            <v>135902.5</v>
          </cell>
          <cell r="BQ69">
            <v>128355</v>
          </cell>
          <cell r="BR69">
            <v>-54915</v>
          </cell>
          <cell r="BS69">
            <v>0</v>
          </cell>
          <cell r="BU69" t="str">
            <v>mstag:changeInAccumulatedOtherComprehensiveIncomeLossOrOtherReserves</v>
          </cell>
          <cell r="BV69">
            <v>3</v>
          </cell>
          <cell r="BW69" t="str">
            <v>ISO4217:USD</v>
          </cell>
          <cell r="BX69" t="b">
            <v>0</v>
          </cell>
          <cell r="BY69" t="b">
            <v>0</v>
          </cell>
        </row>
        <row r="70">
          <cell r="A70" t="str">
            <v>Balance Sheet Assumptions and Ratios</v>
          </cell>
        </row>
        <row r="72">
          <cell r="A72" t="str">
            <v>Receivable days (based on revenues)</v>
          </cell>
          <cell r="AG72" t="str">
            <v>VCG</v>
          </cell>
          <cell r="AH72" t="str">
            <v>WIN</v>
          </cell>
        </row>
        <row r="73">
          <cell r="A73" t="str">
            <v>AR Customers, net of allowance for doubtful</v>
          </cell>
          <cell r="F73">
            <v>19.218472897489413</v>
          </cell>
          <cell r="G73">
            <v>18.877451656777907</v>
          </cell>
          <cell r="H73">
            <v>18.027254721344786</v>
          </cell>
          <cell r="I73">
            <v>0</v>
          </cell>
          <cell r="J73">
            <v>0</v>
          </cell>
          <cell r="K73">
            <v>0</v>
          </cell>
          <cell r="L73">
            <v>0</v>
          </cell>
          <cell r="M73">
            <v>0</v>
          </cell>
          <cell r="N73">
            <v>0</v>
          </cell>
          <cell r="O73">
            <v>0</v>
          </cell>
          <cell r="T73">
            <v>0</v>
          </cell>
          <cell r="U73">
            <v>0</v>
          </cell>
          <cell r="V73">
            <v>0</v>
          </cell>
          <cell r="AA73">
            <v>18.700002343182511</v>
          </cell>
          <cell r="AB73">
            <v>17.329463335609802</v>
          </cell>
          <cell r="AC73">
            <v>19.103975632198495</v>
          </cell>
          <cell r="AD73">
            <v>18.181462957174116</v>
          </cell>
          <cell r="AE73">
            <v>18.103620771796095</v>
          </cell>
          <cell r="AF73">
            <v>17.444409945305594</v>
          </cell>
          <cell r="AG73">
            <v>17.102446178493715</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row>
        <row r="74">
          <cell r="A74" t="str">
            <v>AR Carriers and other, net of allowance for</v>
          </cell>
          <cell r="F74">
            <v>24.77264775784483</v>
          </cell>
          <cell r="G74">
            <v>25.656501941613609</v>
          </cell>
          <cell r="H74">
            <v>24.650223169280522</v>
          </cell>
          <cell r="I74">
            <v>0</v>
          </cell>
          <cell r="J74">
            <v>0</v>
          </cell>
          <cell r="K74">
            <v>0</v>
          </cell>
          <cell r="L74">
            <v>0</v>
          </cell>
          <cell r="M74">
            <v>0</v>
          </cell>
          <cell r="N74">
            <v>0</v>
          </cell>
          <cell r="O74">
            <v>0</v>
          </cell>
          <cell r="T74">
            <v>0</v>
          </cell>
          <cell r="U74">
            <v>0</v>
          </cell>
          <cell r="V74">
            <v>0</v>
          </cell>
          <cell r="AA74">
            <v>25.415329099983598</v>
          </cell>
          <cell r="AB74">
            <v>24.790988358242142</v>
          </cell>
          <cell r="AC74">
            <v>22.668480502585908</v>
          </cell>
          <cell r="AD74">
            <v>23.669662394498282</v>
          </cell>
          <cell r="AE74">
            <v>24.754645069080514</v>
          </cell>
          <cell r="AF74">
            <v>21.603095368888678</v>
          </cell>
          <cell r="AG74">
            <v>20.962530188664207</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row>
        <row r="75">
          <cell r="A75" t="str">
            <v>AR Materials and supplies, at average cost</v>
          </cell>
          <cell r="F75">
            <v>1.3912581886619455</v>
          </cell>
          <cell r="G75">
            <v>0.99347538980110783</v>
          </cell>
          <cell r="H75">
            <v>1.0090651401281692</v>
          </cell>
          <cell r="I75">
            <v>0</v>
          </cell>
          <cell r="J75">
            <v>0</v>
          </cell>
          <cell r="K75">
            <v>0</v>
          </cell>
          <cell r="L75">
            <v>0</v>
          </cell>
          <cell r="M75">
            <v>0</v>
          </cell>
          <cell r="N75">
            <v>0</v>
          </cell>
          <cell r="O75">
            <v>0</v>
          </cell>
          <cell r="T75">
            <v>0</v>
          </cell>
          <cell r="U75">
            <v>0</v>
          </cell>
          <cell r="V75">
            <v>0</v>
          </cell>
          <cell r="AA75">
            <v>0.98413665440401155</v>
          </cell>
          <cell r="AB75">
            <v>1.0556199672823723</v>
          </cell>
          <cell r="AC75">
            <v>1.1715106133197957</v>
          </cell>
          <cell r="AD75">
            <v>0.95373554235698654</v>
          </cell>
          <cell r="AE75">
            <v>1.0133396855645544</v>
          </cell>
          <cell r="AF75">
            <v>0.98378275096133172</v>
          </cell>
          <cell r="AG75">
            <v>1.085357202636676</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row>
        <row r="76">
          <cell r="A76" t="str">
            <v>AR Total</v>
          </cell>
          <cell r="F76">
            <v>0</v>
          </cell>
          <cell r="G76">
            <v>0</v>
          </cell>
          <cell r="H76">
            <v>0</v>
          </cell>
          <cell r="I76">
            <v>64.798355113208729</v>
          </cell>
          <cell r="J76">
            <v>35.679311598594111</v>
          </cell>
          <cell r="K76">
            <v>30.034784441867821</v>
          </cell>
          <cell r="L76">
            <v>27.349723929575998</v>
          </cell>
          <cell r="M76">
            <v>21.593300821355236</v>
          </cell>
          <cell r="N76">
            <v>44.959728969573</v>
          </cell>
          <cell r="O76">
            <v>36.026986506746624</v>
          </cell>
          <cell r="P76">
            <v>38.340374170187083</v>
          </cell>
          <cell r="Q76">
            <v>39.909985346451748</v>
          </cell>
          <cell r="R76">
            <v>42.058760911219927</v>
          </cell>
          <cell r="S76">
            <v>42.058760911219927</v>
          </cell>
          <cell r="T76">
            <v>42.058760911219927</v>
          </cell>
          <cell r="U76">
            <v>42.058760911219927</v>
          </cell>
          <cell r="V76">
            <v>42.058760911219927</v>
          </cell>
          <cell r="AA76">
            <v>45.099468097570124</v>
          </cell>
          <cell r="AB76">
            <v>43.176071661134316</v>
          </cell>
          <cell r="AC76">
            <v>42.943966748104195</v>
          </cell>
          <cell r="AD76">
            <v>42.804860894029389</v>
          </cell>
          <cell r="AE76">
            <v>43.871605526441158</v>
          </cell>
          <cell r="AF76">
            <v>40.031288065155607</v>
          </cell>
          <cell r="AG76">
            <v>39.150333569794597</v>
          </cell>
          <cell r="AH76">
            <v>47.60725798536928</v>
          </cell>
          <cell r="AI76">
            <v>36.670730587427862</v>
          </cell>
          <cell r="AJ76">
            <v>34.131910766246364</v>
          </cell>
          <cell r="AK76">
            <v>33.154529307282417</v>
          </cell>
          <cell r="AL76">
            <v>37.59914255091104</v>
          </cell>
          <cell r="AM76">
            <v>35.679311598594111</v>
          </cell>
          <cell r="AN76">
            <v>30.61970667217517</v>
          </cell>
          <cell r="AO76">
            <v>30.027958993476236</v>
          </cell>
          <cell r="AP76">
            <v>30.949843260188086</v>
          </cell>
          <cell r="AQ76">
            <v>30.034784441867821</v>
          </cell>
          <cell r="AR76">
            <v>24.224943904263274</v>
          </cell>
          <cell r="AS76">
            <v>25.206127080181545</v>
          </cell>
          <cell r="AT76">
            <v>25.240768937952037</v>
          </cell>
          <cell r="AU76">
            <v>24.922156825517373</v>
          </cell>
          <cell r="AV76">
            <v>18.398930072602216</v>
          </cell>
          <cell r="AW76">
            <v>19.793536804308797</v>
          </cell>
          <cell r="AX76">
            <v>19.963719686843614</v>
          </cell>
          <cell r="AY76">
            <v>21.593300821355236</v>
          </cell>
          <cell r="AZ76">
            <v>21.468580994076746</v>
          </cell>
          <cell r="BA76">
            <v>21.495213005204654</v>
          </cell>
          <cell r="BB76">
            <v>22.206746741630464</v>
          </cell>
          <cell r="BC76">
            <v>44.959728969573</v>
          </cell>
          <cell r="BD76">
            <v>35.604589009842904</v>
          </cell>
          <cell r="BE76">
            <v>35.157812193687512</v>
          </cell>
          <cell r="BF76">
            <v>37.07462686567164</v>
          </cell>
          <cell r="BG76">
            <v>36.026986506746624</v>
          </cell>
          <cell r="BH76">
            <v>35.729368526561977</v>
          </cell>
          <cell r="BI76">
            <v>36.768329226876212</v>
          </cell>
          <cell r="BJ76">
            <v>38.123582009875882</v>
          </cell>
          <cell r="BK76">
            <v>38.340374170187083</v>
          </cell>
          <cell r="BL76">
            <v>39.181861969311221</v>
          </cell>
          <cell r="BM76">
            <v>39.027424565262216</v>
          </cell>
          <cell r="BN76">
            <v>38.450411793203685</v>
          </cell>
          <cell r="BO76">
            <v>39.909985346451748</v>
          </cell>
          <cell r="BP76">
            <v>42.058760911219927</v>
          </cell>
          <cell r="BQ76">
            <v>42.227939103467719</v>
          </cell>
          <cell r="BR76">
            <v>39.47484318697451</v>
          </cell>
          <cell r="BS76">
            <v>40.917882137028478</v>
          </cell>
        </row>
        <row r="77">
          <cell r="A77" t="str">
            <v>Inventories (based on COS)</v>
          </cell>
          <cell r="J77">
            <v>10.040770941438103</v>
          </cell>
          <cell r="K77">
            <v>8.2426404995539695</v>
          </cell>
          <cell r="L77">
            <v>2.4471299093655587</v>
          </cell>
          <cell r="M77">
            <v>7.0712361568392694</v>
          </cell>
          <cell r="N77">
            <v>8.8873112172453848</v>
          </cell>
          <cell r="O77">
            <v>9.5731101971351578</v>
          </cell>
          <cell r="P77">
            <v>10.890080428954423</v>
          </cell>
          <cell r="Q77">
            <v>7.6287425149700603</v>
          </cell>
          <cell r="R77">
            <v>8.3382352941176467</v>
          </cell>
          <cell r="S77">
            <v>8.3382352941176467</v>
          </cell>
          <cell r="T77">
            <v>8.3382352941176467</v>
          </cell>
          <cell r="U77">
            <v>8.3382352941176467</v>
          </cell>
          <cell r="V77">
            <v>8.3382352941176467</v>
          </cell>
          <cell r="AF77">
            <v>0</v>
          </cell>
          <cell r="AG77">
            <v>0</v>
          </cell>
          <cell r="AH77">
            <v>14.288792079207921</v>
          </cell>
          <cell r="AI77">
            <v>15.831917475728156</v>
          </cell>
          <cell r="AJ77">
            <v>12.490622655663916</v>
          </cell>
          <cell r="AK77">
            <v>14.213903743315507</v>
          </cell>
          <cell r="AL77">
            <v>11.527419948472581</v>
          </cell>
          <cell r="AM77">
            <v>10.040770941438103</v>
          </cell>
          <cell r="AN77">
            <v>8.0651731160896123</v>
          </cell>
          <cell r="AO77">
            <v>7.7940315974253949</v>
          </cell>
          <cell r="AP77">
            <v>8.0426635918132021</v>
          </cell>
          <cell r="AQ77">
            <v>8.2426404995539695</v>
          </cell>
          <cell r="AR77">
            <v>5.4869719200607134</v>
          </cell>
          <cell r="AS77">
            <v>6.9784892446223106</v>
          </cell>
          <cell r="AT77">
            <v>5.3180789539854159</v>
          </cell>
          <cell r="AU77">
            <v>6.0650658404337721</v>
          </cell>
          <cell r="AV77">
            <v>4.3665399239543721</v>
          </cell>
          <cell r="AW77">
            <v>4.8082191780821919</v>
          </cell>
          <cell r="AX77">
            <v>4.5880746472462448</v>
          </cell>
          <cell r="AY77">
            <v>7.0712361568392694</v>
          </cell>
          <cell r="AZ77">
            <v>6.4265492293173949</v>
          </cell>
          <cell r="BA77">
            <v>7.8539377997833819</v>
          </cell>
          <cell r="BB77">
            <v>8.5500000000000007</v>
          </cell>
          <cell r="BC77">
            <v>8.8873112172453848</v>
          </cell>
          <cell r="BD77">
            <v>9.2971826719176001</v>
          </cell>
          <cell r="BE77">
            <v>9.7041329876467906</v>
          </cell>
          <cell r="BF77">
            <v>9.9761620977353989</v>
          </cell>
          <cell r="BG77">
            <v>9.5731101971351578</v>
          </cell>
          <cell r="BH77">
            <v>10.021834061135371</v>
          </cell>
          <cell r="BI77">
            <v>9.7293535416022259</v>
          </cell>
          <cell r="BJ77">
            <v>9.5596216467669404</v>
          </cell>
          <cell r="BK77">
            <v>10.890080428954423</v>
          </cell>
          <cell r="BL77">
            <v>9.630642954856361</v>
          </cell>
          <cell r="BM77">
            <v>8.7122917604682577</v>
          </cell>
          <cell r="BN77">
            <v>9.1354896407810404</v>
          </cell>
          <cell r="BO77">
            <v>7.6287425149700603</v>
          </cell>
          <cell r="BP77">
            <v>8.3382352941176467</v>
          </cell>
          <cell r="BQ77">
            <v>9.6015761821366024</v>
          </cell>
          <cell r="BR77">
            <v>10.356584742150874</v>
          </cell>
          <cell r="BS77">
            <v>8.9812846833437963</v>
          </cell>
        </row>
        <row r="78">
          <cell r="A78" t="str">
            <v>Other current assets (based on operating expenses)</v>
          </cell>
          <cell r="F78">
            <v>13.960578006451806</v>
          </cell>
          <cell r="G78">
            <v>13.028579868547373</v>
          </cell>
          <cell r="H78">
            <v>15.0071594411591</v>
          </cell>
          <cell r="I78">
            <v>12.561822628887299</v>
          </cell>
          <cell r="J78">
            <v>9.8860862489829131</v>
          </cell>
          <cell r="K78">
            <v>6.5825242718446608</v>
          </cell>
          <cell r="L78">
            <v>2.0345869361391813</v>
          </cell>
          <cell r="M78">
            <v>11.724283305227654</v>
          </cell>
          <cell r="N78">
            <v>11.709290430577514</v>
          </cell>
          <cell r="O78">
            <v>21.533569641367805</v>
          </cell>
          <cell r="P78">
            <v>22.59409304756926</v>
          </cell>
          <cell r="Q78">
            <v>15.48980206972772</v>
          </cell>
          <cell r="R78">
            <v>17.873971993776394</v>
          </cell>
          <cell r="S78">
            <v>17.873971993776394</v>
          </cell>
          <cell r="T78">
            <v>17.873971993776394</v>
          </cell>
          <cell r="U78">
            <v>17.873971993776394</v>
          </cell>
          <cell r="V78">
            <v>17.873971993776394</v>
          </cell>
          <cell r="AA78">
            <v>12.225729949488727</v>
          </cell>
          <cell r="AB78">
            <v>10.665173029761725</v>
          </cell>
          <cell r="AC78">
            <v>11.31248083409997</v>
          </cell>
          <cell r="AD78">
            <v>10.905185977720436</v>
          </cell>
          <cell r="AE78">
            <v>15.743965780629393</v>
          </cell>
          <cell r="AF78">
            <v>16.781975421028676</v>
          </cell>
          <cell r="AG78">
            <v>14.212517020525492</v>
          </cell>
          <cell r="AH78">
            <v>8.7660604364857306</v>
          </cell>
          <cell r="AI78">
            <v>7.2911740216486267</v>
          </cell>
          <cell r="AJ78">
            <v>8.4554140127388546</v>
          </cell>
          <cell r="AK78">
            <v>7.9316546762589919</v>
          </cell>
          <cell r="AL78">
            <v>10.906921241050119</v>
          </cell>
          <cell r="AM78">
            <v>9.8860862489829131</v>
          </cell>
          <cell r="AN78">
            <v>8.1098072087175197</v>
          </cell>
          <cell r="AO78">
            <v>7.47141041931385</v>
          </cell>
          <cell r="AP78">
            <v>10.410094637223976</v>
          </cell>
          <cell r="AQ78">
            <v>6.5825242718446608</v>
          </cell>
          <cell r="AR78">
            <v>6.6557911908645995</v>
          </cell>
          <cell r="AS78">
            <v>6.0021571094733055</v>
          </cell>
          <cell r="AT78">
            <v>8.7848605577689245</v>
          </cell>
          <cell r="AU78">
            <v>8.9765537774469664</v>
          </cell>
          <cell r="AV78">
            <v>5.3988451668092381</v>
          </cell>
          <cell r="AW78">
            <v>11.263236709808535</v>
          </cell>
          <cell r="AX78">
            <v>10.401623584704124</v>
          </cell>
          <cell r="AY78">
            <v>11.724283305227654</v>
          </cell>
          <cell r="AZ78">
            <v>15.661206991315819</v>
          </cell>
          <cell r="BA78">
            <v>14.553191489361703</v>
          </cell>
          <cell r="BB78">
            <v>19.591769727481669</v>
          </cell>
          <cell r="BC78">
            <v>11.709290430577514</v>
          </cell>
          <cell r="BD78">
            <v>20.124162179980221</v>
          </cell>
          <cell r="BE78">
            <v>24.01143882471683</v>
          </cell>
          <cell r="BF78">
            <v>26.393989983305506</v>
          </cell>
          <cell r="BG78">
            <v>21.533569641367805</v>
          </cell>
          <cell r="BH78">
            <v>25.575281666097641</v>
          </cell>
          <cell r="BI78">
            <v>23.141693073789043</v>
          </cell>
          <cell r="BJ78">
            <v>21.456081081081081</v>
          </cell>
          <cell r="BK78">
            <v>22.59409304756926</v>
          </cell>
          <cell r="BL78">
            <v>20.491748063320983</v>
          </cell>
          <cell r="BM78">
            <v>18.270903010033443</v>
          </cell>
          <cell r="BN78">
            <v>17.00100300902708</v>
          </cell>
          <cell r="BO78">
            <v>15.48980206972772</v>
          </cell>
          <cell r="BP78">
            <v>17.873971993776394</v>
          </cell>
          <cell r="BQ78">
            <v>16.213603022893977</v>
          </cell>
          <cell r="BR78">
            <v>15.530064151353704</v>
          </cell>
          <cell r="BS78">
            <v>16.276860309437946</v>
          </cell>
        </row>
        <row r="79">
          <cell r="A79" t="str">
            <v>Payable days (based on operating expenses)</v>
          </cell>
          <cell r="F79">
            <v>22.298059745612044</v>
          </cell>
          <cell r="G79">
            <v>8.6359943874159963</v>
          </cell>
          <cell r="H79">
            <v>9.6412189656427714</v>
          </cell>
          <cell r="I79">
            <v>72.921748319796876</v>
          </cell>
          <cell r="J79">
            <v>39.519934906427991</v>
          </cell>
          <cell r="K79">
            <v>26.019417475728154</v>
          </cell>
          <cell r="L79">
            <v>0</v>
          </cell>
          <cell r="M79">
            <v>14.35181281618887</v>
          </cell>
          <cell r="N79">
            <v>24.774481540035342</v>
          </cell>
          <cell r="O79">
            <v>34.125312760633861</v>
          </cell>
          <cell r="P79">
            <v>45.388133821223207</v>
          </cell>
          <cell r="Q79">
            <v>36.468401486988846</v>
          </cell>
          <cell r="R79">
            <v>33.207379417648362</v>
          </cell>
          <cell r="S79">
            <v>35.5</v>
          </cell>
          <cell r="T79">
            <v>35.5</v>
          </cell>
          <cell r="U79">
            <v>35.5</v>
          </cell>
          <cell r="V79">
            <v>35.5</v>
          </cell>
          <cell r="AA79">
            <v>8.1038253049156079</v>
          </cell>
          <cell r="AB79">
            <v>10.030276423748827</v>
          </cell>
          <cell r="AC79">
            <v>10.854032505366453</v>
          </cell>
          <cell r="AD79">
            <v>15.44087104285984</v>
          </cell>
          <cell r="AE79">
            <v>10.114573785517873</v>
          </cell>
          <cell r="AF79">
            <v>14.991655287513277</v>
          </cell>
          <cell r="AG79">
            <v>17.805739069040296</v>
          </cell>
          <cell r="AH79">
            <v>54.230665920537206</v>
          </cell>
          <cell r="AI79">
            <v>42.325478767693589</v>
          </cell>
          <cell r="AJ79">
            <v>40.581210191082803</v>
          </cell>
          <cell r="AK79">
            <v>36.097122302158276</v>
          </cell>
          <cell r="AL79">
            <v>38.281622911694512</v>
          </cell>
          <cell r="AM79">
            <v>39.519934906427991</v>
          </cell>
          <cell r="AN79">
            <v>30.76068734283319</v>
          </cell>
          <cell r="AO79">
            <v>26.683608640406611</v>
          </cell>
          <cell r="AP79">
            <v>28.372239747634069</v>
          </cell>
          <cell r="AQ79">
            <v>26.019417475728154</v>
          </cell>
          <cell r="AR79">
            <v>19.086460032626427</v>
          </cell>
          <cell r="AS79">
            <v>19.381628617652346</v>
          </cell>
          <cell r="AT79">
            <v>21.497645780514308</v>
          </cell>
          <cell r="AU79">
            <v>26.544473390398217</v>
          </cell>
          <cell r="AV79">
            <v>17.197390932420873</v>
          </cell>
          <cell r="AW79">
            <v>17.549470531607657</v>
          </cell>
          <cell r="AX79">
            <v>13.189489425336467</v>
          </cell>
          <cell r="AY79">
            <v>14.35181281618887</v>
          </cell>
          <cell r="AZ79">
            <v>16.868198307134222</v>
          </cell>
          <cell r="BA79">
            <v>16.890343698854338</v>
          </cell>
          <cell r="BB79">
            <v>16.912553354492722</v>
          </cell>
          <cell r="BC79">
            <v>24.774481540035342</v>
          </cell>
          <cell r="BD79">
            <v>32.663443577628833</v>
          </cell>
          <cell r="BE79">
            <v>30.905012896714144</v>
          </cell>
          <cell r="BF79">
            <v>32.053422370617696</v>
          </cell>
          <cell r="BG79">
            <v>34.125312760633861</v>
          </cell>
          <cell r="BH79">
            <v>30.880846705360192</v>
          </cell>
          <cell r="BI79">
            <v>33.602308736985059</v>
          </cell>
          <cell r="BJ79">
            <v>39.476351351351347</v>
          </cell>
          <cell r="BK79">
            <v>45.388133821223207</v>
          </cell>
          <cell r="BL79">
            <v>35.961603233411921</v>
          </cell>
          <cell r="BM79">
            <v>36.260869565217391</v>
          </cell>
          <cell r="BN79">
            <v>35.757271815446337</v>
          </cell>
          <cell r="BO79">
            <v>36.468401486988846</v>
          </cell>
          <cell r="BP79">
            <v>33.207379417648362</v>
          </cell>
          <cell r="BQ79">
            <v>36.968215158924203</v>
          </cell>
          <cell r="BR79">
            <v>35.884527563335865</v>
          </cell>
          <cell r="BS79">
            <v>35.632130906724321</v>
          </cell>
        </row>
        <row r="80">
          <cell r="A80" t="str">
            <v>Salaries and benefits</v>
          </cell>
          <cell r="F80">
            <v>22.165425000963914</v>
          </cell>
          <cell r="G80">
            <v>22.354331290155823</v>
          </cell>
          <cell r="H80">
            <v>19.918778769223302</v>
          </cell>
          <cell r="I80">
            <v>0</v>
          </cell>
          <cell r="J80">
            <v>0</v>
          </cell>
          <cell r="K80">
            <v>0</v>
          </cell>
          <cell r="L80">
            <v>5.0255234920304197</v>
          </cell>
          <cell r="M80">
            <v>0</v>
          </cell>
          <cell r="N80">
            <v>0</v>
          </cell>
          <cell r="O80">
            <v>0</v>
          </cell>
          <cell r="T80">
            <v>0</v>
          </cell>
          <cell r="U80">
            <v>0</v>
          </cell>
          <cell r="V80">
            <v>0</v>
          </cell>
          <cell r="AA80">
            <v>20.976807933965752</v>
          </cell>
          <cell r="AB80">
            <v>18.203548396863361</v>
          </cell>
          <cell r="AC80">
            <v>15.196258816314014</v>
          </cell>
          <cell r="AD80">
            <v>17.86943797595821</v>
          </cell>
          <cell r="AE80">
            <v>20.896730827986556</v>
          </cell>
          <cell r="AF80">
            <v>18.156577150659992</v>
          </cell>
          <cell r="AG80">
            <v>16.784507539462403</v>
          </cell>
          <cell r="BS80" t="e">
            <v>#DIV/0!</v>
          </cell>
        </row>
        <row r="81">
          <cell r="A81" t="str">
            <v>Advance billings and customer deposits</v>
          </cell>
          <cell r="F81">
            <v>12.275211427330525</v>
          </cell>
          <cell r="G81">
            <v>11.141116871340996</v>
          </cell>
          <cell r="H81">
            <v>10.597318805915863</v>
          </cell>
          <cell r="I81">
            <v>22.139676595272231</v>
          </cell>
          <cell r="J81">
            <v>9.9697006423463819</v>
          </cell>
          <cell r="K81">
            <v>8.9174660061136279</v>
          </cell>
          <cell r="L81">
            <v>136.51422023127409</v>
          </cell>
          <cell r="M81">
            <v>8.4201745379876787</v>
          </cell>
          <cell r="N81">
            <v>14.03157760163641</v>
          </cell>
          <cell r="O81">
            <v>12.883123655563523</v>
          </cell>
          <cell r="P81">
            <v>13.488231744115874</v>
          </cell>
          <cell r="Q81">
            <v>13.483357755913755</v>
          </cell>
          <cell r="R81">
            <v>13.70023419203747</v>
          </cell>
          <cell r="S81">
            <v>13.70023419203747</v>
          </cell>
          <cell r="T81">
            <v>13.70023419203747</v>
          </cell>
          <cell r="U81">
            <v>13.70023419203747</v>
          </cell>
          <cell r="V81">
            <v>13.70023419203747</v>
          </cell>
          <cell r="AA81">
            <v>11.036389624387844</v>
          </cell>
          <cell r="AB81">
            <v>11.11438463859727</v>
          </cell>
          <cell r="AC81">
            <v>10.928387854173938</v>
          </cell>
          <cell r="AD81">
            <v>10.640903407314786</v>
          </cell>
          <cell r="AE81">
            <v>10.642210576464985</v>
          </cell>
          <cell r="AF81">
            <v>11.066660297594879</v>
          </cell>
          <cell r="AG81">
            <v>10.8026398641809</v>
          </cell>
          <cell r="AH81">
            <v>7.3582790406232776</v>
          </cell>
          <cell r="AI81">
            <v>12.529301311732125</v>
          </cell>
          <cell r="AJ81">
            <v>10.07153249272551</v>
          </cell>
          <cell r="AK81">
            <v>9.6767317939609239</v>
          </cell>
          <cell r="AL81">
            <v>10.085744908896034</v>
          </cell>
          <cell r="AM81">
            <v>9.9697006423463819</v>
          </cell>
          <cell r="AN81">
            <v>9.0167320801487296</v>
          </cell>
          <cell r="AO81">
            <v>9.384902143522833</v>
          </cell>
          <cell r="AP81">
            <v>8.8683385579937291</v>
          </cell>
          <cell r="AQ81">
            <v>8.9174660061136279</v>
          </cell>
          <cell r="AR81">
            <v>7.8253552729992526</v>
          </cell>
          <cell r="AS81">
            <v>7.8460665658093802</v>
          </cell>
          <cell r="AT81">
            <v>7.8797106966121051</v>
          </cell>
          <cell r="AU81">
            <v>8.1336624264287067</v>
          </cell>
          <cell r="AV81">
            <v>6.3335880779518536</v>
          </cell>
          <cell r="AW81">
            <v>7.0460374454988459</v>
          </cell>
          <cell r="AX81">
            <v>6.9371777735344669</v>
          </cell>
          <cell r="AY81">
            <v>8.4201745379876787</v>
          </cell>
          <cell r="AZ81">
            <v>8.709116662374452</v>
          </cell>
          <cell r="BA81">
            <v>8.4546681231125103</v>
          </cell>
          <cell r="BB81">
            <v>8.1880909787886527</v>
          </cell>
          <cell r="BC81">
            <v>14.03157760163641</v>
          </cell>
          <cell r="BD81">
            <v>12.742324489928949</v>
          </cell>
          <cell r="BE81">
            <v>13.273867869045285</v>
          </cell>
          <cell r="BF81">
            <v>13.129136924075276</v>
          </cell>
          <cell r="BG81">
            <v>12.883123655563523</v>
          </cell>
          <cell r="BH81">
            <v>13.423321082525895</v>
          </cell>
          <cell r="BI81">
            <v>13.544649397349669</v>
          </cell>
          <cell r="BJ81">
            <v>13.428533297744563</v>
          </cell>
          <cell r="BK81">
            <v>13.488231744115874</v>
          </cell>
          <cell r="BL81">
            <v>13.748021743617974</v>
          </cell>
          <cell r="BM81">
            <v>13.664856691181525</v>
          </cell>
          <cell r="BN81">
            <v>13.497819918333448</v>
          </cell>
          <cell r="BO81">
            <v>13.483357755913755</v>
          </cell>
          <cell r="BP81">
            <v>13.70023419203747</v>
          </cell>
          <cell r="BQ81">
            <v>13.390893712996899</v>
          </cell>
          <cell r="BR81">
            <v>12.455625250233551</v>
          </cell>
          <cell r="BS81">
            <v>13.25752772779542</v>
          </cell>
        </row>
        <row r="83">
          <cell r="A83" t="str">
            <v>Working capital</v>
          </cell>
          <cell r="F83">
            <v>-10306</v>
          </cell>
          <cell r="G83">
            <v>-137</v>
          </cell>
          <cell r="H83">
            <v>-28503</v>
          </cell>
          <cell r="I83">
            <v>-162450</v>
          </cell>
          <cell r="J83">
            <v>-178200</v>
          </cell>
          <cell r="K83">
            <v>-228900</v>
          </cell>
          <cell r="L83">
            <v>-292400</v>
          </cell>
          <cell r="M83">
            <v>-200900</v>
          </cell>
          <cell r="N83">
            <v>42100</v>
          </cell>
          <cell r="O83">
            <v>-133800</v>
          </cell>
          <cell r="P83">
            <v>-224000</v>
          </cell>
          <cell r="Q83">
            <v>-349600</v>
          </cell>
          <cell r="R83">
            <v>-318456.54673636705</v>
          </cell>
          <cell r="S83">
            <v>-343176.03855144035</v>
          </cell>
          <cell r="T83">
            <v>-396229.26642825617</v>
          </cell>
          <cell r="U83">
            <v>-431283.53581140621</v>
          </cell>
          <cell r="V83">
            <v>-466062.51044130337</v>
          </cell>
          <cell r="AA83">
            <v>-137</v>
          </cell>
          <cell r="AB83">
            <v>-10831</v>
          </cell>
          <cell r="AC83">
            <v>-26200</v>
          </cell>
          <cell r="AD83">
            <v>-27686</v>
          </cell>
          <cell r="AE83">
            <v>-28503</v>
          </cell>
          <cell r="AF83">
            <v>-22081</v>
          </cell>
          <cell r="AG83">
            <v>-32625</v>
          </cell>
          <cell r="AH83">
            <v>-596361</v>
          </cell>
          <cell r="AI83">
            <v>-623151</v>
          </cell>
          <cell r="AJ83">
            <v>-557900</v>
          </cell>
          <cell r="AK83">
            <v>-598300</v>
          </cell>
          <cell r="AL83">
            <v>-553700</v>
          </cell>
          <cell r="AM83">
            <v>-594000</v>
          </cell>
          <cell r="AN83">
            <v>-547800</v>
          </cell>
          <cell r="AO83">
            <v>-576000</v>
          </cell>
          <cell r="AP83">
            <v>-532000</v>
          </cell>
          <cell r="AQ83">
            <v>-607100</v>
          </cell>
          <cell r="AR83">
            <v>-506000</v>
          </cell>
          <cell r="AS83">
            <v>-565700</v>
          </cell>
          <cell r="AT83">
            <v>-494100</v>
          </cell>
          <cell r="AU83">
            <v>-631900</v>
          </cell>
          <cell r="AV83">
            <v>-637000</v>
          </cell>
          <cell r="AW83">
            <v>-641500</v>
          </cell>
          <cell r="AX83">
            <v>-625900</v>
          </cell>
          <cell r="AY83">
            <v>-722700</v>
          </cell>
          <cell r="AZ83">
            <v>-627400</v>
          </cell>
          <cell r="BA83">
            <v>-660000</v>
          </cell>
          <cell r="BB83">
            <v>-631900</v>
          </cell>
          <cell r="BC83">
            <v>-1109400</v>
          </cell>
          <cell r="BD83">
            <v>-1010500</v>
          </cell>
          <cell r="BE83">
            <v>-998000</v>
          </cell>
          <cell r="BF83">
            <v>-996400</v>
          </cell>
          <cell r="BG83">
            <v>-1072400</v>
          </cell>
          <cell r="BH83">
            <v>-156700</v>
          </cell>
          <cell r="BI83">
            <v>-220100</v>
          </cell>
          <cell r="BJ83">
            <v>-338500</v>
          </cell>
          <cell r="BK83">
            <v>-224000</v>
          </cell>
          <cell r="BL83">
            <v>-265500</v>
          </cell>
          <cell r="BM83">
            <v>-336600</v>
          </cell>
          <cell r="BN83">
            <v>-387000</v>
          </cell>
          <cell r="BO83">
            <v>-349600</v>
          </cell>
          <cell r="BP83">
            <v>-271900</v>
          </cell>
          <cell r="BQ83">
            <v>-144000</v>
          </cell>
          <cell r="BR83">
            <v>-266000</v>
          </cell>
          <cell r="BS83">
            <v>-318456.54673636705</v>
          </cell>
        </row>
        <row r="84">
          <cell r="A84" t="str">
            <v>Increase (decrease) working capital</v>
          </cell>
          <cell r="G84">
            <v>10169</v>
          </cell>
          <cell r="H84">
            <v>-28366</v>
          </cell>
          <cell r="I84">
            <v>-133947</v>
          </cell>
          <cell r="J84">
            <v>-15750</v>
          </cell>
          <cell r="K84">
            <v>-50700</v>
          </cell>
          <cell r="L84">
            <v>-63500</v>
          </cell>
          <cell r="M84">
            <v>91500</v>
          </cell>
          <cell r="N84">
            <v>243000</v>
          </cell>
          <cell r="O84">
            <v>-175900</v>
          </cell>
          <cell r="P84">
            <v>-90200</v>
          </cell>
          <cell r="Q84">
            <v>-125600</v>
          </cell>
          <cell r="R84">
            <v>31143.453263632953</v>
          </cell>
          <cell r="S84">
            <v>-24719.491815073299</v>
          </cell>
          <cell r="T84">
            <v>-53053.227876815828</v>
          </cell>
          <cell r="U84">
            <v>-35054.269383150036</v>
          </cell>
          <cell r="V84">
            <v>-34778.974629897159</v>
          </cell>
          <cell r="AB84">
            <v>-10694</v>
          </cell>
          <cell r="AC84">
            <v>-15369</v>
          </cell>
          <cell r="AD84">
            <v>-1486</v>
          </cell>
          <cell r="AE84">
            <v>-817</v>
          </cell>
          <cell r="AF84">
            <v>6422</v>
          </cell>
          <cell r="AG84">
            <v>-10544</v>
          </cell>
          <cell r="AH84">
            <v>-563736</v>
          </cell>
          <cell r="AI84">
            <v>-26790</v>
          </cell>
          <cell r="AJ84">
            <v>65251</v>
          </cell>
          <cell r="AK84">
            <v>-40400</v>
          </cell>
          <cell r="AL84">
            <v>44600</v>
          </cell>
          <cell r="AM84">
            <v>-40300</v>
          </cell>
          <cell r="AN84">
            <v>46200</v>
          </cell>
          <cell r="AO84">
            <v>-28200</v>
          </cell>
          <cell r="AP84">
            <v>44000</v>
          </cell>
          <cell r="AQ84">
            <v>-75100</v>
          </cell>
          <cell r="AR84">
            <v>101100</v>
          </cell>
          <cell r="AS84">
            <v>-59700</v>
          </cell>
          <cell r="AT84">
            <v>71600</v>
          </cell>
          <cell r="AU84">
            <v>-137800</v>
          </cell>
          <cell r="AV84">
            <v>-5100</v>
          </cell>
          <cell r="AW84">
            <v>-4500</v>
          </cell>
          <cell r="AX84">
            <v>15600</v>
          </cell>
          <cell r="AY84">
            <v>-96800</v>
          </cell>
          <cell r="AZ84">
            <v>95300</v>
          </cell>
          <cell r="BA84">
            <v>-32600</v>
          </cell>
          <cell r="BB84">
            <v>28100</v>
          </cell>
          <cell r="BC84">
            <v>-477500</v>
          </cell>
          <cell r="BD84">
            <v>98900</v>
          </cell>
          <cell r="BE84">
            <v>12500</v>
          </cell>
          <cell r="BF84">
            <v>1600</v>
          </cell>
          <cell r="BG84">
            <v>-76000</v>
          </cell>
          <cell r="BH84">
            <v>915700</v>
          </cell>
          <cell r="BI84">
            <v>-63400</v>
          </cell>
          <cell r="BJ84">
            <v>-118400</v>
          </cell>
          <cell r="BK84">
            <v>114500</v>
          </cell>
          <cell r="BL84">
            <v>-41500</v>
          </cell>
          <cell r="BM84">
            <v>-71100</v>
          </cell>
          <cell r="BN84">
            <v>-50400</v>
          </cell>
          <cell r="BO84">
            <v>37400</v>
          </cell>
          <cell r="BP84">
            <v>77700</v>
          </cell>
          <cell r="BQ84">
            <v>127900</v>
          </cell>
          <cell r="BR84">
            <v>-122000</v>
          </cell>
          <cell r="BS84">
            <v>-52456.546736367047</v>
          </cell>
        </row>
        <row r="86">
          <cell r="A86" t="str">
            <v>Total debt</v>
          </cell>
          <cell r="F86">
            <v>1463973</v>
          </cell>
          <cell r="G86">
            <v>1600978</v>
          </cell>
          <cell r="H86">
            <v>1180614</v>
          </cell>
          <cell r="I86">
            <v>5488413</v>
          </cell>
          <cell r="J86">
            <v>5355500.0000000009</v>
          </cell>
          <cell r="K86">
            <v>5382500</v>
          </cell>
          <cell r="L86">
            <v>6295200</v>
          </cell>
          <cell r="M86">
            <v>7325800</v>
          </cell>
          <cell r="N86">
            <v>9150400</v>
          </cell>
          <cell r="O86">
            <v>8965800.0000000019</v>
          </cell>
          <cell r="P86">
            <v>8707199.9999999981</v>
          </cell>
          <cell r="Q86">
            <v>8563999.9999999981</v>
          </cell>
          <cell r="R86">
            <v>5699299.9999999991</v>
          </cell>
          <cell r="S86">
            <v>4807299.9999999991</v>
          </cell>
          <cell r="T86">
            <v>4607299.9999999991</v>
          </cell>
          <cell r="U86">
            <v>4427299.9999999991</v>
          </cell>
          <cell r="V86">
            <v>4161099.9999999995</v>
          </cell>
          <cell r="AA86">
            <v>1600978</v>
          </cell>
          <cell r="AB86">
            <v>1200813</v>
          </cell>
          <cell r="AC86">
            <v>1190764</v>
          </cell>
          <cell r="AD86">
            <v>1180678</v>
          </cell>
          <cell r="AE86">
            <v>1180614</v>
          </cell>
          <cell r="AF86">
            <v>1180571</v>
          </cell>
          <cell r="AG86">
            <v>1180555</v>
          </cell>
          <cell r="AH86">
            <v>5498665</v>
          </cell>
          <cell r="AI86">
            <v>5488413</v>
          </cell>
          <cell r="AJ86">
            <v>5488600</v>
          </cell>
          <cell r="AK86">
            <v>5488800</v>
          </cell>
          <cell r="AL86">
            <v>5698900</v>
          </cell>
          <cell r="AM86">
            <v>5355500</v>
          </cell>
          <cell r="AN86">
            <v>5367200</v>
          </cell>
          <cell r="AO86">
            <v>5369000</v>
          </cell>
          <cell r="AP86">
            <v>5395700</v>
          </cell>
          <cell r="AQ86">
            <v>5382500</v>
          </cell>
          <cell r="AR86">
            <v>5379300</v>
          </cell>
          <cell r="AS86">
            <v>5226200</v>
          </cell>
          <cell r="AT86">
            <v>5223100</v>
          </cell>
          <cell r="AU86">
            <v>6295200</v>
          </cell>
          <cell r="AV86">
            <v>6295000</v>
          </cell>
          <cell r="AW86">
            <v>6592100</v>
          </cell>
          <cell r="AX86">
            <v>6686300</v>
          </cell>
          <cell r="AY86">
            <v>7325800</v>
          </cell>
          <cell r="AZ86">
            <v>7423000</v>
          </cell>
          <cell r="BA86">
            <v>7367200</v>
          </cell>
          <cell r="BB86">
            <v>7341400</v>
          </cell>
          <cell r="BC86">
            <v>9150400</v>
          </cell>
          <cell r="BD86">
            <v>8854100</v>
          </cell>
          <cell r="BE86">
            <v>8860100</v>
          </cell>
          <cell r="BF86">
            <v>9030800</v>
          </cell>
          <cell r="BG86">
            <v>8965800</v>
          </cell>
          <cell r="BH86">
            <v>8996700</v>
          </cell>
          <cell r="BI86">
            <v>8944700</v>
          </cell>
          <cell r="BJ86">
            <v>8846800</v>
          </cell>
          <cell r="BK86">
            <v>8707200</v>
          </cell>
          <cell r="BL86">
            <v>8706300</v>
          </cell>
          <cell r="BM86">
            <v>8685600</v>
          </cell>
          <cell r="BN86">
            <v>8661100</v>
          </cell>
          <cell r="BO86">
            <v>8564000</v>
          </cell>
          <cell r="BP86">
            <v>8820600</v>
          </cell>
          <cell r="BQ86">
            <v>5643800</v>
          </cell>
          <cell r="BR86">
            <v>5699300</v>
          </cell>
          <cell r="BS86">
            <v>5699300</v>
          </cell>
        </row>
        <row r="87">
          <cell r="A87" t="str">
            <v xml:space="preserve"> Average total debt</v>
          </cell>
          <cell r="G87">
            <v>1532475.5</v>
          </cell>
          <cell r="H87">
            <v>1390796</v>
          </cell>
          <cell r="I87">
            <v>3334513.5</v>
          </cell>
          <cell r="J87">
            <v>5421956.5</v>
          </cell>
          <cell r="K87">
            <v>5369000</v>
          </cell>
          <cell r="L87">
            <v>5838850</v>
          </cell>
          <cell r="M87">
            <v>6810500</v>
          </cell>
          <cell r="N87">
            <v>8238100</v>
          </cell>
          <cell r="O87">
            <v>9058100</v>
          </cell>
          <cell r="P87">
            <v>8836500</v>
          </cell>
          <cell r="Q87">
            <v>8635599.9999999981</v>
          </cell>
          <cell r="R87">
            <v>7131649.9999999981</v>
          </cell>
          <cell r="S87">
            <v>5253299.9999999991</v>
          </cell>
          <cell r="T87">
            <v>4707299.9999999991</v>
          </cell>
          <cell r="U87">
            <v>4517299.9999999991</v>
          </cell>
          <cell r="V87">
            <v>4294199.9999999991</v>
          </cell>
          <cell r="AB87">
            <v>1400895.5</v>
          </cell>
          <cell r="AC87">
            <v>1195788.5</v>
          </cell>
          <cell r="AD87">
            <v>1185721</v>
          </cell>
          <cell r="AE87">
            <v>1180646</v>
          </cell>
          <cell r="AF87">
            <v>1180592.5</v>
          </cell>
          <cell r="AG87">
            <v>1180563</v>
          </cell>
          <cell r="AH87">
            <v>5498665</v>
          </cell>
          <cell r="AI87">
            <v>5493539</v>
          </cell>
          <cell r="AJ87">
            <v>5488506.5</v>
          </cell>
          <cell r="AK87">
            <v>5488700</v>
          </cell>
          <cell r="AL87">
            <v>5593850</v>
          </cell>
          <cell r="AM87">
            <v>5527200</v>
          </cell>
          <cell r="AN87">
            <v>5361350</v>
          </cell>
          <cell r="AO87">
            <v>5368100</v>
          </cell>
          <cell r="AP87">
            <v>5382350</v>
          </cell>
          <cell r="AQ87">
            <v>5389100</v>
          </cell>
          <cell r="AR87">
            <v>5380900</v>
          </cell>
          <cell r="AS87">
            <v>5302750</v>
          </cell>
          <cell r="AT87">
            <v>5224650</v>
          </cell>
          <cell r="AU87">
            <v>5759150</v>
          </cell>
          <cell r="AV87">
            <v>6295100</v>
          </cell>
          <cell r="AW87">
            <v>6443550</v>
          </cell>
          <cell r="AX87">
            <v>6639200</v>
          </cell>
          <cell r="AY87">
            <v>7006050</v>
          </cell>
          <cell r="AZ87">
            <v>7374400</v>
          </cell>
          <cell r="BA87">
            <v>7395100</v>
          </cell>
          <cell r="BB87">
            <v>7354300</v>
          </cell>
          <cell r="BC87">
            <v>8245900</v>
          </cell>
          <cell r="BD87">
            <v>9002250</v>
          </cell>
          <cell r="BE87">
            <v>8857100</v>
          </cell>
          <cell r="BF87">
            <v>8945450</v>
          </cell>
          <cell r="BG87">
            <v>8998300</v>
          </cell>
          <cell r="BH87">
            <v>8981250</v>
          </cell>
          <cell r="BI87">
            <v>8970700</v>
          </cell>
          <cell r="BJ87">
            <v>8895750</v>
          </cell>
          <cell r="BK87">
            <v>8777000</v>
          </cell>
          <cell r="BL87">
            <v>8706750</v>
          </cell>
          <cell r="BM87">
            <v>8695950</v>
          </cell>
          <cell r="BN87">
            <v>8673350</v>
          </cell>
          <cell r="BO87">
            <v>8612550</v>
          </cell>
          <cell r="BP87">
            <v>8692300</v>
          </cell>
          <cell r="BQ87">
            <v>7232200</v>
          </cell>
          <cell r="BR87">
            <v>5671550</v>
          </cell>
          <cell r="BS87">
            <v>5699300</v>
          </cell>
        </row>
        <row r="89">
          <cell r="A89" t="str">
            <v>Net debt</v>
          </cell>
          <cell r="F89">
            <v>1462559</v>
          </cell>
          <cell r="G89">
            <v>1583944</v>
          </cell>
          <cell r="H89">
            <v>1116436</v>
          </cell>
          <cell r="I89">
            <v>5101561</v>
          </cell>
          <cell r="J89">
            <v>5283500.0000000009</v>
          </cell>
          <cell r="K89">
            <v>5085900</v>
          </cell>
          <cell r="L89">
            <v>5232300</v>
          </cell>
          <cell r="M89">
            <v>7283500</v>
          </cell>
          <cell r="N89">
            <v>8923400</v>
          </cell>
          <cell r="O89">
            <v>8833800.0000000019</v>
          </cell>
          <cell r="P89">
            <v>8658999.9999999981</v>
          </cell>
          <cell r="Q89">
            <v>8536199.9999999981</v>
          </cell>
          <cell r="R89">
            <v>5171682.0230191108</v>
          </cell>
          <cell r="S89">
            <v>4725267.1162501238</v>
          </cell>
          <cell r="T89">
            <v>4531370.0344938347</v>
          </cell>
          <cell r="U89">
            <v>4340968.2433930123</v>
          </cell>
          <cell r="V89">
            <v>4072027.939448033</v>
          </cell>
          <cell r="AH89">
            <v>5125689</v>
          </cell>
          <cell r="AI89">
            <v>5101561</v>
          </cell>
          <cell r="AJ89">
            <v>5091000</v>
          </cell>
          <cell r="AK89">
            <v>5005000</v>
          </cell>
          <cell r="AL89">
            <v>5631000</v>
          </cell>
          <cell r="AM89">
            <v>5283500</v>
          </cell>
          <cell r="AN89">
            <v>5313700</v>
          </cell>
          <cell r="AO89">
            <v>5309400</v>
          </cell>
          <cell r="AP89">
            <v>5284100</v>
          </cell>
          <cell r="AQ89">
            <v>5085900</v>
          </cell>
          <cell r="AR89">
            <v>5067100</v>
          </cell>
          <cell r="AS89">
            <v>4980800</v>
          </cell>
          <cell r="AT89">
            <v>4933100</v>
          </cell>
          <cell r="AU89">
            <v>5232300</v>
          </cell>
          <cell r="AV89">
            <v>5714900</v>
          </cell>
          <cell r="AW89">
            <v>6538600</v>
          </cell>
          <cell r="AX89">
            <v>6531100</v>
          </cell>
          <cell r="AY89">
            <v>7283500</v>
          </cell>
          <cell r="AZ89">
            <v>7387200</v>
          </cell>
          <cell r="BA89">
            <v>7315100</v>
          </cell>
          <cell r="BB89">
            <v>7307100</v>
          </cell>
          <cell r="BC89">
            <v>8923400</v>
          </cell>
          <cell r="BD89">
            <v>8789900</v>
          </cell>
          <cell r="BE89">
            <v>8822600</v>
          </cell>
          <cell r="BF89">
            <v>8916000</v>
          </cell>
          <cell r="BG89">
            <v>8833800</v>
          </cell>
          <cell r="BH89">
            <v>8942300</v>
          </cell>
          <cell r="BI89">
            <v>8866400</v>
          </cell>
          <cell r="BJ89">
            <v>8773400</v>
          </cell>
          <cell r="BK89">
            <v>8659000</v>
          </cell>
          <cell r="BL89">
            <v>8636300</v>
          </cell>
          <cell r="BM89">
            <v>8630800</v>
          </cell>
          <cell r="BN89">
            <v>8557400</v>
          </cell>
          <cell r="BO89">
            <v>8536200</v>
          </cell>
          <cell r="BP89">
            <v>8746600</v>
          </cell>
          <cell r="BQ89">
            <v>5596800</v>
          </cell>
          <cell r="BR89">
            <v>5602100</v>
          </cell>
          <cell r="BS89">
            <v>5171682.0230191126</v>
          </cell>
        </row>
        <row r="90">
          <cell r="A90" t="str">
            <v xml:space="preserve"> Average net debt</v>
          </cell>
          <cell r="G90">
            <v>1523251.5</v>
          </cell>
          <cell r="H90">
            <v>1350190</v>
          </cell>
          <cell r="I90">
            <v>3108998.5</v>
          </cell>
          <cell r="J90">
            <v>5192530.5</v>
          </cell>
          <cell r="K90">
            <v>5184700</v>
          </cell>
          <cell r="L90">
            <v>5159100</v>
          </cell>
          <cell r="M90">
            <v>6257900</v>
          </cell>
          <cell r="N90">
            <v>8103450</v>
          </cell>
          <cell r="O90">
            <v>8878600</v>
          </cell>
          <cell r="P90">
            <v>8746400</v>
          </cell>
          <cell r="Q90">
            <v>8597599.9999999981</v>
          </cell>
          <cell r="R90">
            <v>6853941.0115095545</v>
          </cell>
          <cell r="S90">
            <v>4948474.5696346173</v>
          </cell>
          <cell r="T90">
            <v>4628318.5753719788</v>
          </cell>
          <cell r="U90">
            <v>4436169.1389434235</v>
          </cell>
          <cell r="V90">
            <v>4206498.0914205229</v>
          </cell>
        </row>
        <row r="92">
          <cell r="A92" t="str">
            <v>Leverage ratios</v>
          </cell>
        </row>
        <row r="93">
          <cell r="A93" t="str">
            <v>Net Debt/EBITDA</v>
          </cell>
          <cell r="I93">
            <v>3.1218877112978367</v>
          </cell>
          <cell r="J93">
            <v>3.0368433153236003</v>
          </cell>
          <cell r="K93">
            <v>2.7521103896103898</v>
          </cell>
          <cell r="L93">
            <v>2.6833683778655315</v>
          </cell>
          <cell r="M93">
            <v>3.1336316310286967</v>
          </cell>
          <cell r="N93">
            <v>4.0130419140133116</v>
          </cell>
          <cell r="O93">
            <v>3.8857218263394033</v>
          </cell>
          <cell r="P93">
            <v>3.6249843010842717</v>
          </cell>
          <cell r="Q93">
            <v>4.3791104499050943</v>
          </cell>
          <cell r="R93">
            <v>2.7823423354423529</v>
          </cell>
          <cell r="S93">
            <v>2.6241020864468423</v>
          </cell>
          <cell r="T93">
            <v>2.6289972812728619</v>
          </cell>
          <cell r="U93">
            <v>2.5446284153608998</v>
          </cell>
          <cell r="V93">
            <v>2.3968155803894144</v>
          </cell>
          <cell r="AH93">
            <v>3.1226611365933392</v>
          </cell>
          <cell r="AI93">
            <v>3.1218877112978367</v>
          </cell>
          <cell r="AJ93">
            <v>3.062086188313188</v>
          </cell>
          <cell r="AK93">
            <v>2.9721361493704772</v>
          </cell>
          <cell r="AL93">
            <v>3.2569691389015496</v>
          </cell>
          <cell r="AM93">
            <v>3.0368433153236003</v>
          </cell>
          <cell r="AN93">
            <v>2.9798676536563482</v>
          </cell>
          <cell r="AO93">
            <v>2.9259340901576105</v>
          </cell>
          <cell r="AP93">
            <v>2.8942871227474392</v>
          </cell>
          <cell r="AQ93">
            <v>2.7521103896103898</v>
          </cell>
          <cell r="AR93">
            <v>2.7053390282968501</v>
          </cell>
          <cell r="AS93">
            <v>2.6402332361516034</v>
          </cell>
          <cell r="AT93">
            <v>2.5792638293422567</v>
          </cell>
          <cell r="AU93">
            <v>2.6833683778655315</v>
          </cell>
          <cell r="AV93">
            <v>2.7922509405384277</v>
          </cell>
          <cell r="AW93">
            <v>3.0416337163325116</v>
          </cell>
          <cell r="AX93">
            <v>2.8928112681047082</v>
          </cell>
          <cell r="AY93">
            <v>3.1336316310286967</v>
          </cell>
          <cell r="AZ93">
            <v>3.1731958762886596</v>
          </cell>
          <cell r="BA93">
            <v>3.1267792263304126</v>
          </cell>
          <cell r="BB93">
            <v>3.1039887855231298</v>
          </cell>
          <cell r="BC93">
            <v>4.0130419140133116</v>
          </cell>
          <cell r="BD93">
            <v>3.9830976980242885</v>
          </cell>
          <cell r="BE93">
            <v>4.0212397447584323</v>
          </cell>
          <cell r="BF93">
            <v>4.0882204594433489</v>
          </cell>
          <cell r="BG93">
            <v>3.8857218263394033</v>
          </cell>
          <cell r="BH93">
            <v>3.9412490634228039</v>
          </cell>
          <cell r="BI93">
            <v>3.9311873725281545</v>
          </cell>
          <cell r="BJ93">
            <v>3.9284466932342275</v>
          </cell>
          <cell r="BK93">
            <v>3.6249843010842717</v>
          </cell>
          <cell r="BL93">
            <v>3.6986295503211992</v>
          </cell>
          <cell r="BM93">
            <v>3.7784782418352156</v>
          </cell>
          <cell r="BN93">
            <v>3.8401543708490395</v>
          </cell>
          <cell r="BO93">
            <v>4.3791104499050943</v>
          </cell>
          <cell r="BP93">
            <v>4.5909090909090908</v>
          </cell>
          <cell r="BQ93">
            <v>2.9963060120991489</v>
          </cell>
          <cell r="BR93">
            <v>2.9536036273527708</v>
          </cell>
          <cell r="BS93">
            <v>2.7823423354423529</v>
          </cell>
        </row>
        <row r="94">
          <cell r="A94" t="str">
            <v>Net Debt/adjusted EBITDA</v>
          </cell>
          <cell r="I94">
            <v>3.1218877112978367</v>
          </cell>
          <cell r="J94">
            <v>3.0043784828841122</v>
          </cell>
          <cell r="K94">
            <v>2.7214790239726026</v>
          </cell>
          <cell r="L94">
            <v>2.5293918592284639</v>
          </cell>
          <cell r="M94">
            <v>3.0272236076475476</v>
          </cell>
          <cell r="N94">
            <v>3.6724833319614785</v>
          </cell>
          <cell r="O94">
            <v>3.7057639063679839</v>
          </cell>
          <cell r="P94">
            <v>3.7353867391398126</v>
          </cell>
          <cell r="Q94">
            <v>4.0276493347173732</v>
          </cell>
          <cell r="R94">
            <v>3.3358133183186638</v>
          </cell>
          <cell r="S94">
            <v>3.8603573594441407</v>
          </cell>
          <cell r="T94">
            <v>3.8166720136121435</v>
          </cell>
          <cell r="U94">
            <v>3.7219060915431319</v>
          </cell>
          <cell r="V94">
            <v>3.5223280710675544</v>
          </cell>
          <cell r="AH94">
            <v>3.1226611365933392</v>
          </cell>
          <cell r="AI94">
            <v>3.1218877112978367</v>
          </cell>
          <cell r="AJ94">
            <v>3.0541870739076078</v>
          </cell>
          <cell r="AK94">
            <v>2.9551141482953627</v>
          </cell>
          <cell r="AL94">
            <v>3.2296955333729471</v>
          </cell>
          <cell r="AM94">
            <v>3.0043784828841122</v>
          </cell>
          <cell r="AN94">
            <v>2.9473071163126074</v>
          </cell>
          <cell r="AO94">
            <v>2.8938791083010846</v>
          </cell>
          <cell r="AP94">
            <v>2.8632348956922242</v>
          </cell>
          <cell r="AQ94">
            <v>2.7214790239726026</v>
          </cell>
          <cell r="AR94">
            <v>2.6414533701715062</v>
          </cell>
          <cell r="AS94">
            <v>2.5453802125919869</v>
          </cell>
          <cell r="AT94">
            <v>2.4580696596741243</v>
          </cell>
          <cell r="AU94">
            <v>2.5293918592284639</v>
          </cell>
          <cell r="AV94">
            <v>2.6619311565513066</v>
          </cell>
          <cell r="AW94">
            <v>2.9294802867383511</v>
          </cell>
          <cell r="AX94">
            <v>2.8119779557392577</v>
          </cell>
          <cell r="AY94">
            <v>3.0272236076475476</v>
          </cell>
          <cell r="AZ94">
            <v>3.0700689884465131</v>
          </cell>
          <cell r="BA94">
            <v>3.0255190669203409</v>
          </cell>
          <cell r="BB94">
            <v>3.0046876927505242</v>
          </cell>
          <cell r="BC94">
            <v>3.6724833319614785</v>
          </cell>
          <cell r="BD94">
            <v>3.6448415989384642</v>
          </cell>
          <cell r="BE94">
            <v>3.6863744620398613</v>
          </cell>
          <cell r="BF94">
            <v>3.756161267219952</v>
          </cell>
          <cell r="BG94">
            <v>3.7057639063679839</v>
          </cell>
          <cell r="BH94">
            <v>3.750807432574137</v>
          </cell>
          <cell r="BI94">
            <v>3.7319639700311473</v>
          </cell>
          <cell r="BJ94">
            <v>3.7181725716223091</v>
          </cell>
          <cell r="BK94">
            <v>3.7353867391398126</v>
          </cell>
          <cell r="BL94">
            <v>3.8100763224070233</v>
          </cell>
          <cell r="BM94">
            <v>3.8816280638632787</v>
          </cell>
          <cell r="BN94">
            <v>3.9464121010883599</v>
          </cell>
          <cell r="BO94">
            <v>4.0276493347173732</v>
          </cell>
          <cell r="BP94">
            <v>4.2154320690153746</v>
          </cell>
          <cell r="BQ94">
            <v>2.7623513153348798</v>
          </cell>
          <cell r="BR94">
            <v>2.7236970050563984</v>
          </cell>
          <cell r="BS94">
            <v>2.5378114669173266</v>
          </cell>
        </row>
        <row r="96">
          <cell r="A96" t="str">
            <v>EBITDA/Interest expense</v>
          </cell>
          <cell r="L96">
            <v>4.4114087142233371</v>
          </cell>
          <cell r="M96">
            <v>4.4047695753849885</v>
          </cell>
          <cell r="N96">
            <v>3.6608856854035436</v>
          </cell>
          <cell r="O96">
            <v>3.6368581027035676</v>
          </cell>
          <cell r="P96">
            <v>3.8054803249960174</v>
          </cell>
          <cell r="Q96">
            <v>3.4090591115774744</v>
          </cell>
          <cell r="R96">
            <v>2.2676225456398225</v>
          </cell>
          <cell r="S96">
            <v>1.8656380732981288</v>
          </cell>
          <cell r="T96">
            <v>1.8391988836846946</v>
          </cell>
          <cell r="U96">
            <v>1.8277915043067987</v>
          </cell>
          <cell r="V96">
            <v>1.8326044176593559</v>
          </cell>
          <cell r="AN96">
            <v>4.4857142857142858</v>
          </cell>
          <cell r="AO96">
            <v>4.5077220077220082</v>
          </cell>
          <cell r="AP96">
            <v>4.3649564375605037</v>
          </cell>
          <cell r="AQ96">
            <v>4.3933014354066984</v>
          </cell>
          <cell r="AR96">
            <v>4.6227259170891735</v>
          </cell>
          <cell r="AS96">
            <v>4.5583045573558989</v>
          </cell>
          <cell r="AT96">
            <v>4.5071008097663299</v>
          </cell>
          <cell r="AU96">
            <v>4.0203446935337563</v>
          </cell>
          <cell r="AV96">
            <v>4.7084240123270478</v>
          </cell>
          <cell r="AW96">
            <v>4.5277835975510392</v>
          </cell>
          <cell r="AX96">
            <v>4.4056512832871428</v>
          </cell>
          <cell r="AY96">
            <v>4.0179559095353303</v>
          </cell>
          <cell r="AZ96">
            <v>4.0443968322846606</v>
          </cell>
          <cell r="BA96">
            <v>4.0229341050154837</v>
          </cell>
          <cell r="BB96">
            <v>4.0765266578736252</v>
          </cell>
          <cell r="BC96">
            <v>2.6225154319116166</v>
          </cell>
          <cell r="BD96">
            <v>3.704153354632588</v>
          </cell>
          <cell r="BE96">
            <v>3.7928338762214984</v>
          </cell>
          <cell r="BF96">
            <v>3.7741312741312742</v>
          </cell>
          <cell r="BG96">
            <v>3.2874139010644958</v>
          </cell>
          <cell r="BH96">
            <v>3.4055654233274129</v>
          </cell>
          <cell r="BI96">
            <v>3.5104938271604937</v>
          </cell>
          <cell r="BJ96">
            <v>3.793010752688172</v>
          </cell>
          <cell r="BK96">
            <v>4.5972972972972972</v>
          </cell>
          <cell r="BL96">
            <v>3.6751233262861169</v>
          </cell>
          <cell r="BM96">
            <v>3.6343859649122807</v>
          </cell>
          <cell r="BN96">
            <v>3.5467224546722456</v>
          </cell>
          <cell r="BO96">
            <v>2.7868055555555555</v>
          </cell>
          <cell r="BP96">
            <v>3.3834160170092131</v>
          </cell>
          <cell r="BQ96">
            <v>2.2096551724137932</v>
          </cell>
          <cell r="BR96">
            <v>2.3344917463075587</v>
          </cell>
          <cell r="BS96">
            <v>1.5736871875441938</v>
          </cell>
        </row>
        <row r="98">
          <cell r="A98" t="str">
            <v>Interest Calculations</v>
          </cell>
        </row>
        <row r="100">
          <cell r="A100" t="str">
            <v>Total Interest expense</v>
          </cell>
          <cell r="F100">
            <v>119185</v>
          </cell>
          <cell r="G100">
            <v>110287</v>
          </cell>
          <cell r="H100">
            <v>83154</v>
          </cell>
          <cell r="I100">
            <v>262184</v>
          </cell>
          <cell r="J100">
            <v>444400</v>
          </cell>
          <cell r="K100">
            <v>416400</v>
          </cell>
          <cell r="L100">
            <v>442013</v>
          </cell>
          <cell r="M100">
            <v>527678</v>
          </cell>
          <cell r="N100">
            <v>607394</v>
          </cell>
          <cell r="O100">
            <v>625100</v>
          </cell>
          <cell r="P100">
            <v>627700</v>
          </cell>
          <cell r="Q100">
            <v>571800</v>
          </cell>
          <cell r="R100">
            <v>819691.6</v>
          </cell>
          <cell r="S100">
            <v>315197.99999999994</v>
          </cell>
          <cell r="T100">
            <v>287145.29999999993</v>
          </cell>
          <cell r="U100">
            <v>280072.59999999992</v>
          </cell>
          <cell r="V100">
            <v>270534.59999999992</v>
          </cell>
          <cell r="X100">
            <v>27730</v>
          </cell>
          <cell r="Y100">
            <v>27365</v>
          </cell>
          <cell r="Z100">
            <v>28289</v>
          </cell>
          <cell r="AA100">
            <v>26903</v>
          </cell>
          <cell r="AB100">
            <v>26048</v>
          </cell>
          <cell r="AC100">
            <v>18864</v>
          </cell>
          <cell r="AD100">
            <v>19814</v>
          </cell>
          <cell r="AE100">
            <v>18428</v>
          </cell>
          <cell r="AF100">
            <v>20615</v>
          </cell>
          <cell r="AG100">
            <v>21655</v>
          </cell>
          <cell r="AH100">
            <v>110202</v>
          </cell>
          <cell r="AI100">
            <v>109712</v>
          </cell>
          <cell r="AJ100">
            <v>114700</v>
          </cell>
          <cell r="AK100">
            <v>108100</v>
          </cell>
          <cell r="AL100">
            <v>109600</v>
          </cell>
          <cell r="AM100">
            <v>112000</v>
          </cell>
          <cell r="AN100">
            <v>105000</v>
          </cell>
          <cell r="AO100">
            <v>103600</v>
          </cell>
          <cell r="AP100">
            <v>103300</v>
          </cell>
          <cell r="AQ100">
            <v>104500</v>
          </cell>
          <cell r="AR100">
            <v>107296</v>
          </cell>
          <cell r="AS100">
            <v>105412</v>
          </cell>
          <cell r="AT100">
            <v>105833</v>
          </cell>
          <cell r="AU100">
            <v>123472</v>
          </cell>
          <cell r="AV100">
            <v>125902</v>
          </cell>
          <cell r="AW100">
            <v>128871</v>
          </cell>
          <cell r="AX100">
            <v>132784</v>
          </cell>
          <cell r="AY100">
            <v>140121</v>
          </cell>
          <cell r="AZ100">
            <v>147488</v>
          </cell>
          <cell r="BA100">
            <v>147902</v>
          </cell>
          <cell r="BB100">
            <v>147086</v>
          </cell>
          <cell r="BC100">
            <v>164918</v>
          </cell>
          <cell r="BD100">
            <v>156500</v>
          </cell>
          <cell r="BE100">
            <v>153500</v>
          </cell>
          <cell r="BF100">
            <v>155400</v>
          </cell>
          <cell r="BG100">
            <v>159700</v>
          </cell>
          <cell r="BH100">
            <v>168900</v>
          </cell>
          <cell r="BI100">
            <v>162000</v>
          </cell>
          <cell r="BJ100">
            <v>148800</v>
          </cell>
          <cell r="BK100">
            <v>148000</v>
          </cell>
          <cell r="BL100">
            <v>141900</v>
          </cell>
          <cell r="BM100">
            <v>142500</v>
          </cell>
          <cell r="BN100">
            <v>143400</v>
          </cell>
          <cell r="BO100">
            <v>144000</v>
          </cell>
          <cell r="BP100">
            <v>141100</v>
          </cell>
          <cell r="BQ100">
            <v>217500</v>
          </cell>
          <cell r="BR100">
            <v>230200</v>
          </cell>
          <cell r="BS100">
            <v>230891.6</v>
          </cell>
        </row>
        <row r="101">
          <cell r="A101" t="str">
            <v>Total Interest expense (less lease payment)</v>
          </cell>
          <cell r="BQ101">
            <v>-162500</v>
          </cell>
          <cell r="BR101">
            <v>-162500</v>
          </cell>
          <cell r="BS101">
            <v>-162500</v>
          </cell>
        </row>
        <row r="102">
          <cell r="A102" t="str">
            <v xml:space="preserve">    Blended Interest rate</v>
          </cell>
          <cell r="G102">
            <v>7.1966566512808847E-2</v>
          </cell>
          <cell r="H102">
            <v>5.9788782826525243E-2</v>
          </cell>
          <cell r="I102">
            <v>7.8627361982490096E-2</v>
          </cell>
          <cell r="J102">
            <v>8.1963033085934944E-2</v>
          </cell>
          <cell r="K102">
            <v>7.7556341963121625E-2</v>
          </cell>
          <cell r="L102">
            <v>7.5702064618888995E-2</v>
          </cell>
          <cell r="M102">
            <v>7.7480067542764847E-2</v>
          </cell>
          <cell r="N102">
            <v>7.3729864896031852E-2</v>
          </cell>
          <cell r="O102">
            <v>6.9010057296784097E-2</v>
          </cell>
          <cell r="P102">
            <v>7.10349120126747E-2</v>
          </cell>
          <cell r="Q102">
            <v>6.6214275788596053E-2</v>
          </cell>
          <cell r="R102">
            <v>0.11493716040467496</v>
          </cell>
          <cell r="S102">
            <v>0.06</v>
          </cell>
          <cell r="T102">
            <v>6.0999999999999999E-2</v>
          </cell>
          <cell r="U102">
            <v>6.2E-2</v>
          </cell>
          <cell r="V102">
            <v>6.3E-2</v>
          </cell>
          <cell r="AB102">
            <v>7.4375283524003036E-2</v>
          </cell>
          <cell r="AC102">
            <v>6.3101459831734458E-2</v>
          </cell>
          <cell r="AD102">
            <v>6.6842031135486341E-2</v>
          </cell>
          <cell r="AE102">
            <v>6.2433616850436115E-2</v>
          </cell>
          <cell r="AF102">
            <v>6.9846284810381229E-2</v>
          </cell>
          <cell r="AG102">
            <v>7.337177262035148E-2</v>
          </cell>
          <cell r="AH102">
            <v>8.016636765469437E-2</v>
          </cell>
          <cell r="AI102">
            <v>7.988438782358695E-2</v>
          </cell>
          <cell r="AJ102">
            <v>8.3592868114486157E-2</v>
          </cell>
          <cell r="AK102">
            <v>7.8780038989195986E-2</v>
          </cell>
          <cell r="AL102">
            <v>7.8371783297728759E-2</v>
          </cell>
          <cell r="AM102">
            <v>8.1053698074974673E-2</v>
          </cell>
          <cell r="AN102">
            <v>7.833847818180123E-2</v>
          </cell>
          <cell r="AO102">
            <v>7.719677353253479E-2</v>
          </cell>
          <cell r="AP102">
            <v>7.6769440857617957E-2</v>
          </cell>
          <cell r="AQ102">
            <v>7.7563971720695485E-2</v>
          </cell>
          <cell r="AR102">
            <v>7.9760634838038247E-2</v>
          </cell>
          <cell r="AS102">
            <v>7.9514968648342843E-2</v>
          </cell>
          <cell r="AT102">
            <v>8.102590604155302E-2</v>
          </cell>
          <cell r="AU102">
            <v>8.5757099571985448E-2</v>
          </cell>
          <cell r="AV102">
            <v>0.08</v>
          </cell>
          <cell r="AW102">
            <v>0.08</v>
          </cell>
          <cell r="AX102">
            <v>0.08</v>
          </cell>
          <cell r="AY102">
            <v>0.08</v>
          </cell>
          <cell r="AZ102">
            <v>0.08</v>
          </cell>
          <cell r="BA102">
            <v>0.08</v>
          </cell>
          <cell r="BB102">
            <v>0.08</v>
          </cell>
          <cell r="BC102">
            <v>0.08</v>
          </cell>
          <cell r="BD102">
            <v>6.9538171012802352E-2</v>
          </cell>
          <cell r="BE102">
            <v>6.9322916078626187E-2</v>
          </cell>
          <cell r="BF102">
            <v>6.9487840186910663E-2</v>
          </cell>
          <cell r="BG102">
            <v>7.0991187224253474E-2</v>
          </cell>
          <cell r="BH102">
            <v>7.5223382045929016E-2</v>
          </cell>
          <cell r="BI102">
            <v>7.223516559465816E-2</v>
          </cell>
          <cell r="BJ102">
            <v>6.690835511339685E-2</v>
          </cell>
          <cell r="BK102">
            <v>6.7449014469636553E-2</v>
          </cell>
          <cell r="BL102">
            <v>6.5190800241192184E-2</v>
          </cell>
          <cell r="BM102">
            <v>6.554775498939161E-2</v>
          </cell>
          <cell r="BN102">
            <v>6.6133616192128764E-2</v>
          </cell>
          <cell r="BO102">
            <v>6.6879147290872035E-2</v>
          </cell>
          <cell r="BP102">
            <v>6.493103091241674E-2</v>
          </cell>
          <cell r="BQ102">
            <v>3.0419512734714195E-2</v>
          </cell>
          <cell r="BR102">
            <v>4.7747088538406611E-2</v>
          </cell>
          <cell r="BS102">
            <v>4.8000000000000001E-2</v>
          </cell>
        </row>
        <row r="103">
          <cell r="A103" t="str">
            <v>Interest expense (Term Loans)</v>
          </cell>
        </row>
        <row r="105">
          <cell r="A105" t="str">
            <v>Other income (expense)</v>
          </cell>
          <cell r="H105">
            <v>-1898</v>
          </cell>
          <cell r="I105">
            <v>9076</v>
          </cell>
          <cell r="J105">
            <v>11100</v>
          </cell>
          <cell r="K105">
            <v>2100</v>
          </cell>
          <cell r="L105">
            <v>1158</v>
          </cell>
          <cell r="M105">
            <v>-3056</v>
          </cell>
          <cell r="N105">
            <v>-100</v>
          </cell>
          <cell r="O105">
            <v>4400</v>
          </cell>
          <cell r="P105">
            <v>-12500</v>
          </cell>
          <cell r="Q105">
            <v>100</v>
          </cell>
          <cell r="R105">
            <v>55900</v>
          </cell>
          <cell r="S105">
            <v>0</v>
          </cell>
          <cell r="T105">
            <v>0</v>
          </cell>
          <cell r="U105">
            <v>0</v>
          </cell>
          <cell r="V105">
            <v>0</v>
          </cell>
          <cell r="X105">
            <v>-70</v>
          </cell>
          <cell r="Y105">
            <v>-18287</v>
          </cell>
          <cell r="Z105">
            <v>-6703</v>
          </cell>
          <cell r="AA105">
            <v>-56</v>
          </cell>
          <cell r="AB105">
            <v>83</v>
          </cell>
          <cell r="AC105">
            <v>518</v>
          </cell>
          <cell r="AD105">
            <v>300</v>
          </cell>
          <cell r="AE105">
            <v>-2799</v>
          </cell>
          <cell r="AF105">
            <v>713</v>
          </cell>
          <cell r="AG105">
            <v>889</v>
          </cell>
          <cell r="AH105">
            <v>2545</v>
          </cell>
          <cell r="AI105">
            <v>4929</v>
          </cell>
          <cell r="AJ105">
            <v>5200</v>
          </cell>
          <cell r="AK105">
            <v>6300</v>
          </cell>
          <cell r="AL105">
            <v>200</v>
          </cell>
          <cell r="AM105">
            <v>-600</v>
          </cell>
          <cell r="AN105">
            <v>5600</v>
          </cell>
          <cell r="AO105">
            <v>3000</v>
          </cell>
          <cell r="AP105">
            <v>500</v>
          </cell>
          <cell r="AQ105">
            <v>-7000</v>
          </cell>
          <cell r="AR105">
            <v>1514</v>
          </cell>
          <cell r="AS105">
            <v>879</v>
          </cell>
          <cell r="AT105">
            <v>-875</v>
          </cell>
          <cell r="AU105">
            <v>-360</v>
          </cell>
          <cell r="AV105">
            <v>144</v>
          </cell>
          <cell r="AW105">
            <v>-900</v>
          </cell>
          <cell r="AX105">
            <v>-3000</v>
          </cell>
          <cell r="AY105">
            <v>700</v>
          </cell>
          <cell r="AZ105">
            <v>2600</v>
          </cell>
          <cell r="BA105">
            <v>-3200</v>
          </cell>
          <cell r="BB105">
            <v>-1500</v>
          </cell>
          <cell r="BC105">
            <v>2000</v>
          </cell>
          <cell r="BD105">
            <v>6600</v>
          </cell>
          <cell r="BE105">
            <v>3200</v>
          </cell>
          <cell r="BF105">
            <v>-5300</v>
          </cell>
          <cell r="BG105">
            <v>-100</v>
          </cell>
          <cell r="BH105">
            <v>2300</v>
          </cell>
          <cell r="BI105">
            <v>-1700</v>
          </cell>
          <cell r="BJ105">
            <v>-5600</v>
          </cell>
          <cell r="BK105">
            <v>-7500</v>
          </cell>
          <cell r="BL105">
            <v>900</v>
          </cell>
          <cell r="BM105">
            <v>-700</v>
          </cell>
          <cell r="BN105">
            <v>-100</v>
          </cell>
          <cell r="BO105">
            <v>0</v>
          </cell>
          <cell r="BP105">
            <v>-1200</v>
          </cell>
          <cell r="BQ105">
            <v>22300</v>
          </cell>
          <cell r="BR105">
            <v>17400</v>
          </cell>
          <cell r="BS105">
            <v>17400</v>
          </cell>
        </row>
        <row r="106">
          <cell r="A106" t="str">
            <v>% y/y growth</v>
          </cell>
        </row>
        <row r="107">
          <cell r="A107" t="str">
            <v xml:space="preserve"> other income (exp.) excl. interest income</v>
          </cell>
          <cell r="H107">
            <v>-4183.5805</v>
          </cell>
          <cell r="I107">
            <v>-1960.1658750000001</v>
          </cell>
          <cell r="J107">
            <v>-3339.3935000000001</v>
          </cell>
          <cell r="K107">
            <v>-2501.25</v>
          </cell>
          <cell r="L107">
            <v>-16024.6875</v>
          </cell>
          <cell r="M107">
            <v>-19823.5</v>
          </cell>
          <cell r="N107">
            <v>-3310.625</v>
          </cell>
          <cell r="O107">
            <v>-550</v>
          </cell>
          <cell r="P107">
            <v>-16202.5</v>
          </cell>
          <cell r="Q107">
            <v>-3231.25</v>
          </cell>
          <cell r="R107">
            <v>49701.13764386945</v>
          </cell>
          <cell r="S107">
            <v>-3810.3178795672684</v>
          </cell>
          <cell r="T107">
            <v>-987.26780785024721</v>
          </cell>
          <cell r="U107">
            <v>-1014.1357632071955</v>
          </cell>
          <cell r="V107">
            <v>-1096.273857243458</v>
          </cell>
          <cell r="AB107">
            <v>-260.95550000000003</v>
          </cell>
          <cell r="AC107">
            <v>-89.912374999999997</v>
          </cell>
          <cell r="AD107">
            <v>-354.45625000000007</v>
          </cell>
          <cell r="AE107">
            <v>-3478.2563749999999</v>
          </cell>
          <cell r="AF107">
            <v>-107.90925000000004</v>
          </cell>
          <cell r="AG107">
            <v>-103.35412500000007</v>
          </cell>
          <cell r="AH107">
            <v>-2023.9560000000001</v>
          </cell>
          <cell r="AI107">
            <v>275.05349999999999</v>
          </cell>
          <cell r="AJ107">
            <v>395.23149999999987</v>
          </cell>
          <cell r="AK107">
            <v>901.42500000000018</v>
          </cell>
          <cell r="AL107">
            <v>-3179.1624999999999</v>
          </cell>
          <cell r="AM107">
            <v>-1456.8875</v>
          </cell>
          <cell r="AN107">
            <v>4894.0625</v>
          </cell>
          <cell r="AO107">
            <v>2363.8125</v>
          </cell>
          <cell r="AP107">
            <v>-463</v>
          </cell>
          <cell r="AQ107">
            <v>-9296.125</v>
          </cell>
          <cell r="AR107">
            <v>-1910.5</v>
          </cell>
          <cell r="AS107">
            <v>-2257.5</v>
          </cell>
          <cell r="AT107">
            <v>-3886.625</v>
          </cell>
          <cell r="AU107">
            <v>-7970.0625</v>
          </cell>
          <cell r="AV107">
            <v>-10124.75</v>
          </cell>
          <cell r="AW107">
            <v>-4860</v>
          </cell>
          <cell r="AX107">
            <v>-4304.375</v>
          </cell>
          <cell r="AY107">
            <v>-534.375</v>
          </cell>
          <cell r="AZ107">
            <v>2111.875</v>
          </cell>
          <cell r="BA107">
            <v>-3749.375</v>
          </cell>
          <cell r="BB107">
            <v>-2040</v>
          </cell>
          <cell r="BC107">
            <v>366.875</v>
          </cell>
          <cell r="BD107">
            <v>4780</v>
          </cell>
          <cell r="BE107">
            <v>2564.375</v>
          </cell>
          <cell r="BF107">
            <v>-6251.875</v>
          </cell>
          <cell r="BG107">
            <v>-1642.5</v>
          </cell>
          <cell r="BH107">
            <v>1135</v>
          </cell>
          <cell r="BI107">
            <v>-2529.375</v>
          </cell>
          <cell r="BJ107">
            <v>-6548.125</v>
          </cell>
          <cell r="BK107">
            <v>-8260</v>
          </cell>
          <cell r="BL107">
            <v>161.25</v>
          </cell>
          <cell r="BM107">
            <v>-1480</v>
          </cell>
          <cell r="BN107">
            <v>-1090.625</v>
          </cell>
          <cell r="BO107">
            <v>-821.875</v>
          </cell>
          <cell r="BP107">
            <v>-1836.25</v>
          </cell>
          <cell r="BQ107">
            <v>21543.75</v>
          </cell>
          <cell r="BR107">
            <v>16498.75</v>
          </cell>
          <cell r="BS107">
            <v>13494.887643869451</v>
          </cell>
        </row>
        <row r="109">
          <cell r="A109" t="str">
            <v>Interest Income</v>
          </cell>
          <cell r="G109">
            <v>184.48</v>
          </cell>
          <cell r="H109">
            <v>2285.5805</v>
          </cell>
          <cell r="I109">
            <v>11036.165875000001</v>
          </cell>
          <cell r="J109">
            <v>14439.3935</v>
          </cell>
          <cell r="K109">
            <v>4601.25</v>
          </cell>
          <cell r="L109">
            <v>17182.6875</v>
          </cell>
          <cell r="M109">
            <v>16767.5</v>
          </cell>
          <cell r="N109">
            <v>3210.625</v>
          </cell>
          <cell r="O109">
            <v>4950</v>
          </cell>
          <cell r="P109">
            <v>3702.5</v>
          </cell>
          <cell r="Q109">
            <v>3331.25</v>
          </cell>
          <cell r="R109">
            <v>6198.8623561305485</v>
          </cell>
          <cell r="S109">
            <v>3810.3178795672684</v>
          </cell>
          <cell r="T109">
            <v>987.26780785024721</v>
          </cell>
          <cell r="U109">
            <v>1014.1357632071955</v>
          </cell>
          <cell r="V109">
            <v>1096.273857243458</v>
          </cell>
          <cell r="AB109">
            <v>343.95550000000003</v>
          </cell>
          <cell r="AC109">
            <v>607.912375</v>
          </cell>
          <cell r="AD109">
            <v>654.45625000000007</v>
          </cell>
          <cell r="AE109">
            <v>679.25637500000005</v>
          </cell>
          <cell r="AF109">
            <v>820.90925000000004</v>
          </cell>
          <cell r="AG109">
            <v>992.35412500000007</v>
          </cell>
          <cell r="AH109">
            <v>4568.9560000000001</v>
          </cell>
          <cell r="AI109">
            <v>4653.9465</v>
          </cell>
          <cell r="AJ109">
            <v>4804.7685000000001</v>
          </cell>
          <cell r="AK109">
            <v>5398.5749999999998</v>
          </cell>
          <cell r="AL109">
            <v>3379.1624999999999</v>
          </cell>
          <cell r="AM109">
            <v>856.88750000000005</v>
          </cell>
          <cell r="AN109">
            <v>705.9375</v>
          </cell>
          <cell r="AO109">
            <v>636.1875</v>
          </cell>
          <cell r="AP109">
            <v>963</v>
          </cell>
          <cell r="AQ109">
            <v>2296.125</v>
          </cell>
          <cell r="AR109">
            <v>3424.5</v>
          </cell>
          <cell r="AS109">
            <v>3136.5</v>
          </cell>
          <cell r="AT109">
            <v>3011.625</v>
          </cell>
          <cell r="AU109">
            <v>7610.0625</v>
          </cell>
          <cell r="AV109">
            <v>10268.75</v>
          </cell>
          <cell r="AW109">
            <v>3960</v>
          </cell>
          <cell r="AX109">
            <v>1304.375</v>
          </cell>
          <cell r="AY109">
            <v>1234.375</v>
          </cell>
          <cell r="AZ109">
            <v>488.125</v>
          </cell>
          <cell r="BA109">
            <v>549.375</v>
          </cell>
          <cell r="BB109">
            <v>540</v>
          </cell>
          <cell r="BC109">
            <v>1633.125</v>
          </cell>
          <cell r="BD109">
            <v>1820</v>
          </cell>
          <cell r="BE109">
            <v>635.625</v>
          </cell>
          <cell r="BF109">
            <v>951.875</v>
          </cell>
          <cell r="BG109">
            <v>1542.5</v>
          </cell>
          <cell r="BH109">
            <v>1165</v>
          </cell>
          <cell r="BI109">
            <v>829.375</v>
          </cell>
          <cell r="BJ109">
            <v>948.125</v>
          </cell>
          <cell r="BK109">
            <v>760</v>
          </cell>
          <cell r="BL109">
            <v>738.75</v>
          </cell>
          <cell r="BM109">
            <v>780</v>
          </cell>
          <cell r="BN109">
            <v>990.625</v>
          </cell>
          <cell r="BO109">
            <v>821.875</v>
          </cell>
          <cell r="BP109">
            <v>636.25</v>
          </cell>
          <cell r="BQ109">
            <v>756.25</v>
          </cell>
          <cell r="BR109">
            <v>901.25</v>
          </cell>
          <cell r="BS109">
            <v>3905.112356130549</v>
          </cell>
        </row>
        <row r="110">
          <cell r="A110" t="str">
            <v>Interest Rate</v>
          </cell>
          <cell r="F110">
            <v>0.02</v>
          </cell>
          <cell r="G110">
            <v>0.02</v>
          </cell>
          <cell r="H110">
            <v>4.9000000000000002E-2</v>
          </cell>
          <cell r="I110">
            <v>4.9000000000000002E-2</v>
          </cell>
          <cell r="J110">
            <v>4.9000000000000002E-2</v>
          </cell>
          <cell r="K110">
            <v>4.4999999999999998E-2</v>
          </cell>
          <cell r="L110">
            <v>4.4999999999999998E-2</v>
          </cell>
          <cell r="M110">
            <v>0.05</v>
          </cell>
          <cell r="N110">
            <v>0.05</v>
          </cell>
          <cell r="O110">
            <v>0.05</v>
          </cell>
          <cell r="P110">
            <v>0.05</v>
          </cell>
          <cell r="Q110">
            <v>0.05</v>
          </cell>
          <cell r="R110">
            <v>0.05</v>
          </cell>
          <cell r="S110">
            <v>0.05</v>
          </cell>
          <cell r="T110">
            <v>0.05</v>
          </cell>
          <cell r="U110">
            <v>0.05</v>
          </cell>
          <cell r="V110">
            <v>0.05</v>
          </cell>
          <cell r="AA110">
            <v>4.9000000000000002E-2</v>
          </cell>
          <cell r="AB110">
            <v>4.9000000000000002E-2</v>
          </cell>
          <cell r="AC110">
            <v>4.9000000000000002E-2</v>
          </cell>
          <cell r="AD110">
            <v>4.9000000000000002E-2</v>
          </cell>
          <cell r="AE110">
            <v>4.9000000000000002E-2</v>
          </cell>
          <cell r="AF110">
            <v>4.9000000000000002E-2</v>
          </cell>
          <cell r="AG110">
            <v>4.9000000000000002E-2</v>
          </cell>
          <cell r="AH110">
            <v>4.9000000000000002E-2</v>
          </cell>
          <cell r="AI110">
            <v>4.9000000000000002E-2</v>
          </cell>
          <cell r="AJ110">
            <v>4.9000000000000002E-2</v>
          </cell>
          <cell r="AK110">
            <v>4.9000000000000002E-2</v>
          </cell>
          <cell r="AL110">
            <v>4.9000000000000002E-2</v>
          </cell>
          <cell r="AM110">
            <v>4.9000000000000002E-2</v>
          </cell>
          <cell r="AN110">
            <v>4.4999999999999998E-2</v>
          </cell>
          <cell r="AO110">
            <v>4.4999999999999998E-2</v>
          </cell>
          <cell r="AP110">
            <v>4.4999999999999998E-2</v>
          </cell>
          <cell r="AQ110">
            <v>4.4999999999999998E-2</v>
          </cell>
          <cell r="AR110">
            <v>4.4999999999999998E-2</v>
          </cell>
          <cell r="AS110">
            <v>4.4999999999999998E-2</v>
          </cell>
          <cell r="AT110">
            <v>4.4999999999999998E-2</v>
          </cell>
          <cell r="AU110">
            <v>4.4999999999999998E-2</v>
          </cell>
          <cell r="AV110">
            <v>0.05</v>
          </cell>
          <cell r="AW110">
            <v>0.05</v>
          </cell>
          <cell r="AX110">
            <v>0.05</v>
          </cell>
          <cell r="AY110">
            <v>0.05</v>
          </cell>
          <cell r="AZ110">
            <v>0.05</v>
          </cell>
          <cell r="BA110">
            <v>0.05</v>
          </cell>
          <cell r="BB110">
            <v>0.05</v>
          </cell>
          <cell r="BC110">
            <v>0.05</v>
          </cell>
          <cell r="BD110">
            <v>0.05</v>
          </cell>
          <cell r="BE110">
            <v>0.05</v>
          </cell>
          <cell r="BF110">
            <v>0.05</v>
          </cell>
          <cell r="BG110">
            <v>0.05</v>
          </cell>
          <cell r="BH110">
            <v>0.05</v>
          </cell>
          <cell r="BI110">
            <v>0.05</v>
          </cell>
          <cell r="BJ110">
            <v>0.05</v>
          </cell>
          <cell r="BK110">
            <v>0.05</v>
          </cell>
          <cell r="BL110">
            <v>0.05</v>
          </cell>
          <cell r="BM110">
            <v>0.05</v>
          </cell>
          <cell r="BN110">
            <v>0.05</v>
          </cell>
          <cell r="BO110">
            <v>0.05</v>
          </cell>
          <cell r="BP110">
            <v>0.05</v>
          </cell>
          <cell r="BQ110">
            <v>0.05</v>
          </cell>
          <cell r="BR110">
            <v>0.05</v>
          </cell>
          <cell r="BS110">
            <v>0.05</v>
          </cell>
        </row>
        <row r="111">
          <cell r="A111" t="str">
            <v>Cash &amp; Cash Equivalents</v>
          </cell>
          <cell r="F111">
            <v>1414</v>
          </cell>
          <cell r="G111">
            <v>17034</v>
          </cell>
          <cell r="H111">
            <v>64178</v>
          </cell>
          <cell r="I111">
            <v>386852</v>
          </cell>
          <cell r="J111">
            <v>72000</v>
          </cell>
          <cell r="K111">
            <v>296600</v>
          </cell>
          <cell r="L111">
            <v>1062900</v>
          </cell>
          <cell r="M111">
            <v>42300</v>
          </cell>
          <cell r="N111">
            <v>227000</v>
          </cell>
          <cell r="O111">
            <v>132000</v>
          </cell>
          <cell r="P111">
            <v>48200</v>
          </cell>
          <cell r="Q111">
            <v>27800</v>
          </cell>
          <cell r="R111">
            <v>527617.97698088782</v>
          </cell>
          <cell r="S111">
            <v>82032.883749875124</v>
          </cell>
          <cell r="T111">
            <v>75929.965506164415</v>
          </cell>
          <cell r="U111">
            <v>86331.756606986863</v>
          </cell>
          <cell r="V111">
            <v>89072.060551966424</v>
          </cell>
          <cell r="AA111">
            <v>17034</v>
          </cell>
          <cell r="AB111">
            <v>39122</v>
          </cell>
          <cell r="AC111">
            <v>60129</v>
          </cell>
          <cell r="AD111">
            <v>46721</v>
          </cell>
          <cell r="AE111">
            <v>64178</v>
          </cell>
          <cell r="AF111">
            <v>69848</v>
          </cell>
          <cell r="AG111">
            <v>92169</v>
          </cell>
          <cell r="AH111">
            <v>372976</v>
          </cell>
          <cell r="AI111">
            <v>386852</v>
          </cell>
          <cell r="AJ111">
            <v>397600</v>
          </cell>
          <cell r="AK111">
            <v>483800</v>
          </cell>
          <cell r="AL111">
            <v>67900</v>
          </cell>
          <cell r="AM111">
            <v>72000</v>
          </cell>
          <cell r="AN111">
            <v>53500</v>
          </cell>
          <cell r="AO111">
            <v>59600</v>
          </cell>
          <cell r="AP111">
            <v>111600</v>
          </cell>
          <cell r="AQ111">
            <v>296600</v>
          </cell>
          <cell r="AR111">
            <v>312200</v>
          </cell>
          <cell r="AS111">
            <v>245400</v>
          </cell>
          <cell r="AT111">
            <v>290000</v>
          </cell>
          <cell r="AU111">
            <v>1062900</v>
          </cell>
          <cell r="AV111">
            <v>580100</v>
          </cell>
          <cell r="AW111">
            <v>53500</v>
          </cell>
          <cell r="AX111">
            <v>155200</v>
          </cell>
          <cell r="AY111">
            <v>42300</v>
          </cell>
          <cell r="AZ111">
            <v>35800</v>
          </cell>
          <cell r="BA111">
            <v>52100</v>
          </cell>
          <cell r="BB111">
            <v>34300</v>
          </cell>
          <cell r="BC111">
            <v>227000</v>
          </cell>
          <cell r="BD111">
            <v>64200</v>
          </cell>
          <cell r="BE111">
            <v>37500</v>
          </cell>
          <cell r="BF111">
            <v>114800</v>
          </cell>
          <cell r="BG111">
            <v>132000</v>
          </cell>
          <cell r="BH111">
            <v>54400</v>
          </cell>
          <cell r="BI111">
            <v>78300</v>
          </cell>
          <cell r="BJ111">
            <v>73400</v>
          </cell>
          <cell r="BK111">
            <v>48200</v>
          </cell>
          <cell r="BL111">
            <v>70000</v>
          </cell>
          <cell r="BM111">
            <v>54800</v>
          </cell>
          <cell r="BN111">
            <v>103700</v>
          </cell>
          <cell r="BO111">
            <v>27800</v>
          </cell>
          <cell r="BP111">
            <v>74000</v>
          </cell>
          <cell r="BQ111">
            <v>47000</v>
          </cell>
          <cell r="BR111">
            <v>97200</v>
          </cell>
          <cell r="BS111">
            <v>527617.97698088782</v>
          </cell>
        </row>
        <row r="112">
          <cell r="A112" t="str">
            <v>Average Cash &amp; Cash Equivalents</v>
          </cell>
          <cell r="G112">
            <v>9224</v>
          </cell>
          <cell r="H112">
            <v>40606</v>
          </cell>
          <cell r="I112">
            <v>225515</v>
          </cell>
          <cell r="J112">
            <v>229426</v>
          </cell>
          <cell r="K112">
            <v>184300</v>
          </cell>
          <cell r="L112">
            <v>679750</v>
          </cell>
          <cell r="M112">
            <v>552600</v>
          </cell>
          <cell r="N112">
            <v>134650</v>
          </cell>
          <cell r="O112">
            <v>179500</v>
          </cell>
          <cell r="P112">
            <v>90100</v>
          </cell>
          <cell r="Q112">
            <v>38000</v>
          </cell>
          <cell r="R112">
            <v>277708.98849044391</v>
          </cell>
          <cell r="S112">
            <v>304825.43036538147</v>
          </cell>
          <cell r="T112">
            <v>78981.424628019769</v>
          </cell>
          <cell r="U112">
            <v>81130.861056575639</v>
          </cell>
          <cell r="V112">
            <v>87701.908579476643</v>
          </cell>
          <cell r="AB112">
            <v>28078</v>
          </cell>
          <cell r="AC112">
            <v>49625.5</v>
          </cell>
          <cell r="AD112">
            <v>53425</v>
          </cell>
          <cell r="AE112">
            <v>55449.5</v>
          </cell>
          <cell r="AF112">
            <v>67013</v>
          </cell>
          <cell r="AG112">
            <v>81008.5</v>
          </cell>
          <cell r="AH112">
            <v>372976</v>
          </cell>
          <cell r="AI112">
            <v>379914</v>
          </cell>
          <cell r="AJ112">
            <v>392226</v>
          </cell>
          <cell r="AK112">
            <v>440700</v>
          </cell>
          <cell r="AL112">
            <v>275850</v>
          </cell>
          <cell r="AM112">
            <v>69950</v>
          </cell>
          <cell r="AN112">
            <v>62750</v>
          </cell>
          <cell r="AO112">
            <v>56550</v>
          </cell>
          <cell r="AP112">
            <v>85600</v>
          </cell>
          <cell r="AQ112">
            <v>204100</v>
          </cell>
          <cell r="AR112">
            <v>304400</v>
          </cell>
          <cell r="AS112">
            <v>278800</v>
          </cell>
          <cell r="AT112">
            <v>267700</v>
          </cell>
          <cell r="AU112">
            <v>676450</v>
          </cell>
          <cell r="AV112">
            <v>821500</v>
          </cell>
          <cell r="AW112">
            <v>316800</v>
          </cell>
          <cell r="AX112">
            <v>104350</v>
          </cell>
          <cell r="AY112">
            <v>98750</v>
          </cell>
          <cell r="AZ112">
            <v>39050</v>
          </cell>
          <cell r="BA112">
            <v>43950</v>
          </cell>
          <cell r="BB112">
            <v>43200</v>
          </cell>
          <cell r="BC112">
            <v>130650</v>
          </cell>
          <cell r="BD112">
            <v>145600</v>
          </cell>
          <cell r="BE112">
            <v>50850</v>
          </cell>
          <cell r="BF112">
            <v>76150</v>
          </cell>
          <cell r="BG112">
            <v>123400</v>
          </cell>
          <cell r="BH112">
            <v>93200</v>
          </cell>
          <cell r="BI112">
            <v>66350</v>
          </cell>
          <cell r="BJ112">
            <v>75850</v>
          </cell>
          <cell r="BK112">
            <v>60800</v>
          </cell>
          <cell r="BL112">
            <v>59100</v>
          </cell>
          <cell r="BM112">
            <v>62400</v>
          </cell>
          <cell r="BN112">
            <v>79250</v>
          </cell>
          <cell r="BO112">
            <v>65750</v>
          </cell>
          <cell r="BP112">
            <v>50900</v>
          </cell>
          <cell r="BQ112">
            <v>60500</v>
          </cell>
          <cell r="BR112">
            <v>72100</v>
          </cell>
          <cell r="BS112">
            <v>312408.98849044391</v>
          </cell>
        </row>
        <row r="114">
          <cell r="A114" t="str">
            <v>Property, Plant &amp; Equipment</v>
          </cell>
          <cell r="M114" t="str">
            <v>NOT Pf</v>
          </cell>
          <cell r="N114" t="str">
            <v>NOT Pf</v>
          </cell>
          <cell r="AV114" t="str">
            <v>NOT PROFORMA FOR PAETEC</v>
          </cell>
          <cell r="AZ114" t="str">
            <v>NOT PROFORMA FOR PAETEC</v>
          </cell>
        </row>
        <row r="115">
          <cell r="A115" t="str">
            <v>Gross PP&amp;E</v>
          </cell>
          <cell r="F115">
            <v>990188</v>
          </cell>
          <cell r="G115">
            <v>1048527</v>
          </cell>
          <cell r="H115">
            <v>1089937</v>
          </cell>
          <cell r="I115">
            <v>8724326</v>
          </cell>
          <cell r="J115">
            <v>9220700</v>
          </cell>
          <cell r="K115">
            <v>9470900</v>
          </cell>
          <cell r="L115">
            <v>9985700</v>
          </cell>
          <cell r="M115">
            <v>11254500</v>
          </cell>
          <cell r="N115">
            <v>12764600</v>
          </cell>
          <cell r="O115">
            <v>13827900</v>
          </cell>
          <cell r="P115">
            <v>14627400</v>
          </cell>
          <cell r="Q115">
            <v>15723500</v>
          </cell>
          <cell r="R115">
            <v>16968188.607327141</v>
          </cell>
          <cell r="S115">
            <v>17938552.331077848</v>
          </cell>
          <cell r="T115">
            <v>18570261.518056072</v>
          </cell>
          <cell r="U115">
            <v>19186161.657052949</v>
          </cell>
          <cell r="V115">
            <v>19788685.984046895</v>
          </cell>
          <cell r="AA115">
            <v>1048527</v>
          </cell>
          <cell r="AB115">
            <v>1065730</v>
          </cell>
          <cell r="AC115">
            <v>1079230</v>
          </cell>
          <cell r="AD115">
            <v>1093750</v>
          </cell>
          <cell r="AE115">
            <v>1089937</v>
          </cell>
          <cell r="AF115">
            <v>1101800</v>
          </cell>
          <cell r="AG115">
            <v>1113731</v>
          </cell>
          <cell r="AH115">
            <v>8590033</v>
          </cell>
          <cell r="AI115">
            <v>8724326</v>
          </cell>
          <cell r="AJ115">
            <v>8808600</v>
          </cell>
          <cell r="AK115">
            <v>8934500</v>
          </cell>
          <cell r="AL115">
            <v>9264400</v>
          </cell>
          <cell r="AM115">
            <v>9220700</v>
          </cell>
          <cell r="AN115">
            <v>9324200</v>
          </cell>
          <cell r="AO115">
            <v>9431100</v>
          </cell>
          <cell r="AP115">
            <v>9562800</v>
          </cell>
          <cell r="AQ115">
            <v>9470900</v>
          </cell>
          <cell r="AR115">
            <v>9621300</v>
          </cell>
          <cell r="AS115">
            <v>9798100</v>
          </cell>
          <cell r="AT115">
            <v>9962700</v>
          </cell>
          <cell r="AU115">
            <v>9985700</v>
          </cell>
          <cell r="AV115">
            <v>10471200</v>
          </cell>
          <cell r="AW115">
            <v>11074800</v>
          </cell>
          <cell r="AX115">
            <v>11340400</v>
          </cell>
          <cell r="AY115">
            <v>11254500</v>
          </cell>
          <cell r="AZ115">
            <v>11552100</v>
          </cell>
          <cell r="BA115">
            <v>11854000</v>
          </cell>
          <cell r="BB115">
            <v>12159900</v>
          </cell>
          <cell r="BC115">
            <v>12764600</v>
          </cell>
          <cell r="BD115">
            <v>13085700</v>
          </cell>
          <cell r="BE115">
            <v>13447000</v>
          </cell>
          <cell r="BF115">
            <v>13838500</v>
          </cell>
          <cell r="BG115">
            <v>13827900</v>
          </cell>
          <cell r="BH115">
            <v>14152700</v>
          </cell>
          <cell r="BI115">
            <v>14462100</v>
          </cell>
          <cell r="BJ115">
            <v>14745900</v>
          </cell>
          <cell r="BK115">
            <v>14627400</v>
          </cell>
          <cell r="BL115">
            <v>14873800</v>
          </cell>
          <cell r="BM115">
            <v>15148400</v>
          </cell>
          <cell r="BN115">
            <v>15412500</v>
          </cell>
          <cell r="BO115">
            <v>15723500</v>
          </cell>
          <cell r="BP115">
            <v>15966900</v>
          </cell>
          <cell r="BQ115">
            <v>16285400</v>
          </cell>
          <cell r="BR115">
            <v>16673900</v>
          </cell>
          <cell r="BS115">
            <v>16968188.607327141</v>
          </cell>
        </row>
        <row r="116">
          <cell r="A116" t="str">
            <v>Accumulated Depreciation</v>
          </cell>
          <cell r="F116">
            <v>220618</v>
          </cell>
          <cell r="G116">
            <v>298543</v>
          </cell>
          <cell r="H116">
            <v>372408</v>
          </cell>
          <cell r="I116">
            <v>4784585</v>
          </cell>
          <cell r="J116">
            <v>5178400</v>
          </cell>
          <cell r="K116">
            <v>5573800</v>
          </cell>
          <cell r="L116">
            <v>5993100</v>
          </cell>
          <cell r="M116">
            <v>6481800</v>
          </cell>
          <cell r="N116">
            <v>7055400</v>
          </cell>
          <cell r="O116">
            <v>7965200</v>
          </cell>
          <cell r="P116">
            <v>8924800</v>
          </cell>
          <cell r="Q116">
            <v>10311200</v>
          </cell>
          <cell r="R116">
            <v>11744660.122992991</v>
          </cell>
          <cell r="S116">
            <v>13056088.817492554</v>
          </cell>
          <cell r="T116">
            <v>14259612.909679273</v>
          </cell>
          <cell r="U116">
            <v>15493324.699577998</v>
          </cell>
          <cell r="V116">
            <v>16744975.958603762</v>
          </cell>
          <cell r="AA116">
            <v>298543</v>
          </cell>
          <cell r="AB116">
            <v>320574</v>
          </cell>
          <cell r="AC116">
            <v>344084</v>
          </cell>
          <cell r="AD116">
            <v>366435</v>
          </cell>
          <cell r="AE116">
            <v>372408</v>
          </cell>
          <cell r="AF116">
            <v>394222</v>
          </cell>
          <cell r="AG116">
            <v>415559</v>
          </cell>
          <cell r="AH116">
            <v>4699665</v>
          </cell>
          <cell r="AI116">
            <v>4784585</v>
          </cell>
          <cell r="AJ116">
            <v>4891300</v>
          </cell>
          <cell r="AK116">
            <v>5040800</v>
          </cell>
          <cell r="AL116">
            <v>5190500</v>
          </cell>
          <cell r="AM116">
            <v>5178400</v>
          </cell>
          <cell r="AN116">
            <v>5337700</v>
          </cell>
          <cell r="AO116">
            <v>5495900</v>
          </cell>
          <cell r="AP116">
            <v>5651400</v>
          </cell>
          <cell r="AQ116">
            <v>5573800</v>
          </cell>
          <cell r="AR116">
            <v>5786000</v>
          </cell>
          <cell r="AS116">
            <v>5999300</v>
          </cell>
          <cell r="AT116">
            <v>6210900</v>
          </cell>
          <cell r="AU116">
            <v>5993100</v>
          </cell>
          <cell r="AV116">
            <v>6304000</v>
          </cell>
          <cell r="AW116">
            <v>6606400</v>
          </cell>
          <cell r="AX116">
            <v>6901700</v>
          </cell>
          <cell r="AY116">
            <v>6481800</v>
          </cell>
          <cell r="AZ116">
            <v>6769300</v>
          </cell>
          <cell r="BA116">
            <v>7049800</v>
          </cell>
          <cell r="BB116">
            <v>7334300</v>
          </cell>
          <cell r="BC116">
            <v>7055400</v>
          </cell>
          <cell r="BD116">
            <v>7367500</v>
          </cell>
          <cell r="BE116">
            <v>7687500</v>
          </cell>
          <cell r="BF116">
            <v>8013600</v>
          </cell>
          <cell r="BG116">
            <v>7965200</v>
          </cell>
          <cell r="BH116">
            <v>8294500</v>
          </cell>
          <cell r="BI116">
            <v>8626700</v>
          </cell>
          <cell r="BJ116">
            <v>8964900</v>
          </cell>
          <cell r="BK116">
            <v>8924800</v>
          </cell>
          <cell r="BL116">
            <v>9263700</v>
          </cell>
          <cell r="BM116">
            <v>9607700</v>
          </cell>
          <cell r="BN116">
            <v>9956200</v>
          </cell>
          <cell r="BO116">
            <v>10311200</v>
          </cell>
          <cell r="BP116">
            <v>10651900</v>
          </cell>
          <cell r="BQ116">
            <v>10993700</v>
          </cell>
          <cell r="BR116">
            <v>11344200</v>
          </cell>
          <cell r="BS116">
            <v>11744660.122992991</v>
          </cell>
        </row>
        <row r="117">
          <cell r="A117" t="str">
            <v xml:space="preserve">Net Prop., Plant, &amp; Equip. </v>
          </cell>
          <cell r="F117">
            <v>769570</v>
          </cell>
          <cell r="G117">
            <v>749984</v>
          </cell>
          <cell r="H117">
            <v>717529</v>
          </cell>
          <cell r="I117">
            <v>3939741</v>
          </cell>
          <cell r="J117">
            <v>4042300</v>
          </cell>
          <cell r="K117">
            <v>3897100</v>
          </cell>
          <cell r="L117">
            <v>3992600</v>
          </cell>
          <cell r="M117">
            <v>4772700</v>
          </cell>
          <cell r="N117">
            <v>5709200</v>
          </cell>
          <cell r="O117">
            <v>5862700</v>
          </cell>
          <cell r="P117">
            <v>5702600</v>
          </cell>
          <cell r="Q117">
            <v>5412300</v>
          </cell>
          <cell r="R117">
            <v>5223528.4843341503</v>
          </cell>
          <cell r="S117">
            <v>4882463.5135852937</v>
          </cell>
          <cell r="T117">
            <v>4310648.6083767992</v>
          </cell>
          <cell r="U117">
            <v>3692836.9574749507</v>
          </cell>
          <cell r="V117">
            <v>3043710.025443133</v>
          </cell>
          <cell r="AA117">
            <v>749984</v>
          </cell>
          <cell r="AB117">
            <v>745156</v>
          </cell>
          <cell r="AC117">
            <v>735146</v>
          </cell>
          <cell r="AD117">
            <v>727315</v>
          </cell>
          <cell r="AE117">
            <v>717529</v>
          </cell>
          <cell r="AF117">
            <v>707578</v>
          </cell>
          <cell r="AG117">
            <v>698172</v>
          </cell>
          <cell r="AH117">
            <v>3890368</v>
          </cell>
          <cell r="AI117">
            <v>3939741</v>
          </cell>
          <cell r="AJ117">
            <v>3917300</v>
          </cell>
          <cell r="AK117">
            <v>3893700</v>
          </cell>
          <cell r="AL117">
            <v>4073900</v>
          </cell>
          <cell r="AM117">
            <v>4042300</v>
          </cell>
          <cell r="AN117">
            <v>3986500</v>
          </cell>
          <cell r="AO117">
            <v>3935200</v>
          </cell>
          <cell r="AP117">
            <v>3911400</v>
          </cell>
          <cell r="AQ117">
            <v>3897100</v>
          </cell>
          <cell r="AR117">
            <v>3835300</v>
          </cell>
          <cell r="AS117">
            <v>3798800</v>
          </cell>
          <cell r="AT117">
            <v>3751800</v>
          </cell>
          <cell r="AU117">
            <v>3992600</v>
          </cell>
          <cell r="AV117">
            <v>4167200</v>
          </cell>
          <cell r="AW117">
            <v>4468400</v>
          </cell>
          <cell r="AX117">
            <v>4438700</v>
          </cell>
          <cell r="AY117">
            <v>4772700</v>
          </cell>
          <cell r="AZ117">
            <v>4782800</v>
          </cell>
          <cell r="BA117">
            <v>4804200</v>
          </cell>
          <cell r="BB117">
            <v>4825600</v>
          </cell>
          <cell r="BC117">
            <v>5709200</v>
          </cell>
          <cell r="BD117">
            <v>5718200</v>
          </cell>
          <cell r="BE117">
            <v>5759500</v>
          </cell>
          <cell r="BF117">
            <v>5824900</v>
          </cell>
          <cell r="BG117">
            <v>5862700</v>
          </cell>
          <cell r="BH117">
            <v>5858200</v>
          </cell>
          <cell r="BI117">
            <v>5835400</v>
          </cell>
          <cell r="BJ117">
            <v>5781000</v>
          </cell>
          <cell r="BK117">
            <v>5702600</v>
          </cell>
          <cell r="BL117">
            <v>5610100</v>
          </cell>
          <cell r="BM117">
            <v>5540700</v>
          </cell>
          <cell r="BN117">
            <v>5456300</v>
          </cell>
          <cell r="BO117">
            <v>5412300</v>
          </cell>
          <cell r="BP117">
            <v>5315000</v>
          </cell>
          <cell r="BQ117">
            <v>5291700</v>
          </cell>
          <cell r="BR117">
            <v>5329700</v>
          </cell>
          <cell r="BS117">
            <v>5223528.4843341503</v>
          </cell>
        </row>
        <row r="119">
          <cell r="A119" t="str">
            <v>Beginning Gross PP&amp;E</v>
          </cell>
          <cell r="G119">
            <v>990188</v>
          </cell>
          <cell r="H119">
            <v>1048527</v>
          </cell>
          <cell r="I119">
            <v>1089937</v>
          </cell>
          <cell r="J119">
            <v>8724326</v>
          </cell>
          <cell r="K119">
            <v>9220700</v>
          </cell>
          <cell r="L119">
            <v>9470900</v>
          </cell>
          <cell r="M119">
            <v>9985700</v>
          </cell>
          <cell r="N119">
            <v>11254500</v>
          </cell>
          <cell r="O119">
            <v>12764600</v>
          </cell>
          <cell r="P119">
            <v>13827900</v>
          </cell>
          <cell r="Q119">
            <v>14627400</v>
          </cell>
          <cell r="R119">
            <v>15723500</v>
          </cell>
          <cell r="S119">
            <v>16968188.607327141</v>
          </cell>
          <cell r="T119">
            <v>17938552.331077848</v>
          </cell>
          <cell r="U119">
            <v>18570261.518056072</v>
          </cell>
          <cell r="V119">
            <v>19186161.657052949</v>
          </cell>
          <cell r="AB119">
            <v>1048527</v>
          </cell>
          <cell r="AC119">
            <v>1065730</v>
          </cell>
          <cell r="AD119">
            <v>1079230</v>
          </cell>
          <cell r="AE119">
            <v>1093750</v>
          </cell>
          <cell r="AF119">
            <v>1089937</v>
          </cell>
          <cell r="AG119">
            <v>1101800</v>
          </cell>
          <cell r="AH119">
            <v>1113731</v>
          </cell>
          <cell r="AI119">
            <v>8590033</v>
          </cell>
          <cell r="AJ119">
            <v>8724326</v>
          </cell>
          <cell r="AK119">
            <v>8808600</v>
          </cell>
          <cell r="AL119">
            <v>8934500</v>
          </cell>
          <cell r="AM119">
            <v>9264400</v>
          </cell>
          <cell r="AN119">
            <v>9220700</v>
          </cell>
          <cell r="AO119">
            <v>9324200</v>
          </cell>
          <cell r="AP119">
            <v>9431100</v>
          </cell>
          <cell r="AQ119">
            <v>9562800</v>
          </cell>
          <cell r="AR119">
            <v>9470900</v>
          </cell>
          <cell r="AS119">
            <v>9621300</v>
          </cell>
          <cell r="AT119">
            <v>9798100</v>
          </cell>
          <cell r="AU119">
            <v>9962700</v>
          </cell>
          <cell r="AV119">
            <v>9985700</v>
          </cell>
          <cell r="AW119">
            <v>10471200</v>
          </cell>
          <cell r="AX119">
            <v>11074800</v>
          </cell>
          <cell r="AY119">
            <v>11340400</v>
          </cell>
          <cell r="AZ119">
            <v>11254500</v>
          </cell>
          <cell r="BA119">
            <v>11552100</v>
          </cell>
          <cell r="BB119">
            <v>11854000</v>
          </cell>
          <cell r="BC119">
            <v>12159900</v>
          </cell>
          <cell r="BD119">
            <v>12764600</v>
          </cell>
          <cell r="BE119">
            <v>13085700</v>
          </cell>
          <cell r="BF119">
            <v>13447000</v>
          </cell>
          <cell r="BG119">
            <v>13838500</v>
          </cell>
          <cell r="BH119">
            <v>13827900</v>
          </cell>
          <cell r="BI119">
            <v>14152700</v>
          </cell>
          <cell r="BJ119">
            <v>14462100</v>
          </cell>
          <cell r="BK119">
            <v>14745900</v>
          </cell>
          <cell r="BL119">
            <v>14627400</v>
          </cell>
          <cell r="BM119">
            <v>14873800</v>
          </cell>
          <cell r="BN119">
            <v>15148400</v>
          </cell>
          <cell r="BO119">
            <v>15412500</v>
          </cell>
          <cell r="BP119">
            <v>15723500</v>
          </cell>
          <cell r="BQ119">
            <v>15966900</v>
          </cell>
          <cell r="BR119">
            <v>16285400</v>
          </cell>
          <cell r="BS119">
            <v>16673900</v>
          </cell>
        </row>
        <row r="120">
          <cell r="A120" t="str">
            <v>Additions (capex)</v>
          </cell>
          <cell r="G120">
            <v>65525</v>
          </cell>
          <cell r="H120">
            <v>57385</v>
          </cell>
          <cell r="I120">
            <v>373840</v>
          </cell>
          <cell r="J120">
            <v>365700</v>
          </cell>
          <cell r="K120">
            <v>317500</v>
          </cell>
          <cell r="L120">
            <v>298100</v>
          </cell>
          <cell r="M120">
            <v>415200</v>
          </cell>
          <cell r="N120">
            <v>701900</v>
          </cell>
          <cell r="O120">
            <v>1101200</v>
          </cell>
          <cell r="P120">
            <v>841000</v>
          </cell>
          <cell r="Q120">
            <v>786500</v>
          </cell>
          <cell r="R120">
            <v>988666.90732714138</v>
          </cell>
          <cell r="S120">
            <v>1055204.6667873431</v>
          </cell>
          <cell r="T120">
            <v>811094.71028900112</v>
          </cell>
          <cell r="U120">
            <v>801602.7541774381</v>
          </cell>
          <cell r="V120">
            <v>794385.94356447575</v>
          </cell>
          <cell r="AB120">
            <v>17379</v>
          </cell>
          <cell r="AC120">
            <v>12510</v>
          </cell>
          <cell r="AD120">
            <v>15155</v>
          </cell>
          <cell r="AE120">
            <v>12341</v>
          </cell>
          <cell r="AF120">
            <v>10234</v>
          </cell>
          <cell r="AG120">
            <v>13758</v>
          </cell>
          <cell r="AH120">
            <v>220164</v>
          </cell>
          <cell r="AI120">
            <v>129684</v>
          </cell>
          <cell r="AJ120">
            <v>80000</v>
          </cell>
          <cell r="AK120">
            <v>98000</v>
          </cell>
          <cell r="AL120">
            <v>90300</v>
          </cell>
          <cell r="AM120">
            <v>97400</v>
          </cell>
          <cell r="AN120">
            <v>55800</v>
          </cell>
          <cell r="AO120">
            <v>77500</v>
          </cell>
          <cell r="AP120">
            <v>86200</v>
          </cell>
          <cell r="AQ120">
            <v>98000</v>
          </cell>
          <cell r="AR120">
            <v>62800</v>
          </cell>
          <cell r="AS120">
            <v>76700</v>
          </cell>
          <cell r="AT120">
            <v>67300</v>
          </cell>
          <cell r="AU120">
            <v>91300</v>
          </cell>
          <cell r="AV120">
            <v>60500</v>
          </cell>
          <cell r="AW120">
            <v>98900</v>
          </cell>
          <cell r="AX120">
            <v>113300</v>
          </cell>
          <cell r="AY120">
            <v>142500</v>
          </cell>
          <cell r="AZ120">
            <v>158500</v>
          </cell>
          <cell r="BA120">
            <v>171000</v>
          </cell>
          <cell r="BB120">
            <v>177000</v>
          </cell>
          <cell r="BC120">
            <v>195400</v>
          </cell>
          <cell r="BD120">
            <v>226100</v>
          </cell>
          <cell r="BE120">
            <v>276000</v>
          </cell>
          <cell r="BF120">
            <v>307300</v>
          </cell>
          <cell r="BG120">
            <v>291800</v>
          </cell>
          <cell r="BH120">
            <v>243500</v>
          </cell>
          <cell r="BI120">
            <v>228700</v>
          </cell>
          <cell r="BJ120">
            <v>193800</v>
          </cell>
          <cell r="BK120">
            <v>175000</v>
          </cell>
          <cell r="BL120">
            <v>153000</v>
          </cell>
          <cell r="BM120">
            <v>205800</v>
          </cell>
          <cell r="BN120">
            <v>193900</v>
          </cell>
          <cell r="BO120">
            <v>233800</v>
          </cell>
          <cell r="BP120">
            <v>189300</v>
          </cell>
          <cell r="BQ120">
            <v>255000</v>
          </cell>
          <cell r="BR120">
            <v>300100</v>
          </cell>
          <cell r="BS120">
            <v>244266.90732714138</v>
          </cell>
        </row>
        <row r="121">
          <cell r="A121" t="str">
            <v>Retirements</v>
          </cell>
          <cell r="G121">
            <v>-7186</v>
          </cell>
          <cell r="H121">
            <v>-15975</v>
          </cell>
          <cell r="I121">
            <v>7260549</v>
          </cell>
          <cell r="J121">
            <v>-76826</v>
          </cell>
          <cell r="K121">
            <v>-67300</v>
          </cell>
          <cell r="L121">
            <v>216700</v>
          </cell>
          <cell r="M121">
            <v>853600</v>
          </cell>
          <cell r="N121">
            <v>808200</v>
          </cell>
          <cell r="O121">
            <v>-37900</v>
          </cell>
          <cell r="P121">
            <v>-41500</v>
          </cell>
          <cell r="Q121">
            <v>309600</v>
          </cell>
          <cell r="R121">
            <v>256021.69999999925</v>
          </cell>
          <cell r="S121">
            <v>-84840.943036635712</v>
          </cell>
          <cell r="T121">
            <v>-179385.52331077849</v>
          </cell>
          <cell r="U121">
            <v>-185702.61518056074</v>
          </cell>
          <cell r="V121">
            <v>-191861.6165705295</v>
          </cell>
          <cell r="AB121">
            <v>-176</v>
          </cell>
          <cell r="AC121">
            <v>990</v>
          </cell>
          <cell r="AD121">
            <v>-635</v>
          </cell>
          <cell r="AE121">
            <v>-16154</v>
          </cell>
          <cell r="AF121">
            <v>1629</v>
          </cell>
          <cell r="AG121">
            <v>-1827</v>
          </cell>
          <cell r="AH121">
            <v>-68862</v>
          </cell>
          <cell r="AI121">
            <v>4609</v>
          </cell>
          <cell r="AJ121">
            <v>4274</v>
          </cell>
          <cell r="AK121">
            <v>27900</v>
          </cell>
          <cell r="AL121">
            <v>32100</v>
          </cell>
          <cell r="AM121">
            <v>-141100</v>
          </cell>
          <cell r="AN121">
            <v>47700</v>
          </cell>
          <cell r="AO121">
            <v>29400</v>
          </cell>
          <cell r="AP121">
            <v>45500</v>
          </cell>
          <cell r="AQ121">
            <v>-189900</v>
          </cell>
          <cell r="AR121">
            <v>87600</v>
          </cell>
          <cell r="AS121">
            <v>100100</v>
          </cell>
          <cell r="AT121">
            <v>97300</v>
          </cell>
          <cell r="AU121">
            <v>-68300</v>
          </cell>
          <cell r="AV121">
            <v>425000</v>
          </cell>
          <cell r="AW121">
            <v>504700</v>
          </cell>
          <cell r="AX121">
            <v>152300</v>
          </cell>
          <cell r="AY121">
            <v>-228400</v>
          </cell>
          <cell r="AZ121">
            <v>139100</v>
          </cell>
          <cell r="BA121">
            <v>130900</v>
          </cell>
          <cell r="BB121">
            <v>128900</v>
          </cell>
          <cell r="BC121">
            <v>409300</v>
          </cell>
          <cell r="BD121">
            <v>95000</v>
          </cell>
          <cell r="BE121">
            <v>85300</v>
          </cell>
          <cell r="BF121">
            <v>84200</v>
          </cell>
          <cell r="BG121">
            <v>-302400</v>
          </cell>
          <cell r="BH121">
            <v>81300</v>
          </cell>
          <cell r="BI121">
            <v>80700</v>
          </cell>
          <cell r="BJ121">
            <v>90000</v>
          </cell>
          <cell r="BK121">
            <v>-293500</v>
          </cell>
          <cell r="BL121">
            <v>93400</v>
          </cell>
          <cell r="BM121">
            <v>68800</v>
          </cell>
          <cell r="BN121">
            <v>70200</v>
          </cell>
          <cell r="BO121">
            <v>77200</v>
          </cell>
          <cell r="BP121">
            <v>54100</v>
          </cell>
          <cell r="BQ121">
            <v>63500</v>
          </cell>
          <cell r="BR121">
            <v>88400</v>
          </cell>
          <cell r="BS121">
            <v>50021.700000000004</v>
          </cell>
        </row>
        <row r="122">
          <cell r="A122" t="str">
            <v>Acquisitions and Other (Sales)</v>
          </cell>
          <cell r="G122">
            <v>0</v>
          </cell>
          <cell r="H122">
            <v>0</v>
          </cell>
          <cell r="I122">
            <v>0</v>
          </cell>
          <cell r="J122">
            <v>207500</v>
          </cell>
          <cell r="K122">
            <v>0</v>
          </cell>
          <cell r="L122">
            <v>0</v>
          </cell>
          <cell r="M122">
            <v>0</v>
          </cell>
          <cell r="N122">
            <v>0</v>
          </cell>
          <cell r="O122">
            <v>0</v>
          </cell>
          <cell r="P122">
            <v>0</v>
          </cell>
          <cell r="Q122">
            <v>0</v>
          </cell>
          <cell r="AB122">
            <v>0</v>
          </cell>
          <cell r="AC122">
            <v>0</v>
          </cell>
          <cell r="AD122">
            <v>0</v>
          </cell>
          <cell r="AE122">
            <v>0</v>
          </cell>
          <cell r="AF122">
            <v>0</v>
          </cell>
          <cell r="AG122">
            <v>0</v>
          </cell>
          <cell r="AH122">
            <v>7325000</v>
          </cell>
          <cell r="AI122">
            <v>0</v>
          </cell>
          <cell r="AJ122">
            <v>0</v>
          </cell>
          <cell r="AK122">
            <v>0</v>
          </cell>
          <cell r="AL122">
            <v>207500</v>
          </cell>
          <cell r="AM122">
            <v>0</v>
          </cell>
          <cell r="AN122">
            <v>0</v>
          </cell>
        </row>
        <row r="123">
          <cell r="A123" t="str">
            <v>Ending Gross PP&amp;E</v>
          </cell>
          <cell r="F123">
            <v>990188</v>
          </cell>
          <cell r="G123">
            <v>1048527</v>
          </cell>
          <cell r="H123">
            <v>1089937</v>
          </cell>
          <cell r="I123">
            <v>8724326</v>
          </cell>
          <cell r="J123">
            <v>9220700</v>
          </cell>
          <cell r="K123">
            <v>9470900</v>
          </cell>
          <cell r="L123">
            <v>9985700</v>
          </cell>
          <cell r="M123">
            <v>11254500</v>
          </cell>
          <cell r="N123">
            <v>12764600</v>
          </cell>
          <cell r="O123">
            <v>13827900</v>
          </cell>
          <cell r="P123">
            <v>14627400</v>
          </cell>
          <cell r="Q123">
            <v>15723500</v>
          </cell>
          <cell r="R123">
            <v>16968188.607327141</v>
          </cell>
          <cell r="S123">
            <v>17938552.331077848</v>
          </cell>
          <cell r="T123">
            <v>18570261.518056072</v>
          </cell>
          <cell r="U123">
            <v>19186161.657052949</v>
          </cell>
          <cell r="V123">
            <v>19788685.984046895</v>
          </cell>
          <cell r="AA123">
            <v>1048527</v>
          </cell>
          <cell r="AB123">
            <v>1065730</v>
          </cell>
          <cell r="AC123">
            <v>1079230</v>
          </cell>
          <cell r="AD123">
            <v>1093750</v>
          </cell>
          <cell r="AE123">
            <v>1089937</v>
          </cell>
          <cell r="AF123">
            <v>1101800</v>
          </cell>
          <cell r="AG123">
            <v>1113731</v>
          </cell>
          <cell r="AH123">
            <v>8590033</v>
          </cell>
          <cell r="AI123">
            <v>8724326</v>
          </cell>
          <cell r="AJ123">
            <v>8808600</v>
          </cell>
          <cell r="AK123">
            <v>8934500</v>
          </cell>
          <cell r="AL123">
            <v>9264400</v>
          </cell>
          <cell r="AM123">
            <v>9220700</v>
          </cell>
          <cell r="AN123">
            <v>9324200</v>
          </cell>
          <cell r="AO123">
            <v>9431100</v>
          </cell>
          <cell r="AP123">
            <v>9562800</v>
          </cell>
          <cell r="AQ123">
            <v>9470900</v>
          </cell>
          <cell r="AR123">
            <v>9621300</v>
          </cell>
          <cell r="AS123">
            <v>9798100</v>
          </cell>
          <cell r="AT123">
            <v>9962700</v>
          </cell>
          <cell r="AU123">
            <v>9985700</v>
          </cell>
          <cell r="AV123">
            <v>10471200</v>
          </cell>
          <cell r="AW123">
            <v>11074800</v>
          </cell>
          <cell r="AX123">
            <v>11340400</v>
          </cell>
          <cell r="AY123">
            <v>11254500</v>
          </cell>
          <cell r="AZ123">
            <v>11552100</v>
          </cell>
          <cell r="BA123">
            <v>11854000</v>
          </cell>
          <cell r="BB123">
            <v>12159900</v>
          </cell>
          <cell r="BC123">
            <v>12764600</v>
          </cell>
          <cell r="BD123">
            <v>13085700</v>
          </cell>
          <cell r="BE123">
            <v>13447000</v>
          </cell>
          <cell r="BF123">
            <v>13838500</v>
          </cell>
          <cell r="BG123">
            <v>13827900</v>
          </cell>
          <cell r="BH123">
            <v>14152700</v>
          </cell>
          <cell r="BI123">
            <v>14462100</v>
          </cell>
          <cell r="BJ123">
            <v>14745900</v>
          </cell>
          <cell r="BK123">
            <v>14627400</v>
          </cell>
          <cell r="BL123">
            <v>14873800</v>
          </cell>
          <cell r="BM123">
            <v>15148400</v>
          </cell>
          <cell r="BN123">
            <v>15412500</v>
          </cell>
          <cell r="BO123">
            <v>15723500</v>
          </cell>
          <cell r="BP123">
            <v>15966900</v>
          </cell>
          <cell r="BQ123">
            <v>16285400</v>
          </cell>
          <cell r="BR123">
            <v>16673900</v>
          </cell>
          <cell r="BS123">
            <v>16968188.607327141</v>
          </cell>
        </row>
        <row r="124">
          <cell r="A124" t="str">
            <v>Average Gross PP&amp;E</v>
          </cell>
          <cell r="G124">
            <v>1019357.5</v>
          </cell>
          <cell r="H124">
            <v>1069232</v>
          </cell>
          <cell r="I124">
            <v>4907131.5</v>
          </cell>
          <cell r="J124">
            <v>8972513</v>
          </cell>
          <cell r="K124">
            <v>9345800</v>
          </cell>
          <cell r="L124">
            <v>9728300</v>
          </cell>
          <cell r="M124">
            <v>10620100</v>
          </cell>
          <cell r="N124">
            <v>12009550</v>
          </cell>
          <cell r="O124">
            <v>13296250</v>
          </cell>
          <cell r="P124">
            <v>14227650</v>
          </cell>
          <cell r="Q124">
            <v>15175450</v>
          </cell>
          <cell r="R124">
            <v>16345844.30366357</v>
          </cell>
          <cell r="S124">
            <v>17453370.469202496</v>
          </cell>
          <cell r="T124">
            <v>18254406.924566962</v>
          </cell>
          <cell r="U124">
            <v>18878211.587554511</v>
          </cell>
          <cell r="V124">
            <v>19487423.82054992</v>
          </cell>
          <cell r="AB124">
            <v>1057128.5</v>
          </cell>
          <cell r="AC124">
            <v>1072480</v>
          </cell>
          <cell r="AD124">
            <v>1086490</v>
          </cell>
          <cell r="AE124">
            <v>1091843.5</v>
          </cell>
          <cell r="AF124">
            <v>1095868.5</v>
          </cell>
          <cell r="AG124">
            <v>1107765.5</v>
          </cell>
          <cell r="AH124">
            <v>8590033</v>
          </cell>
          <cell r="AI124">
            <v>8657179.5</v>
          </cell>
          <cell r="AJ124">
            <v>8766463</v>
          </cell>
          <cell r="AK124">
            <v>8871550</v>
          </cell>
          <cell r="AL124">
            <v>9099450</v>
          </cell>
          <cell r="AM124">
            <v>9242550</v>
          </cell>
          <cell r="AN124">
            <v>9272450</v>
          </cell>
          <cell r="AO124">
            <v>9377650</v>
          </cell>
          <cell r="AP124">
            <v>9496950</v>
          </cell>
          <cell r="AQ124">
            <v>9516850</v>
          </cell>
          <cell r="AR124">
            <v>9546100</v>
          </cell>
          <cell r="AS124">
            <v>9709700</v>
          </cell>
          <cell r="AT124">
            <v>9880400</v>
          </cell>
          <cell r="AU124">
            <v>9974200</v>
          </cell>
          <cell r="AV124">
            <v>10228450</v>
          </cell>
          <cell r="AW124">
            <v>10773000</v>
          </cell>
          <cell r="AX124">
            <v>11207600</v>
          </cell>
          <cell r="AY124">
            <v>11297450</v>
          </cell>
          <cell r="AZ124">
            <v>11403300</v>
          </cell>
          <cell r="BA124">
            <v>11703050</v>
          </cell>
          <cell r="BB124">
            <v>12006950</v>
          </cell>
          <cell r="BC124">
            <v>12462250</v>
          </cell>
          <cell r="BD124">
            <v>12925150</v>
          </cell>
          <cell r="BE124">
            <v>13266350</v>
          </cell>
          <cell r="BF124">
            <v>13642750</v>
          </cell>
          <cell r="BG124">
            <v>13833200</v>
          </cell>
          <cell r="BH124">
            <v>13990300</v>
          </cell>
          <cell r="BI124">
            <v>14307400</v>
          </cell>
          <cell r="BJ124">
            <v>14604000</v>
          </cell>
          <cell r="BK124">
            <v>14686650</v>
          </cell>
          <cell r="BL124">
            <v>14750600</v>
          </cell>
          <cell r="BM124">
            <v>15011100</v>
          </cell>
          <cell r="BN124">
            <v>15280450</v>
          </cell>
          <cell r="BO124">
            <v>15568000</v>
          </cell>
          <cell r="BP124">
            <v>15845200</v>
          </cell>
          <cell r="BQ124">
            <v>16126150</v>
          </cell>
          <cell r="BR124">
            <v>16479650</v>
          </cell>
          <cell r="BS124">
            <v>16821044.30366357</v>
          </cell>
        </row>
        <row r="126">
          <cell r="A126" t="str">
            <v>Additions as % Average Gross PP&amp;E</v>
          </cell>
          <cell r="G126">
            <v>6.4280686608966922E-2</v>
          </cell>
          <cell r="H126">
            <v>5.3669362682747988E-2</v>
          </cell>
          <cell r="I126">
            <v>7.6183000190640907E-2</v>
          </cell>
          <cell r="J126">
            <v>4.0757812220500546E-2</v>
          </cell>
          <cell r="K126">
            <v>3.397247961651223E-2</v>
          </cell>
          <cell r="L126">
            <v>3.0642558309262668E-2</v>
          </cell>
          <cell r="M126">
            <v>3.9095677065187712E-2</v>
          </cell>
          <cell r="N126">
            <v>5.8445154064890023E-2</v>
          </cell>
          <cell r="O126">
            <v>8.2820344081977998E-2</v>
          </cell>
          <cell r="P126">
            <v>5.9110253625862315E-2</v>
          </cell>
          <cell r="Q126">
            <v>5.1827128684816592E-2</v>
          </cell>
          <cell r="R126">
            <v>6.0484297351685465E-2</v>
          </cell>
          <cell r="S126">
            <v>6.0458503911855539E-2</v>
          </cell>
          <cell r="T126">
            <v>4.4432816340772036E-2</v>
          </cell>
          <cell r="U126">
            <v>4.2461795200234749E-2</v>
          </cell>
          <cell r="V126">
            <v>4.0764030734877235E-2</v>
          </cell>
          <cell r="AB126">
            <v>1.6439817865093978E-2</v>
          </cell>
          <cell r="AC126">
            <v>1.1664553185140982E-2</v>
          </cell>
          <cell r="AD126">
            <v>1.3948586733425987E-2</v>
          </cell>
          <cell r="AE126">
            <v>1.1302901926878715E-2</v>
          </cell>
          <cell r="AF126">
            <v>9.3387117158673684E-3</v>
          </cell>
          <cell r="AG126">
            <v>1.2419596024609902E-2</v>
          </cell>
          <cell r="AH126">
            <v>2.5630169290385731E-2</v>
          </cell>
          <cell r="AI126">
            <v>1.4979936594822829E-2</v>
          </cell>
          <cell r="AJ126">
            <v>9.1256872925831092E-3</v>
          </cell>
          <cell r="AK126">
            <v>1.1046547672052797E-2</v>
          </cell>
          <cell r="AL126">
            <v>9.9236767057349629E-3</v>
          </cell>
          <cell r="AM126">
            <v>1.0538217266879811E-2</v>
          </cell>
          <cell r="AN126">
            <v>6.0178270036505997E-3</v>
          </cell>
          <cell r="AO126">
            <v>8.2643306158792455E-3</v>
          </cell>
          <cell r="AP126">
            <v>9.0765982762887037E-3</v>
          </cell>
          <cell r="AQ126">
            <v>1.0297524916332609E-2</v>
          </cell>
          <cell r="AR126">
            <v>6.5786027801929582E-3</v>
          </cell>
          <cell r="AS126">
            <v>7.8993171776676925E-3</v>
          </cell>
          <cell r="AT126">
            <v>6.8114651228695193E-3</v>
          </cell>
          <cell r="AU126">
            <v>9.1536163301317395E-3</v>
          </cell>
          <cell r="AV126">
            <v>5.9148746877581643E-3</v>
          </cell>
          <cell r="AW126">
            <v>9.1803583031653205E-3</v>
          </cell>
          <cell r="AX126">
            <v>1.0109211606409936E-2</v>
          </cell>
          <cell r="AY126">
            <v>1.2613465870616821E-2</v>
          </cell>
          <cell r="AZ126">
            <v>1.3899485236729719E-2</v>
          </cell>
          <cell r="BA126">
            <v>1.4611575614903807E-2</v>
          </cell>
          <cell r="BB126">
            <v>1.4741462236454721E-2</v>
          </cell>
          <cell r="BC126">
            <v>1.5679351641958716E-2</v>
          </cell>
          <cell r="BD126">
            <v>1.7493027160226382E-2</v>
          </cell>
          <cell r="BE126">
            <v>2.0804516690725031E-2</v>
          </cell>
          <cell r="BF126">
            <v>2.2524784226054133E-2</v>
          </cell>
          <cell r="BG126">
            <v>2.1094179221004539E-2</v>
          </cell>
          <cell r="BH126">
            <v>1.7404916263411077E-2</v>
          </cell>
          <cell r="BI126">
            <v>1.598473517200889E-2</v>
          </cell>
          <cell r="BJ126">
            <v>1.3270336894001644E-2</v>
          </cell>
          <cell r="BK126">
            <v>1.1915583199708578E-2</v>
          </cell>
          <cell r="BL126">
            <v>1.0372459425379307E-2</v>
          </cell>
          <cell r="BM126">
            <v>1.3709854707516438E-2</v>
          </cell>
          <cell r="BN126">
            <v>1.2689416869267594E-2</v>
          </cell>
          <cell r="BO126">
            <v>1.5017985611510791E-2</v>
          </cell>
          <cell r="BP126">
            <v>1.1946835634766364E-2</v>
          </cell>
          <cell r="BQ126">
            <v>1.5812825751961877E-2</v>
          </cell>
          <cell r="BR126">
            <v>1.8210338204998285E-2</v>
          </cell>
          <cell r="BS126">
            <v>1.4521506686356021E-2</v>
          </cell>
        </row>
        <row r="127">
          <cell r="A127" t="str">
            <v>Retirements as % Beg. Gross PP&amp;E</v>
          </cell>
          <cell r="G127">
            <v>-7.2572077221699314E-3</v>
          </cell>
          <cell r="H127">
            <v>-1.5235659167575084E-2</v>
          </cell>
          <cell r="I127">
            <v>6.6614391474002623</v>
          </cell>
          <cell r="J127">
            <v>-8.8059524598232582E-3</v>
          </cell>
          <cell r="K127">
            <v>-7.2987951023241182E-3</v>
          </cell>
          <cell r="L127">
            <v>2.2880613246893115E-2</v>
          </cell>
          <cell r="M127">
            <v>8.5482239602631765E-2</v>
          </cell>
          <cell r="N127">
            <v>7.181127548980408E-2</v>
          </cell>
          <cell r="O127">
            <v>-2.9691490528492865E-3</v>
          </cell>
          <cell r="P127">
            <v>-3.0011787762422347E-3</v>
          </cell>
          <cell r="Q127">
            <v>2.1165757414167933E-2</v>
          </cell>
          <cell r="R127">
            <v>1.6282742391961029E-2</v>
          </cell>
          <cell r="S127">
            <v>-5.0000000000000001E-3</v>
          </cell>
          <cell r="T127">
            <v>-0.01</v>
          </cell>
          <cell r="U127">
            <v>-0.01</v>
          </cell>
          <cell r="V127">
            <v>-0.01</v>
          </cell>
          <cell r="AB127">
            <v>-1.6785452353635147E-4</v>
          </cell>
          <cell r="AC127">
            <v>9.2894072607508467E-4</v>
          </cell>
          <cell r="AD127">
            <v>-5.8838245786347677E-4</v>
          </cell>
          <cell r="AE127">
            <v>-1.4769371428571428E-2</v>
          </cell>
          <cell r="AF127">
            <v>1.4945817969295473E-3</v>
          </cell>
          <cell r="AG127">
            <v>-1.6581956797966963E-3</v>
          </cell>
          <cell r="AH127">
            <v>-6.1830011017022964E-2</v>
          </cell>
          <cell r="AI127">
            <v>5.3655207145304328E-4</v>
          </cell>
          <cell r="AJ127">
            <v>4.8989457752954214E-4</v>
          </cell>
          <cell r="AK127">
            <v>3.1673591717185476E-3</v>
          </cell>
          <cell r="AL127">
            <v>3.592814371257485E-3</v>
          </cell>
          <cell r="AM127">
            <v>-1.5230344112948491E-2</v>
          </cell>
          <cell r="AN127">
            <v>5.1731430368627115E-3</v>
          </cell>
          <cell r="AO127">
            <v>3.1530855194011284E-3</v>
          </cell>
          <cell r="AP127">
            <v>4.824463742299414E-3</v>
          </cell>
          <cell r="AQ127">
            <v>-1.9858200527042288E-2</v>
          </cell>
          <cell r="AR127">
            <v>9.249384958134918E-3</v>
          </cell>
          <cell r="AS127">
            <v>1.0403999459532496E-2</v>
          </cell>
          <cell r="AT127">
            <v>9.9304967289576551E-3</v>
          </cell>
          <cell r="AU127">
            <v>-6.855571280877674E-3</v>
          </cell>
          <cell r="AV127">
            <v>4.2560862032706773E-2</v>
          </cell>
          <cell r="AW127">
            <v>4.819886927954771E-2</v>
          </cell>
          <cell r="AX127">
            <v>1.3751941344313215E-2</v>
          </cell>
          <cell r="AY127">
            <v>-2.0140383055271421E-2</v>
          </cell>
          <cell r="AZ127">
            <v>1.2359500644186771E-2</v>
          </cell>
          <cell r="BA127">
            <v>1.1331273101860268E-2</v>
          </cell>
          <cell r="BB127">
            <v>1.0873966593554918E-2</v>
          </cell>
          <cell r="BC127">
            <v>3.3659816281383891E-2</v>
          </cell>
          <cell r="BD127">
            <v>7.4424580480391082E-3</v>
          </cell>
          <cell r="BE127">
            <v>6.5185660683035676E-3</v>
          </cell>
          <cell r="BF127">
            <v>6.2616196921246375E-3</v>
          </cell>
          <cell r="BG127">
            <v>-2.1852079343859521E-2</v>
          </cell>
          <cell r="BH127">
            <v>5.8794176989998481E-3</v>
          </cell>
          <cell r="BI127">
            <v>5.7020921802906866E-3</v>
          </cell>
          <cell r="BJ127">
            <v>6.2231626112390316E-3</v>
          </cell>
          <cell r="BK127">
            <v>-1.9903837676913581E-2</v>
          </cell>
          <cell r="BL127">
            <v>6.385276946005442E-3</v>
          </cell>
          <cell r="BM127">
            <v>4.6255832403286319E-3</v>
          </cell>
          <cell r="BN127">
            <v>4.6341527818119406E-3</v>
          </cell>
          <cell r="BO127">
            <v>5.0089213300892133E-3</v>
          </cell>
          <cell r="BP127">
            <v>3.4407097656374216E-3</v>
          </cell>
          <cell r="BQ127">
            <v>3.9769773719381969E-3</v>
          </cell>
          <cell r="BR127">
            <v>5.4281749296916258E-3</v>
          </cell>
          <cell r="BS127">
            <v>3.0000000000000001E-3</v>
          </cell>
        </row>
        <row r="129">
          <cell r="A129" t="str">
            <v>Beginning Acc. Depreciation</v>
          </cell>
          <cell r="G129">
            <v>220618</v>
          </cell>
          <cell r="H129">
            <v>298543</v>
          </cell>
          <cell r="I129">
            <v>372408</v>
          </cell>
          <cell r="J129">
            <v>4784585</v>
          </cell>
          <cell r="K129">
            <v>5178400</v>
          </cell>
          <cell r="L129">
            <v>5573800</v>
          </cell>
          <cell r="M129">
            <v>5993100</v>
          </cell>
          <cell r="N129">
            <v>6481800</v>
          </cell>
          <cell r="O129">
            <v>7055400</v>
          </cell>
          <cell r="P129">
            <v>7965200</v>
          </cell>
          <cell r="Q129">
            <v>8924800</v>
          </cell>
          <cell r="R129">
            <v>10311200</v>
          </cell>
          <cell r="S129">
            <v>11744660.122992991</v>
          </cell>
          <cell r="T129">
            <v>13056088.817492554</v>
          </cell>
          <cell r="U129">
            <v>14259612.909679273</v>
          </cell>
          <cell r="V129">
            <v>15493324.699577998</v>
          </cell>
          <cell r="AB129">
            <v>298543</v>
          </cell>
          <cell r="AC129">
            <v>320574</v>
          </cell>
          <cell r="AD129">
            <v>344084</v>
          </cell>
          <cell r="AE129">
            <v>366435</v>
          </cell>
          <cell r="AF129">
            <v>372408</v>
          </cell>
          <cell r="AG129">
            <v>394222</v>
          </cell>
          <cell r="AH129">
            <v>415559</v>
          </cell>
          <cell r="AI129">
            <v>4699665</v>
          </cell>
          <cell r="AJ129">
            <v>4784585</v>
          </cell>
          <cell r="AK129">
            <v>4891300</v>
          </cell>
          <cell r="AL129">
            <v>5040800</v>
          </cell>
          <cell r="AM129">
            <v>5190500</v>
          </cell>
          <cell r="AN129">
            <v>5178400</v>
          </cell>
          <cell r="AO129">
            <v>5337700</v>
          </cell>
          <cell r="AP129">
            <v>5495900</v>
          </cell>
          <cell r="AQ129">
            <v>5651400</v>
          </cell>
          <cell r="AR129">
            <v>5573800</v>
          </cell>
          <cell r="AS129">
            <v>5786000</v>
          </cell>
          <cell r="AT129">
            <v>5999300</v>
          </cell>
          <cell r="AU129">
            <v>6210900</v>
          </cell>
          <cell r="AV129">
            <v>5993100</v>
          </cell>
          <cell r="AW129">
            <v>6304000</v>
          </cell>
          <cell r="AX129">
            <v>6606400</v>
          </cell>
          <cell r="AY129">
            <v>6901700</v>
          </cell>
          <cell r="AZ129">
            <v>6481800</v>
          </cell>
          <cell r="BA129">
            <v>6769300</v>
          </cell>
          <cell r="BB129">
            <v>7049800</v>
          </cell>
          <cell r="BC129">
            <v>7334300</v>
          </cell>
          <cell r="BD129">
            <v>7055400</v>
          </cell>
          <cell r="BE129">
            <v>7367500</v>
          </cell>
          <cell r="BF129">
            <v>7687500</v>
          </cell>
          <cell r="BG129">
            <v>8013600</v>
          </cell>
          <cell r="BH129">
            <v>7965200</v>
          </cell>
          <cell r="BI129">
            <v>8294500</v>
          </cell>
          <cell r="BJ129">
            <v>8626700</v>
          </cell>
          <cell r="BK129">
            <v>8964900</v>
          </cell>
          <cell r="BL129">
            <v>8924800</v>
          </cell>
          <cell r="BM129">
            <v>9263700</v>
          </cell>
          <cell r="BN129">
            <v>9607700</v>
          </cell>
          <cell r="BO129">
            <v>9956200</v>
          </cell>
          <cell r="BP129">
            <v>10311200</v>
          </cell>
          <cell r="BQ129">
            <v>10651900</v>
          </cell>
          <cell r="BR129">
            <v>10993700</v>
          </cell>
          <cell r="BS129">
            <v>11344200</v>
          </cell>
        </row>
        <row r="130">
          <cell r="A130" t="str">
            <v>Additions - Depreciation Expense</v>
          </cell>
          <cell r="G130">
            <v>86451</v>
          </cell>
          <cell r="H130">
            <v>89928</v>
          </cell>
          <cell r="I130">
            <v>89354</v>
          </cell>
          <cell r="J130">
            <v>507500</v>
          </cell>
          <cell r="K130">
            <v>494500</v>
          </cell>
          <cell r="L130">
            <v>537800</v>
          </cell>
          <cell r="M130">
            <v>693600</v>
          </cell>
          <cell r="N130">
            <v>847500</v>
          </cell>
          <cell r="O130">
            <v>1297600</v>
          </cell>
          <cell r="P130">
            <v>1341500</v>
          </cell>
          <cell r="Q130">
            <v>1386400</v>
          </cell>
          <cell r="R130">
            <v>1383438.4229929911</v>
          </cell>
          <cell r="S130">
            <v>1396269.6375361998</v>
          </cell>
          <cell r="T130">
            <v>1382909.6154974971</v>
          </cell>
          <cell r="U130">
            <v>1419414.4050792865</v>
          </cell>
          <cell r="V130">
            <v>1443512.8755962907</v>
          </cell>
          <cell r="AB130">
            <v>22235</v>
          </cell>
          <cell r="AC130">
            <v>22489</v>
          </cell>
          <cell r="AD130">
            <v>22460</v>
          </cell>
          <cell r="AE130">
            <v>22744</v>
          </cell>
          <cell r="AF130">
            <v>22010</v>
          </cell>
          <cell r="AG130">
            <v>22448</v>
          </cell>
          <cell r="AH130">
            <v>281200</v>
          </cell>
          <cell r="AI130">
            <v>123924</v>
          </cell>
          <cell r="AJ130">
            <v>125100</v>
          </cell>
          <cell r="AK130">
            <v>126900</v>
          </cell>
          <cell r="AL130">
            <v>132700</v>
          </cell>
          <cell r="AM130">
            <v>122800</v>
          </cell>
          <cell r="AN130">
            <v>122800</v>
          </cell>
          <cell r="AO130">
            <v>124300</v>
          </cell>
          <cell r="AP130">
            <v>123800</v>
          </cell>
          <cell r="AQ130">
            <v>123600</v>
          </cell>
          <cell r="AR130">
            <v>132000</v>
          </cell>
          <cell r="AS130">
            <v>133300</v>
          </cell>
          <cell r="AT130">
            <v>133800</v>
          </cell>
          <cell r="AU130">
            <v>138700</v>
          </cell>
          <cell r="AV130">
            <v>155400</v>
          </cell>
          <cell r="AW130">
            <v>167700</v>
          </cell>
          <cell r="AX130">
            <v>179900</v>
          </cell>
          <cell r="AY130">
            <v>190600</v>
          </cell>
          <cell r="AZ130">
            <v>205200</v>
          </cell>
          <cell r="BA130">
            <v>196800</v>
          </cell>
          <cell r="BB130">
            <v>203800</v>
          </cell>
          <cell r="BC130">
            <v>241700</v>
          </cell>
          <cell r="BD130">
            <v>312100</v>
          </cell>
          <cell r="BE130">
            <v>320000</v>
          </cell>
          <cell r="BF130">
            <v>326400</v>
          </cell>
          <cell r="BG130">
            <v>339100</v>
          </cell>
          <cell r="BH130">
            <v>329500</v>
          </cell>
          <cell r="BI130">
            <v>332400</v>
          </cell>
          <cell r="BJ130">
            <v>338400</v>
          </cell>
          <cell r="BK130">
            <v>341200</v>
          </cell>
          <cell r="BL130">
            <v>338900</v>
          </cell>
          <cell r="BM130">
            <v>344000</v>
          </cell>
          <cell r="BN130">
            <v>348500</v>
          </cell>
          <cell r="BO130">
            <v>355000</v>
          </cell>
          <cell r="BP130">
            <v>340700</v>
          </cell>
          <cell r="BQ130">
            <v>341800</v>
          </cell>
          <cell r="BR130">
            <v>350500</v>
          </cell>
          <cell r="BS130">
            <v>350438.42299299105</v>
          </cell>
        </row>
        <row r="131">
          <cell r="A131" t="str">
            <v>Retirements</v>
          </cell>
          <cell r="G131">
            <v>-8526</v>
          </cell>
          <cell r="H131">
            <v>-16063</v>
          </cell>
          <cell r="I131">
            <v>4322823</v>
          </cell>
          <cell r="J131">
            <v>-113685</v>
          </cell>
          <cell r="K131">
            <v>-99100</v>
          </cell>
          <cell r="L131">
            <v>-118500</v>
          </cell>
          <cell r="M131">
            <v>-204900</v>
          </cell>
          <cell r="N131">
            <v>-273900</v>
          </cell>
          <cell r="O131">
            <v>-387800</v>
          </cell>
          <cell r="P131">
            <v>-381900</v>
          </cell>
          <cell r="Q131">
            <v>0</v>
          </cell>
          <cell r="R131">
            <v>50021.699999999255</v>
          </cell>
          <cell r="S131">
            <v>-84840.943036635712</v>
          </cell>
          <cell r="T131">
            <v>-179385.52331077849</v>
          </cell>
          <cell r="U131">
            <v>-185702.61518056074</v>
          </cell>
          <cell r="V131">
            <v>-191861.6165705295</v>
          </cell>
          <cell r="AB131">
            <v>-204</v>
          </cell>
          <cell r="AC131">
            <v>1021</v>
          </cell>
          <cell r="AD131">
            <v>-109</v>
          </cell>
          <cell r="AE131">
            <v>-16771</v>
          </cell>
          <cell r="AF131">
            <v>-196</v>
          </cell>
          <cell r="AG131">
            <v>-1111</v>
          </cell>
          <cell r="AH131">
            <v>4000906</v>
          </cell>
          <cell r="AI131">
            <v>-39004</v>
          </cell>
          <cell r="AJ131">
            <v>-18385</v>
          </cell>
          <cell r="AK131">
            <v>22600</v>
          </cell>
          <cell r="AL131">
            <v>17000</v>
          </cell>
          <cell r="AM131">
            <v>-134900</v>
          </cell>
          <cell r="AN131">
            <v>36500</v>
          </cell>
          <cell r="AO131">
            <v>33900</v>
          </cell>
          <cell r="AP131">
            <v>31700</v>
          </cell>
          <cell r="AQ131">
            <v>-201200</v>
          </cell>
          <cell r="AR131">
            <v>80200</v>
          </cell>
          <cell r="AS131">
            <v>80000</v>
          </cell>
          <cell r="AT131">
            <v>77800</v>
          </cell>
          <cell r="AU131">
            <v>-356500</v>
          </cell>
          <cell r="AV131">
            <v>155500</v>
          </cell>
          <cell r="AW131">
            <v>134700</v>
          </cell>
          <cell r="AX131">
            <v>115400</v>
          </cell>
          <cell r="AY131">
            <v>-610500</v>
          </cell>
          <cell r="AZ131">
            <v>82300</v>
          </cell>
          <cell r="BA131">
            <v>83700</v>
          </cell>
          <cell r="BB131">
            <v>80700</v>
          </cell>
          <cell r="BC131">
            <v>-520600</v>
          </cell>
          <cell r="BD131">
            <v>0</v>
          </cell>
          <cell r="BE131">
            <v>0</v>
          </cell>
          <cell r="BF131">
            <v>-300</v>
          </cell>
          <cell r="BG131">
            <v>-387500</v>
          </cell>
          <cell r="BH131">
            <v>-200</v>
          </cell>
          <cell r="BI131">
            <v>-200</v>
          </cell>
          <cell r="BJ131">
            <v>-200</v>
          </cell>
          <cell r="BK131">
            <v>-381300</v>
          </cell>
          <cell r="BL131">
            <v>0</v>
          </cell>
          <cell r="BM131">
            <v>0</v>
          </cell>
          <cell r="BN131">
            <v>0</v>
          </cell>
          <cell r="BO131">
            <v>0</v>
          </cell>
          <cell r="BP131">
            <v>0</v>
          </cell>
          <cell r="BQ131">
            <v>0</v>
          </cell>
          <cell r="BR131">
            <v>0</v>
          </cell>
          <cell r="BS131">
            <v>50021.700000000004</v>
          </cell>
        </row>
        <row r="132">
          <cell r="A132" t="str">
            <v>Acquisitions and Other</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AB132">
            <v>0</v>
          </cell>
          <cell r="AC132">
            <v>0</v>
          </cell>
          <cell r="AD132">
            <v>0</v>
          </cell>
          <cell r="AE132">
            <v>0</v>
          </cell>
          <cell r="AF132">
            <v>0</v>
          </cell>
          <cell r="AG132">
            <v>0</v>
          </cell>
          <cell r="AH132">
            <v>2000</v>
          </cell>
          <cell r="AI132">
            <v>0</v>
          </cell>
          <cell r="AJ132">
            <v>0</v>
          </cell>
          <cell r="AK132">
            <v>0</v>
          </cell>
          <cell r="AL132">
            <v>0</v>
          </cell>
          <cell r="AM132">
            <v>0</v>
          </cell>
          <cell r="BS132">
            <v>0</v>
          </cell>
        </row>
        <row r="133">
          <cell r="A133" t="str">
            <v>Ending Acc. Depreciation</v>
          </cell>
          <cell r="F133">
            <v>220618</v>
          </cell>
          <cell r="G133">
            <v>298543</v>
          </cell>
          <cell r="H133">
            <v>372408</v>
          </cell>
          <cell r="I133">
            <v>4784585</v>
          </cell>
          <cell r="J133">
            <v>5178400</v>
          </cell>
          <cell r="K133">
            <v>5573800</v>
          </cell>
          <cell r="L133">
            <v>5993100</v>
          </cell>
          <cell r="M133">
            <v>6481800</v>
          </cell>
          <cell r="N133">
            <v>7055400</v>
          </cell>
          <cell r="O133">
            <v>7965200</v>
          </cell>
          <cell r="P133">
            <v>8924800</v>
          </cell>
          <cell r="Q133">
            <v>10311200</v>
          </cell>
          <cell r="R133">
            <v>11744660.122992991</v>
          </cell>
          <cell r="S133">
            <v>13056088.817492554</v>
          </cell>
          <cell r="T133">
            <v>14259612.909679273</v>
          </cell>
          <cell r="U133">
            <v>15493324.699577998</v>
          </cell>
          <cell r="V133">
            <v>16744975.958603762</v>
          </cell>
          <cell r="AA133">
            <v>298543</v>
          </cell>
          <cell r="AB133">
            <v>320574</v>
          </cell>
          <cell r="AC133">
            <v>344084</v>
          </cell>
          <cell r="AD133">
            <v>366435</v>
          </cell>
          <cell r="AE133">
            <v>372408</v>
          </cell>
          <cell r="AF133">
            <v>394222</v>
          </cell>
          <cell r="AG133">
            <v>415559</v>
          </cell>
          <cell r="AH133">
            <v>4699665</v>
          </cell>
          <cell r="AI133">
            <v>4784585</v>
          </cell>
          <cell r="AJ133">
            <v>4891300</v>
          </cell>
          <cell r="AK133">
            <v>5040800</v>
          </cell>
          <cell r="AL133">
            <v>5190500</v>
          </cell>
          <cell r="AM133">
            <v>5178400</v>
          </cell>
          <cell r="AN133">
            <v>5337700</v>
          </cell>
          <cell r="AO133">
            <v>5495900</v>
          </cell>
          <cell r="AP133">
            <v>5651400</v>
          </cell>
          <cell r="AQ133">
            <v>5573800</v>
          </cell>
          <cell r="AR133">
            <v>5786000</v>
          </cell>
          <cell r="AS133">
            <v>5999300</v>
          </cell>
          <cell r="AT133">
            <v>6210900</v>
          </cell>
          <cell r="AU133">
            <v>5993100</v>
          </cell>
          <cell r="AV133">
            <v>6304000</v>
          </cell>
          <cell r="AW133">
            <v>6606400</v>
          </cell>
          <cell r="AX133">
            <v>6901700</v>
          </cell>
          <cell r="AY133">
            <v>6481800</v>
          </cell>
          <cell r="AZ133">
            <v>6769300</v>
          </cell>
          <cell r="BA133">
            <v>7049800</v>
          </cell>
          <cell r="BB133">
            <v>7334300</v>
          </cell>
          <cell r="BC133">
            <v>7055400</v>
          </cell>
          <cell r="BD133">
            <v>7367500</v>
          </cell>
          <cell r="BE133">
            <v>7687500</v>
          </cell>
          <cell r="BF133">
            <v>8013600</v>
          </cell>
          <cell r="BG133">
            <v>7965200</v>
          </cell>
          <cell r="BH133">
            <v>8294500</v>
          </cell>
          <cell r="BI133">
            <v>8626700</v>
          </cell>
          <cell r="BJ133">
            <v>8964900</v>
          </cell>
          <cell r="BK133">
            <v>8924800</v>
          </cell>
          <cell r="BL133">
            <v>9263700</v>
          </cell>
          <cell r="BM133">
            <v>9607700</v>
          </cell>
          <cell r="BN133">
            <v>9956200</v>
          </cell>
          <cell r="BO133">
            <v>10311200</v>
          </cell>
          <cell r="BP133">
            <v>10651900</v>
          </cell>
          <cell r="BQ133">
            <v>10993700</v>
          </cell>
          <cell r="BR133">
            <v>11344200</v>
          </cell>
          <cell r="BS133">
            <v>11744660.122992991</v>
          </cell>
        </row>
        <row r="134">
          <cell r="A134" t="str">
            <v>Average Acc. Depreciation</v>
          </cell>
          <cell r="G134">
            <v>259580.5</v>
          </cell>
          <cell r="H134">
            <v>335475.5</v>
          </cell>
          <cell r="I134">
            <v>2578496.5</v>
          </cell>
          <cell r="J134">
            <v>4981492.5</v>
          </cell>
          <cell r="K134">
            <v>5376100</v>
          </cell>
          <cell r="L134">
            <v>5783450</v>
          </cell>
          <cell r="M134">
            <v>6237450</v>
          </cell>
          <cell r="N134">
            <v>6768600</v>
          </cell>
          <cell r="O134">
            <v>7510300</v>
          </cell>
          <cell r="P134">
            <v>8445000</v>
          </cell>
          <cell r="Q134">
            <v>9618000</v>
          </cell>
          <cell r="R134">
            <v>11027930.061496496</v>
          </cell>
          <cell r="S134">
            <v>12400374.470242772</v>
          </cell>
          <cell r="T134">
            <v>13657850.863585914</v>
          </cell>
          <cell r="U134">
            <v>14876468.804628637</v>
          </cell>
          <cell r="V134">
            <v>16119150.32909088</v>
          </cell>
          <cell r="AB134">
            <v>309558.5</v>
          </cell>
          <cell r="AC134">
            <v>332329</v>
          </cell>
          <cell r="AD134">
            <v>355259.5</v>
          </cell>
          <cell r="AE134">
            <v>369421.5</v>
          </cell>
          <cell r="AF134">
            <v>383315</v>
          </cell>
          <cell r="AG134">
            <v>404890.5</v>
          </cell>
          <cell r="AH134">
            <v>2557612</v>
          </cell>
          <cell r="AI134">
            <v>4742125</v>
          </cell>
          <cell r="AJ134">
            <v>4837942.5</v>
          </cell>
          <cell r="AK134">
            <v>4966050</v>
          </cell>
          <cell r="AL134">
            <v>5115650</v>
          </cell>
          <cell r="AM134">
            <v>5184450</v>
          </cell>
          <cell r="AN134">
            <v>5258050</v>
          </cell>
          <cell r="AO134">
            <v>5416800</v>
          </cell>
          <cell r="AP134">
            <v>5573650</v>
          </cell>
          <cell r="AQ134">
            <v>5612600</v>
          </cell>
          <cell r="AR134">
            <v>5679900</v>
          </cell>
          <cell r="AS134">
            <v>5892650</v>
          </cell>
          <cell r="AT134">
            <v>6105100</v>
          </cell>
          <cell r="AU134">
            <v>6102000</v>
          </cell>
          <cell r="AV134">
            <v>6148550</v>
          </cell>
          <cell r="AW134">
            <v>6455200</v>
          </cell>
          <cell r="AX134">
            <v>6754050</v>
          </cell>
          <cell r="AY134">
            <v>6691750</v>
          </cell>
          <cell r="AZ134">
            <v>6625550</v>
          </cell>
          <cell r="BA134">
            <v>6909550</v>
          </cell>
          <cell r="BB134">
            <v>7192050</v>
          </cell>
          <cell r="BC134">
            <v>7194850</v>
          </cell>
          <cell r="BD134">
            <v>7211450</v>
          </cell>
          <cell r="BE134">
            <v>7527500</v>
          </cell>
          <cell r="BF134">
            <v>7850550</v>
          </cell>
          <cell r="BG134">
            <v>7989400</v>
          </cell>
          <cell r="BH134">
            <v>8129850</v>
          </cell>
          <cell r="BI134">
            <v>8460600</v>
          </cell>
          <cell r="BJ134">
            <v>8795800</v>
          </cell>
          <cell r="BK134">
            <v>8944850</v>
          </cell>
          <cell r="BL134">
            <v>9094250</v>
          </cell>
          <cell r="BM134">
            <v>9435700</v>
          </cell>
          <cell r="BN134">
            <v>9781950</v>
          </cell>
          <cell r="BO134">
            <v>10133700</v>
          </cell>
          <cell r="BP134">
            <v>10481550</v>
          </cell>
          <cell r="BQ134">
            <v>10822800</v>
          </cell>
          <cell r="BR134">
            <v>11168950</v>
          </cell>
          <cell r="BS134">
            <v>11544430.061496496</v>
          </cell>
        </row>
        <row r="136">
          <cell r="A136" t="str">
            <v>Additions as % Avg. Gross PP&amp;E</v>
          </cell>
          <cell r="G136">
            <v>6.4280686608966922E-2</v>
          </cell>
          <cell r="H136">
            <v>5.3669362682747988E-2</v>
          </cell>
          <cell r="I136">
            <v>7.6183000190640907E-2</v>
          </cell>
          <cell r="J136">
            <v>4.0757812220500546E-2</v>
          </cell>
          <cell r="K136">
            <v>3.397247961651223E-2</v>
          </cell>
          <cell r="L136">
            <v>3.0642558309262668E-2</v>
          </cell>
          <cell r="M136">
            <v>3.9095677065187712E-2</v>
          </cell>
          <cell r="N136">
            <v>5.8445154064890023E-2</v>
          </cell>
          <cell r="O136">
            <v>8.2820344081977998E-2</v>
          </cell>
          <cell r="P136">
            <v>5.9110253625862315E-2</v>
          </cell>
          <cell r="Q136">
            <v>5.1827128684816592E-2</v>
          </cell>
          <cell r="R136">
            <v>6.0484297351685465E-2</v>
          </cell>
          <cell r="S136">
            <v>6.0458503911855539E-2</v>
          </cell>
          <cell r="T136">
            <v>4.4432816340772036E-2</v>
          </cell>
          <cell r="U136">
            <v>4.2461795200234749E-2</v>
          </cell>
          <cell r="V136">
            <v>4.0764030734877235E-2</v>
          </cell>
          <cell r="AB136">
            <v>1.6439817865093978E-2</v>
          </cell>
          <cell r="AC136">
            <v>1.1664553185140982E-2</v>
          </cell>
          <cell r="AD136">
            <v>1.3948586733425987E-2</v>
          </cell>
          <cell r="AE136">
            <v>1.1302901926878715E-2</v>
          </cell>
          <cell r="AF136">
            <v>9.3387117158673684E-3</v>
          </cell>
          <cell r="AG136">
            <v>1.2419596024609902E-2</v>
          </cell>
          <cell r="AH136">
            <v>2.5630169290385731E-2</v>
          </cell>
          <cell r="AI136">
            <v>1.4979936594822829E-2</v>
          </cell>
          <cell r="AJ136">
            <v>9.1256872925831092E-3</v>
          </cell>
          <cell r="AK136">
            <v>1.1046547672052797E-2</v>
          </cell>
          <cell r="AL136">
            <v>9.9236767057349629E-3</v>
          </cell>
          <cell r="AM136">
            <v>1.0538217266879811E-2</v>
          </cell>
          <cell r="AN136">
            <v>6.0178270036505997E-3</v>
          </cell>
          <cell r="AO136">
            <v>8.2643306158792455E-3</v>
          </cell>
          <cell r="AP136">
            <v>9.0765982762887037E-3</v>
          </cell>
          <cell r="AQ136">
            <v>1.0297524916332609E-2</v>
          </cell>
          <cell r="AR136">
            <v>6.5786027801929582E-3</v>
          </cell>
          <cell r="AS136">
            <v>7.8993171776676925E-3</v>
          </cell>
          <cell r="AT136">
            <v>6.8114651228695193E-3</v>
          </cell>
          <cell r="AU136">
            <v>9.1536163301317395E-3</v>
          </cell>
          <cell r="AV136">
            <v>5.9148746877581643E-3</v>
          </cell>
          <cell r="AW136">
            <v>9.1803583031653205E-3</v>
          </cell>
          <cell r="AX136">
            <v>1.0109211606409936E-2</v>
          </cell>
          <cell r="AY136">
            <v>1.2613465870616821E-2</v>
          </cell>
          <cell r="AZ136">
            <v>1.3899485236729719E-2</v>
          </cell>
          <cell r="BA136">
            <v>1.4611575614903807E-2</v>
          </cell>
          <cell r="BB136">
            <v>1.4741462236454721E-2</v>
          </cell>
          <cell r="BC136">
            <v>1.5679351641958716E-2</v>
          </cell>
          <cell r="BD136">
            <v>1.7493027160226382E-2</v>
          </cell>
          <cell r="BE136">
            <v>2.0804516690725031E-2</v>
          </cell>
          <cell r="BF136">
            <v>2.2524784226054133E-2</v>
          </cell>
          <cell r="BG136">
            <v>2.1094179221004539E-2</v>
          </cell>
          <cell r="BH136">
            <v>1.7404916263411077E-2</v>
          </cell>
          <cell r="BI136">
            <v>1.598473517200889E-2</v>
          </cell>
          <cell r="BJ136">
            <v>1.3270336894001644E-2</v>
          </cell>
          <cell r="BK136">
            <v>1.1915583199708578E-2</v>
          </cell>
          <cell r="BL136">
            <v>1.0372459425379307E-2</v>
          </cell>
          <cell r="BM136">
            <v>1.3709854707516438E-2</v>
          </cell>
          <cell r="BN136">
            <v>1.2689416869267594E-2</v>
          </cell>
          <cell r="BO136">
            <v>1.5017985611510791E-2</v>
          </cell>
          <cell r="BP136">
            <v>1.1946835634766364E-2</v>
          </cell>
          <cell r="BQ136">
            <v>1.5812825751961877E-2</v>
          </cell>
          <cell r="BR136">
            <v>1.8210338204998285E-2</v>
          </cell>
          <cell r="BS136">
            <v>1.4521506686356021E-2</v>
          </cell>
        </row>
        <row r="137">
          <cell r="A137" t="str">
            <v>Retire. as % Avg. Gross PP&amp;E</v>
          </cell>
          <cell r="G137">
            <v>-7.0495385573756016E-3</v>
          </cell>
          <cell r="H137">
            <v>-1.4940630284166579E-2</v>
          </cell>
          <cell r="I137">
            <v>1.4795912846435846</v>
          </cell>
          <cell r="J137">
            <v>-8.5623726596996859E-3</v>
          </cell>
          <cell r="K137">
            <v>-7.201095679342592E-3</v>
          </cell>
          <cell r="L137">
            <v>2.227521766392895E-2</v>
          </cell>
          <cell r="M137">
            <v>8.0375890999143135E-2</v>
          </cell>
          <cell r="N137">
            <v>6.7296443247249066E-2</v>
          </cell>
          <cell r="O137">
            <v>-2.8504277521857668E-3</v>
          </cell>
          <cell r="P137">
            <v>-2.9168555594212679E-3</v>
          </cell>
          <cell r="Q137">
            <v>2.0401371952726278E-2</v>
          </cell>
          <cell r="R137">
            <v>1.56628006020232E-2</v>
          </cell>
          <cell r="S137">
            <v>-4.8610062558600113E-3</v>
          </cell>
          <cell r="T137">
            <v>-9.8269707721569243E-3</v>
          </cell>
          <cell r="U137">
            <v>-9.8368754010038466E-3</v>
          </cell>
          <cell r="V137">
            <v>-9.8454068807292613E-3</v>
          </cell>
          <cell r="AB137">
            <v>-1.664887475836665E-4</v>
          </cell>
          <cell r="AC137">
            <v>9.2309413695360282E-4</v>
          </cell>
          <cell r="AD137">
            <v>-5.8445084630323336E-4</v>
          </cell>
          <cell r="AE137">
            <v>-1.4795160661761507E-2</v>
          </cell>
          <cell r="AF137">
            <v>1.4864922205538346E-3</v>
          </cell>
          <cell r="AG137">
            <v>-1.6492660224569188E-3</v>
          </cell>
          <cell r="AH137">
            <v>-8.016500053026572E-3</v>
          </cell>
          <cell r="AI137">
            <v>5.3239048583895022E-4</v>
          </cell>
          <cell r="AJ137">
            <v>4.8753984360625261E-4</v>
          </cell>
          <cell r="AK137">
            <v>3.1448844903089086E-3</v>
          </cell>
          <cell r="AL137">
            <v>3.5276857392479767E-3</v>
          </cell>
          <cell r="AM137">
            <v>-1.5266349654586666E-2</v>
          </cell>
          <cell r="AN137">
            <v>5.1442714708626091E-3</v>
          </cell>
          <cell r="AO137">
            <v>3.1351138078303201E-3</v>
          </cell>
          <cell r="AP137">
            <v>4.7910118511732712E-3</v>
          </cell>
          <cell r="AQ137">
            <v>-1.9954081445015946E-2</v>
          </cell>
          <cell r="AR137">
            <v>9.1765223494411335E-3</v>
          </cell>
          <cell r="AS137">
            <v>1.0309278350515464E-2</v>
          </cell>
          <cell r="AT137">
            <v>9.8477794421278492E-3</v>
          </cell>
          <cell r="AU137">
            <v>-6.8476669808104906E-3</v>
          </cell>
          <cell r="AV137">
            <v>4.1550772599954051E-2</v>
          </cell>
          <cell r="AW137">
            <v>4.6848602988953866E-2</v>
          </cell>
          <cell r="AX137">
            <v>1.3588993183197116E-2</v>
          </cell>
          <cell r="AY137">
            <v>-2.0216951612974609E-2</v>
          </cell>
          <cell r="AZ137">
            <v>1.2198223321319267E-2</v>
          </cell>
          <cell r="BA137">
            <v>1.1185118409303557E-2</v>
          </cell>
          <cell r="BB137">
            <v>1.0735449052423804E-2</v>
          </cell>
          <cell r="BC137">
            <v>3.2843186422997453E-2</v>
          </cell>
          <cell r="BD137">
            <v>7.3500114118598241E-3</v>
          </cell>
          <cell r="BE137">
            <v>6.4298017163726268E-3</v>
          </cell>
          <cell r="BF137">
            <v>6.1717762181378389E-3</v>
          </cell>
          <cell r="BG137">
            <v>-2.1860451667004021E-2</v>
          </cell>
          <cell r="BH137">
            <v>5.8111691672087093E-3</v>
          </cell>
          <cell r="BI137">
            <v>5.6404378153962287E-3</v>
          </cell>
          <cell r="BJ137">
            <v>6.162695152013147E-3</v>
          </cell>
          <cell r="BK137">
            <v>-1.9984135252082674E-2</v>
          </cell>
          <cell r="BL137">
            <v>6.3319458191531189E-3</v>
          </cell>
          <cell r="BM137">
            <v>4.583275043134747E-3</v>
          </cell>
          <cell r="BN137">
            <v>4.5941055400855338E-3</v>
          </cell>
          <cell r="BO137">
            <v>4.9588900308324768E-3</v>
          </cell>
          <cell r="BP137">
            <v>3.4142831898619141E-3</v>
          </cell>
          <cell r="BQ137">
            <v>3.9377036676454084E-3</v>
          </cell>
          <cell r="BR137">
            <v>5.3641915938748702E-3</v>
          </cell>
          <cell r="BS137">
            <v>2.9737571043139954E-3</v>
          </cell>
        </row>
        <row r="138">
          <cell r="A138" t="str">
            <v>Depreciation. as % Cap Ex.</v>
          </cell>
          <cell r="G138">
            <v>1.3193590232735597</v>
          </cell>
          <cell r="H138">
            <v>1.5670994162237519</v>
          </cell>
          <cell r="I138">
            <v>0.23901669163278408</v>
          </cell>
          <cell r="J138">
            <v>1.3877495214656823</v>
          </cell>
          <cell r="K138">
            <v>1.55748031496063</v>
          </cell>
          <cell r="L138">
            <v>1.8040925863804094</v>
          </cell>
          <cell r="M138">
            <v>1.6705202312138729</v>
          </cell>
          <cell r="N138">
            <v>1.2074369568314576</v>
          </cell>
          <cell r="O138">
            <v>1.1783508899382491</v>
          </cell>
          <cell r="P138">
            <v>1.5951248513674197</v>
          </cell>
          <cell r="Q138">
            <v>1.7627463445645264</v>
          </cell>
          <cell r="R138">
            <v>1.3992967831128418</v>
          </cell>
          <cell r="S138">
            <v>1.3232216284517171</v>
          </cell>
          <cell r="T138">
            <v>1.7049915354579894</v>
          </cell>
          <cell r="U138">
            <v>1.770720469312526</v>
          </cell>
          <cell r="V138">
            <v>1.8171430238545365</v>
          </cell>
          <cell r="AB138">
            <v>1.27941768801427</v>
          </cell>
          <cell r="AC138">
            <v>1.7976818545163868</v>
          </cell>
          <cell r="AD138">
            <v>1.4820191355988124</v>
          </cell>
          <cell r="AE138">
            <v>1.8429624827809741</v>
          </cell>
          <cell r="AF138">
            <v>2.150674223177643</v>
          </cell>
          <cell r="AG138">
            <v>1.6316325047245239</v>
          </cell>
          <cell r="AH138">
            <v>1.2772297014952489</v>
          </cell>
          <cell r="AI138">
            <v>0.95558434348107713</v>
          </cell>
          <cell r="AJ138">
            <v>1.56375</v>
          </cell>
          <cell r="AK138">
            <v>1.2948979591836736</v>
          </cell>
          <cell r="AL138">
            <v>1.469545957918051</v>
          </cell>
          <cell r="AM138">
            <v>1.2607802874743326</v>
          </cell>
          <cell r="AN138">
            <v>2.2007168458781363</v>
          </cell>
          <cell r="AO138">
            <v>1.6038709677419354</v>
          </cell>
          <cell r="AP138">
            <v>1.4361948955916473</v>
          </cell>
          <cell r="AQ138">
            <v>1.2612244897959184</v>
          </cell>
          <cell r="AR138">
            <v>2.1019108280254777</v>
          </cell>
          <cell r="AS138">
            <v>1.7379400260756193</v>
          </cell>
          <cell r="AT138">
            <v>1.9881129271916791</v>
          </cell>
          <cell r="AU138">
            <v>1.5191675794085433</v>
          </cell>
          <cell r="AV138">
            <v>2.5685950413223142</v>
          </cell>
          <cell r="AW138">
            <v>1.6956521739130435</v>
          </cell>
          <cell r="AX138">
            <v>1.5878199470432479</v>
          </cell>
          <cell r="AY138">
            <v>1.3375438596491227</v>
          </cell>
          <cell r="AZ138">
            <v>1.2946372239747634</v>
          </cell>
          <cell r="BA138">
            <v>1.1508771929824562</v>
          </cell>
          <cell r="BB138">
            <v>1.1514124293785311</v>
          </cell>
          <cell r="BC138">
            <v>1.236949846468782</v>
          </cell>
          <cell r="BD138">
            <v>1.3803626713843433</v>
          </cell>
          <cell r="BE138">
            <v>1.1594202898550725</v>
          </cell>
          <cell r="BF138">
            <v>1.0621542466644973</v>
          </cell>
          <cell r="BG138">
            <v>1.1620973269362578</v>
          </cell>
          <cell r="BH138">
            <v>1.353182751540041</v>
          </cell>
          <cell r="BI138">
            <v>1.4534324442501094</v>
          </cell>
          <cell r="BJ138">
            <v>1.7461300309597523</v>
          </cell>
          <cell r="BK138">
            <v>1.9497142857142857</v>
          </cell>
          <cell r="BL138">
            <v>2.2150326797385622</v>
          </cell>
          <cell r="BM138">
            <v>1.6715257531584062</v>
          </cell>
          <cell r="BN138">
            <v>1.7973182052604435</v>
          </cell>
          <cell r="BO138">
            <v>1.5183917878528657</v>
          </cell>
          <cell r="BP138">
            <v>1.7997886951928157</v>
          </cell>
          <cell r="BQ138">
            <v>1.340392156862745</v>
          </cell>
          <cell r="BR138">
            <v>1.1679440186604466</v>
          </cell>
          <cell r="BS138">
            <v>1.4346537024913344</v>
          </cell>
        </row>
        <row r="139">
          <cell r="A139" t="str">
            <v>Acc. Dep. Retire. as % Gross Retire.</v>
          </cell>
          <cell r="G139">
            <v>1.1864736988588922</v>
          </cell>
          <cell r="H139">
            <v>1.005508607198748</v>
          </cell>
          <cell r="I139">
            <v>0.5953851423632015</v>
          </cell>
          <cell r="J139">
            <v>1.4797724728607502</v>
          </cell>
          <cell r="K139">
            <v>1.4725111441307579</v>
          </cell>
          <cell r="L139">
            <v>-0.5468389478541763</v>
          </cell>
          <cell r="M139">
            <v>-0.24004217432052483</v>
          </cell>
          <cell r="N139">
            <v>-0.33890126206384558</v>
          </cell>
          <cell r="O139">
            <v>10.232189973614776</v>
          </cell>
          <cell r="P139">
            <v>9.2024096385542169</v>
          </cell>
          <cell r="Q139">
            <v>0</v>
          </cell>
          <cell r="R139">
            <v>0.19538070405750529</v>
          </cell>
          <cell r="S139">
            <v>1</v>
          </cell>
          <cell r="T139">
            <v>1</v>
          </cell>
          <cell r="U139">
            <v>1</v>
          </cell>
          <cell r="V139">
            <v>1</v>
          </cell>
          <cell r="AB139">
            <v>1.1590909090909092</v>
          </cell>
          <cell r="AC139">
            <v>1.0313131313131314</v>
          </cell>
          <cell r="AD139">
            <v>0.17165354330708663</v>
          </cell>
          <cell r="AE139">
            <v>1.0381948743345302</v>
          </cell>
          <cell r="AF139">
            <v>-0.12031921424186617</v>
          </cell>
          <cell r="AG139">
            <v>0.60810071154898737</v>
          </cell>
          <cell r="AH139">
            <v>-58.10034561877378</v>
          </cell>
          <cell r="AI139">
            <v>-8.4625732262963762</v>
          </cell>
          <cell r="AJ139">
            <v>-4.3015910154422086</v>
          </cell>
          <cell r="AK139">
            <v>0.81003584229390679</v>
          </cell>
          <cell r="AL139">
            <v>0.52959501557632394</v>
          </cell>
          <cell r="AM139">
            <v>0.95605953224663365</v>
          </cell>
          <cell r="AN139">
            <v>0.76519916142557654</v>
          </cell>
          <cell r="AO139">
            <v>1.153061224489796</v>
          </cell>
          <cell r="AP139">
            <v>0.69670329670329667</v>
          </cell>
          <cell r="AQ139">
            <v>1.0595050026329647</v>
          </cell>
          <cell r="AR139">
            <v>0.91552511415525117</v>
          </cell>
          <cell r="AS139">
            <v>0.79920079920079923</v>
          </cell>
          <cell r="AT139">
            <v>0.79958890030832475</v>
          </cell>
          <cell r="AU139">
            <v>5.219619326500732</v>
          </cell>
          <cell r="AV139">
            <v>0.36588235294117649</v>
          </cell>
          <cell r="AW139">
            <v>0.26689122250842084</v>
          </cell>
          <cell r="AX139">
            <v>0.757715036112935</v>
          </cell>
          <cell r="AY139">
            <v>2.6729422066549913</v>
          </cell>
          <cell r="AZ139">
            <v>0.59166067577282533</v>
          </cell>
          <cell r="BA139">
            <v>0.63941940412528653</v>
          </cell>
          <cell r="BB139">
            <v>0.62606671838634598</v>
          </cell>
          <cell r="BC139">
            <v>-1.2719276814072806</v>
          </cell>
          <cell r="BD139">
            <v>0</v>
          </cell>
          <cell r="BE139">
            <v>0</v>
          </cell>
          <cell r="BF139">
            <v>-3.5629453681710215E-3</v>
          </cell>
          <cell r="BG139">
            <v>1.281415343915344</v>
          </cell>
          <cell r="BH139">
            <v>-2.4600246002460025E-3</v>
          </cell>
          <cell r="BI139">
            <v>-2.4783147459727386E-3</v>
          </cell>
          <cell r="BJ139">
            <v>-2.2222222222222222E-3</v>
          </cell>
          <cell r="BK139">
            <v>1.2991482112436117</v>
          </cell>
          <cell r="BL139">
            <v>0</v>
          </cell>
          <cell r="BM139">
            <v>0</v>
          </cell>
          <cell r="BN139">
            <v>0</v>
          </cell>
          <cell r="BO139">
            <v>0</v>
          </cell>
          <cell r="BP139">
            <v>0</v>
          </cell>
          <cell r="BQ139">
            <v>0</v>
          </cell>
          <cell r="BR139">
            <v>0</v>
          </cell>
          <cell r="BS139">
            <v>1</v>
          </cell>
        </row>
        <row r="140">
          <cell r="A140" t="str">
            <v>Average Life of Gross PP&amp;E</v>
          </cell>
          <cell r="G140">
            <v>11.791159153740269</v>
          </cell>
          <cell r="H140">
            <v>11.889867449515167</v>
          </cell>
          <cell r="I140">
            <v>54.917871611791305</v>
          </cell>
          <cell r="J140">
            <v>17.679828571428573</v>
          </cell>
          <cell r="K140">
            <v>18.899494438827098</v>
          </cell>
          <cell r="L140">
            <v>18.089066567497209</v>
          </cell>
          <cell r="M140">
            <v>15.311562860438293</v>
          </cell>
          <cell r="N140">
            <v>14.170560471976401</v>
          </cell>
          <cell r="O140">
            <v>10.246801787916153</v>
          </cell>
          <cell r="P140">
            <v>10.605777115169586</v>
          </cell>
          <cell r="Q140">
            <v>10.945939122908252</v>
          </cell>
          <cell r="R140">
            <v>11.815375395097281</v>
          </cell>
          <cell r="S140">
            <v>12.5</v>
          </cell>
          <cell r="T140">
            <v>13.2</v>
          </cell>
          <cell r="U140">
            <v>13.299999999999999</v>
          </cell>
          <cell r="V140">
            <v>13.499999999999998</v>
          </cell>
          <cell r="AB140">
            <v>11.885861254778503</v>
          </cell>
          <cell r="AC140">
            <v>11.922273111298857</v>
          </cell>
          <cell r="AD140">
            <v>12.093610863757792</v>
          </cell>
          <cell r="AE140">
            <v>12.001445436158987</v>
          </cell>
          <cell r="AF140">
            <v>12.44739323034984</v>
          </cell>
          <cell r="AG140">
            <v>12.337017774411974</v>
          </cell>
          <cell r="AH140">
            <v>7.6369425675675675</v>
          </cell>
          <cell r="AI140">
            <v>17.464695095381039</v>
          </cell>
          <cell r="AJ140">
            <v>17.518910871302957</v>
          </cell>
          <cell r="AK140">
            <v>17.477442868400317</v>
          </cell>
          <cell r="AL140">
            <v>17.142897513187641</v>
          </cell>
          <cell r="AM140">
            <v>18.81626628664495</v>
          </cell>
          <cell r="AN140">
            <v>18.877137622149839</v>
          </cell>
          <cell r="AO140">
            <v>18.860921158487532</v>
          </cell>
          <cell r="AP140">
            <v>19.178008885298869</v>
          </cell>
          <cell r="AQ140">
            <v>19.249292071197409</v>
          </cell>
          <cell r="AR140">
            <v>18.079734848484847</v>
          </cell>
          <cell r="AS140">
            <v>18.210240060015003</v>
          </cell>
          <cell r="AT140">
            <v>18.461136023916293</v>
          </cell>
          <cell r="AU140">
            <v>17.97801009372747</v>
          </cell>
          <cell r="AV140">
            <v>16.455035392535393</v>
          </cell>
          <cell r="AW140">
            <v>16.059928443649373</v>
          </cell>
          <cell r="AX140">
            <v>15.574763757643135</v>
          </cell>
          <cell r="AY140">
            <v>14.818271248688353</v>
          </cell>
          <cell r="AZ140">
            <v>13.892909356725147</v>
          </cell>
          <cell r="BA140">
            <v>14.8666793699187</v>
          </cell>
          <cell r="BB140">
            <v>14.728839548577037</v>
          </cell>
          <cell r="BC140">
            <v>12.890204799338022</v>
          </cell>
          <cell r="BD140">
            <v>10.353372316565203</v>
          </cell>
          <cell r="BE140">
            <v>10.3643359375</v>
          </cell>
          <cell r="BF140">
            <v>10.449410232843137</v>
          </cell>
          <cell r="BG140">
            <v>10.198466529047479</v>
          </cell>
          <cell r="BH140">
            <v>10.614795144157815</v>
          </cell>
          <cell r="BI140">
            <v>10.760679903730445</v>
          </cell>
          <cell r="BJ140">
            <v>10.789007092198581</v>
          </cell>
          <cell r="BK140">
            <v>10.761027256740915</v>
          </cell>
          <cell r="BL140">
            <v>10.881233402183534</v>
          </cell>
          <cell r="BM140">
            <v>10.909229651162791</v>
          </cell>
          <cell r="BN140">
            <v>10.961585365853658</v>
          </cell>
          <cell r="BO140">
            <v>10.96338028169014</v>
          </cell>
          <cell r="BP140">
            <v>11.626944525975931</v>
          </cell>
          <cell r="BQ140">
            <v>11.795019016968988</v>
          </cell>
          <cell r="BR140">
            <v>11.754386590584879</v>
          </cell>
          <cell r="BS140">
            <v>12</v>
          </cell>
        </row>
        <row r="142">
          <cell r="A142" t="str">
            <v>Unrecorded Goodwill</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cell r="BR142">
            <v>0</v>
          </cell>
          <cell r="BS142">
            <v>0</v>
          </cell>
          <cell r="BU142" t="str">
            <v>mstag:unrecordedGoodwillFromPoolingAndAmortizedOrWrittenOffGoodwill</v>
          </cell>
          <cell r="BV142">
            <v>3</v>
          </cell>
          <cell r="BW142" t="str">
            <v>ISO4217:USD</v>
          </cell>
          <cell r="BX142" t="b">
            <v>0</v>
          </cell>
          <cell r="BY142" t="b">
            <v>0</v>
          </cell>
        </row>
        <row r="144">
          <cell r="A144" t="str">
            <v>Debt Schedule</v>
          </cell>
        </row>
        <row r="146">
          <cell r="A146" t="str">
            <v>Senior Secured Credit Facility due 2011</v>
          </cell>
          <cell r="I146">
            <v>500</v>
          </cell>
          <cell r="J146">
            <v>283.3</v>
          </cell>
          <cell r="K146">
            <v>283.3</v>
          </cell>
          <cell r="L146">
            <v>114.4</v>
          </cell>
          <cell r="M146">
            <v>100.9</v>
          </cell>
          <cell r="N146">
            <v>0</v>
          </cell>
          <cell r="O146">
            <v>0</v>
          </cell>
          <cell r="AH146">
            <v>500</v>
          </cell>
          <cell r="AI146">
            <v>500</v>
          </cell>
          <cell r="AJ146">
            <v>500</v>
          </cell>
          <cell r="AK146">
            <v>500</v>
          </cell>
          <cell r="AL146">
            <v>500</v>
          </cell>
          <cell r="AM146">
            <v>283.3</v>
          </cell>
          <cell r="AN146">
            <v>283.3</v>
          </cell>
          <cell r="AO146">
            <v>283.3</v>
          </cell>
          <cell r="AP146">
            <v>283.3</v>
          </cell>
          <cell r="AQ146">
            <v>283.3</v>
          </cell>
          <cell r="AR146">
            <v>283.3</v>
          </cell>
          <cell r="AS146">
            <v>283.3</v>
          </cell>
          <cell r="AT146">
            <v>283.3</v>
          </cell>
          <cell r="AU146">
            <v>114.4</v>
          </cell>
          <cell r="AV146">
            <v>114.4</v>
          </cell>
          <cell r="AW146">
            <v>114.4</v>
          </cell>
          <cell r="AX146">
            <v>100.9</v>
          </cell>
          <cell r="AY146">
            <v>100.9</v>
          </cell>
          <cell r="AZ146">
            <v>98</v>
          </cell>
          <cell r="BA146">
            <v>98</v>
          </cell>
        </row>
        <row r="147">
          <cell r="A147" t="str">
            <v>Revolving Line of Credit due December 17, 2015</v>
          </cell>
          <cell r="B147">
            <v>3.5000000000000003E-2</v>
          </cell>
          <cell r="I147">
            <v>800</v>
          </cell>
          <cell r="J147">
            <v>800</v>
          </cell>
          <cell r="K147">
            <v>800</v>
          </cell>
          <cell r="L147">
            <v>800</v>
          </cell>
          <cell r="M147">
            <v>800</v>
          </cell>
          <cell r="N147">
            <v>800</v>
          </cell>
          <cell r="O147">
            <v>800</v>
          </cell>
          <cell r="P147">
            <v>590</v>
          </cell>
          <cell r="Q147">
            <v>625</v>
          </cell>
          <cell r="R147">
            <v>0</v>
          </cell>
          <cell r="S147">
            <v>0</v>
          </cell>
          <cell r="T147">
            <v>0</v>
          </cell>
          <cell r="U147">
            <v>0</v>
          </cell>
          <cell r="V147">
            <v>0</v>
          </cell>
          <cell r="AH147">
            <v>800</v>
          </cell>
          <cell r="AI147">
            <v>800</v>
          </cell>
          <cell r="AJ147">
            <v>800</v>
          </cell>
          <cell r="AK147">
            <v>800</v>
          </cell>
          <cell r="AL147">
            <v>800</v>
          </cell>
          <cell r="AM147">
            <v>800</v>
          </cell>
          <cell r="AN147">
            <v>800</v>
          </cell>
          <cell r="AO147">
            <v>800</v>
          </cell>
          <cell r="AP147">
            <v>800</v>
          </cell>
          <cell r="AQ147">
            <v>800</v>
          </cell>
          <cell r="AR147">
            <v>800</v>
          </cell>
          <cell r="AS147">
            <v>800</v>
          </cell>
          <cell r="AT147">
            <v>800</v>
          </cell>
          <cell r="AU147">
            <v>800</v>
          </cell>
          <cell r="AV147">
            <v>800</v>
          </cell>
          <cell r="AW147">
            <v>800</v>
          </cell>
          <cell r="AX147">
            <v>800</v>
          </cell>
          <cell r="AY147">
            <v>800</v>
          </cell>
          <cell r="AZ147">
            <v>800</v>
          </cell>
          <cell r="BA147">
            <v>800</v>
          </cell>
          <cell r="BB147">
            <v>800</v>
          </cell>
          <cell r="BC147">
            <v>800</v>
          </cell>
          <cell r="BD147">
            <v>800</v>
          </cell>
          <cell r="BE147">
            <v>800</v>
          </cell>
          <cell r="BF147">
            <v>800</v>
          </cell>
          <cell r="BG147">
            <v>800</v>
          </cell>
          <cell r="BH147">
            <v>800</v>
          </cell>
          <cell r="BI147">
            <v>800</v>
          </cell>
          <cell r="BJ147">
            <v>700</v>
          </cell>
          <cell r="BK147">
            <v>590</v>
          </cell>
          <cell r="BL147">
            <v>610</v>
          </cell>
          <cell r="BM147">
            <v>610</v>
          </cell>
          <cell r="BN147">
            <v>610</v>
          </cell>
          <cell r="BO147">
            <v>625</v>
          </cell>
          <cell r="BP147">
            <v>820</v>
          </cell>
          <cell r="BS147">
            <v>0</v>
          </cell>
        </row>
        <row r="148">
          <cell r="A148" t="str">
            <v>Senior Secured Credit Facility due July 2013</v>
          </cell>
          <cell r="B148">
            <v>6.7000000000000004E-2</v>
          </cell>
          <cell r="I148">
            <v>1900</v>
          </cell>
          <cell r="J148">
            <v>1393</v>
          </cell>
          <cell r="K148">
            <v>1379</v>
          </cell>
          <cell r="L148">
            <v>458.70000000000005</v>
          </cell>
          <cell r="M148">
            <v>469.1</v>
          </cell>
          <cell r="N148">
            <v>456.1</v>
          </cell>
          <cell r="O148">
            <v>300.39999999999998</v>
          </cell>
          <cell r="AH148">
            <v>1900</v>
          </cell>
          <cell r="AI148">
            <v>1900</v>
          </cell>
          <cell r="AJ148">
            <v>1400</v>
          </cell>
          <cell r="AK148">
            <v>1400</v>
          </cell>
          <cell r="AL148">
            <v>1400</v>
          </cell>
          <cell r="AM148">
            <v>1393</v>
          </cell>
          <cell r="AN148">
            <v>1389.5</v>
          </cell>
          <cell r="AO148">
            <v>1386</v>
          </cell>
          <cell r="AP148">
            <v>1382.5</v>
          </cell>
          <cell r="AQ148">
            <v>1379</v>
          </cell>
          <cell r="AR148">
            <v>1375.5</v>
          </cell>
          <cell r="AS148">
            <v>1372</v>
          </cell>
          <cell r="AT148">
            <v>1368.5</v>
          </cell>
          <cell r="AU148">
            <v>458.70000000000005</v>
          </cell>
          <cell r="AV148">
            <v>457.9</v>
          </cell>
          <cell r="AW148">
            <v>457.20000000000005</v>
          </cell>
          <cell r="AX148">
            <v>470</v>
          </cell>
          <cell r="AY148">
            <v>469.1</v>
          </cell>
          <cell r="AZ148">
            <v>468.40000000000003</v>
          </cell>
          <cell r="BA148">
            <v>467.6</v>
          </cell>
          <cell r="BB148">
            <v>461.90000000000003</v>
          </cell>
          <cell r="BC148">
            <v>456.1</v>
          </cell>
          <cell r="BD148">
            <v>304.5</v>
          </cell>
          <cell r="BE148">
            <v>303.2</v>
          </cell>
          <cell r="BF148">
            <v>301.70000000000005</v>
          </cell>
          <cell r="BG148">
            <v>300.39999999999998</v>
          </cell>
        </row>
        <row r="149">
          <cell r="A149" t="str">
            <v>6.500% Windstream Georgia Communications due 2013</v>
          </cell>
          <cell r="B149">
            <v>6.5000000000000002E-2</v>
          </cell>
          <cell r="I149">
            <v>70</v>
          </cell>
          <cell r="J149">
            <v>60</v>
          </cell>
          <cell r="K149">
            <v>50</v>
          </cell>
          <cell r="L149">
            <v>40</v>
          </cell>
          <cell r="M149">
            <v>30</v>
          </cell>
          <cell r="N149">
            <v>20</v>
          </cell>
          <cell r="O149">
            <v>10</v>
          </cell>
          <cell r="P149">
            <v>0</v>
          </cell>
          <cell r="AH149">
            <v>80</v>
          </cell>
          <cell r="AI149">
            <v>70</v>
          </cell>
          <cell r="AJ149">
            <v>70</v>
          </cell>
          <cell r="AK149">
            <v>70</v>
          </cell>
          <cell r="AL149">
            <v>70</v>
          </cell>
          <cell r="AM149">
            <v>60</v>
          </cell>
          <cell r="AN149">
            <v>60</v>
          </cell>
          <cell r="AO149">
            <v>60</v>
          </cell>
          <cell r="AP149">
            <v>60</v>
          </cell>
          <cell r="AQ149">
            <v>50</v>
          </cell>
          <cell r="AR149">
            <v>50</v>
          </cell>
          <cell r="AS149">
            <v>50</v>
          </cell>
          <cell r="AT149">
            <v>50</v>
          </cell>
          <cell r="AU149">
            <v>40</v>
          </cell>
          <cell r="AV149">
            <v>40</v>
          </cell>
          <cell r="AW149">
            <v>40</v>
          </cell>
          <cell r="AX149">
            <v>40</v>
          </cell>
          <cell r="AY149">
            <v>30</v>
          </cell>
          <cell r="AZ149">
            <v>30</v>
          </cell>
          <cell r="BA149">
            <v>30</v>
          </cell>
          <cell r="BB149">
            <v>30</v>
          </cell>
          <cell r="BC149">
            <v>20</v>
          </cell>
          <cell r="BD149">
            <v>20</v>
          </cell>
          <cell r="BE149">
            <v>20</v>
          </cell>
          <cell r="BF149">
            <v>20</v>
          </cell>
          <cell r="BG149">
            <v>10</v>
          </cell>
          <cell r="BH149">
            <v>10</v>
          </cell>
          <cell r="BI149">
            <v>10</v>
          </cell>
          <cell r="BJ149">
            <v>10</v>
          </cell>
          <cell r="BK149">
            <v>0</v>
          </cell>
          <cell r="BL149">
            <v>0</v>
          </cell>
          <cell r="BM149">
            <v>0</v>
          </cell>
        </row>
        <row r="150">
          <cell r="A150" t="str">
            <v>7.750% Senior Notes due 2015</v>
          </cell>
          <cell r="B150">
            <v>7.7499999999999999E-2</v>
          </cell>
          <cell r="I150">
            <v>0</v>
          </cell>
          <cell r="AH150">
            <v>400</v>
          </cell>
        </row>
        <row r="151">
          <cell r="A151" t="str">
            <v>Senior Secured Credit Facility due December 2015</v>
          </cell>
          <cell r="B151">
            <v>6.7000000000000004E-2</v>
          </cell>
          <cell r="I151">
            <v>0</v>
          </cell>
          <cell r="J151">
            <v>0</v>
          </cell>
          <cell r="K151">
            <v>0</v>
          </cell>
          <cell r="L151">
            <v>1075.3</v>
          </cell>
          <cell r="M151">
            <v>1064.5</v>
          </cell>
          <cell r="N151">
            <v>1053.7</v>
          </cell>
          <cell r="O151">
            <v>1042.9000000000001</v>
          </cell>
          <cell r="AU151">
            <v>1075.3</v>
          </cell>
          <cell r="AV151">
            <v>1072.5999999999999</v>
          </cell>
          <cell r="AW151">
            <v>1069.9000000000001</v>
          </cell>
          <cell r="AX151">
            <v>1067.2</v>
          </cell>
          <cell r="AY151">
            <v>1064.5</v>
          </cell>
          <cell r="AZ151">
            <v>1061.8</v>
          </cell>
          <cell r="BA151">
            <v>1059.0999999999999</v>
          </cell>
          <cell r="BB151">
            <v>1056.4000000000001</v>
          </cell>
          <cell r="BC151">
            <v>1053.7</v>
          </cell>
          <cell r="BD151">
            <v>1051</v>
          </cell>
          <cell r="BE151">
            <v>1048.3</v>
          </cell>
          <cell r="BF151">
            <v>1045.5999999999999</v>
          </cell>
          <cell r="BG151">
            <v>1042.9000000000001</v>
          </cell>
        </row>
        <row r="152">
          <cell r="A152" t="str">
            <v>9.500% PAETEC Notes due 2015</v>
          </cell>
          <cell r="B152">
            <v>9.5000000000000001E-2</v>
          </cell>
          <cell r="I152">
            <v>0</v>
          </cell>
          <cell r="J152">
            <v>0</v>
          </cell>
          <cell r="K152">
            <v>0</v>
          </cell>
          <cell r="L152">
            <v>0</v>
          </cell>
          <cell r="M152">
            <v>0</v>
          </cell>
          <cell r="N152">
            <v>300</v>
          </cell>
          <cell r="BC152">
            <v>300</v>
          </cell>
        </row>
        <row r="153">
          <cell r="A153" t="str">
            <v>8.625% Senior Notes due 2016</v>
          </cell>
          <cell r="B153">
            <v>8.6249999999999993E-2</v>
          </cell>
          <cell r="I153">
            <v>1746</v>
          </cell>
          <cell r="J153">
            <v>1746</v>
          </cell>
          <cell r="K153">
            <v>1746</v>
          </cell>
          <cell r="L153">
            <v>1746</v>
          </cell>
          <cell r="M153">
            <v>1746</v>
          </cell>
          <cell r="AH153">
            <v>1746</v>
          </cell>
          <cell r="AI153">
            <v>1746</v>
          </cell>
          <cell r="AJ153">
            <v>1746</v>
          </cell>
          <cell r="AK153">
            <v>1746</v>
          </cell>
          <cell r="AL153">
            <v>1746</v>
          </cell>
          <cell r="AM153">
            <v>1746</v>
          </cell>
          <cell r="AN153">
            <v>1746</v>
          </cell>
          <cell r="AO153">
            <v>1746</v>
          </cell>
          <cell r="AP153">
            <v>1746</v>
          </cell>
          <cell r="AQ153">
            <v>1746</v>
          </cell>
          <cell r="AR153">
            <v>1746</v>
          </cell>
          <cell r="AS153">
            <v>1746</v>
          </cell>
          <cell r="AT153">
            <v>1746</v>
          </cell>
          <cell r="AU153">
            <v>1746</v>
          </cell>
          <cell r="AV153">
            <v>1746</v>
          </cell>
          <cell r="AW153">
            <v>1746</v>
          </cell>
          <cell r="AX153">
            <v>1746</v>
          </cell>
          <cell r="AY153">
            <v>1746</v>
          </cell>
          <cell r="AZ153">
            <v>584.70000000000005</v>
          </cell>
          <cell r="BA153">
            <v>551.5</v>
          </cell>
          <cell r="BB153">
            <v>201.5</v>
          </cell>
        </row>
        <row r="154">
          <cell r="A154" t="str">
            <v>Senior Secured Credit Facility due December 2016</v>
          </cell>
          <cell r="B154">
            <v>6.7000000000000004E-2</v>
          </cell>
          <cell r="I154">
            <v>0</v>
          </cell>
          <cell r="J154">
            <v>0</v>
          </cell>
          <cell r="K154">
            <v>0</v>
          </cell>
          <cell r="L154">
            <v>0</v>
          </cell>
          <cell r="M154">
            <v>0</v>
          </cell>
          <cell r="N154">
            <v>0</v>
          </cell>
          <cell r="O154">
            <v>408.8</v>
          </cell>
          <cell r="P154">
            <v>387.3</v>
          </cell>
          <cell r="Q154">
            <v>344.3</v>
          </cell>
          <cell r="R154">
            <v>0</v>
          </cell>
          <cell r="S154">
            <v>0</v>
          </cell>
          <cell r="T154">
            <v>0</v>
          </cell>
          <cell r="U154">
            <v>0</v>
          </cell>
          <cell r="V154">
            <v>0</v>
          </cell>
          <cell r="BD154">
            <v>424.9</v>
          </cell>
          <cell r="BE154">
            <v>419.6</v>
          </cell>
          <cell r="BF154">
            <v>414.2</v>
          </cell>
          <cell r="BG154">
            <v>408.8</v>
          </cell>
          <cell r="BH154">
            <v>403.5</v>
          </cell>
          <cell r="BI154">
            <v>398.1</v>
          </cell>
          <cell r="BJ154">
            <v>392.7</v>
          </cell>
          <cell r="BK154">
            <v>387.3</v>
          </cell>
          <cell r="BL154">
            <v>376.6</v>
          </cell>
          <cell r="BM154">
            <v>365.8</v>
          </cell>
          <cell r="BN154">
            <v>355</v>
          </cell>
          <cell r="BO154">
            <v>344.3</v>
          </cell>
          <cell r="BP154">
            <v>333.5</v>
          </cell>
          <cell r="BQ154">
            <v>0</v>
          </cell>
          <cell r="BR154">
            <v>0</v>
          </cell>
          <cell r="BS154">
            <v>0</v>
          </cell>
        </row>
        <row r="155">
          <cell r="A155" t="str">
            <v>7.875% Senior Notes due November 1, 2017</v>
          </cell>
          <cell r="B155">
            <v>7.8750000000000001E-2</v>
          </cell>
          <cell r="I155">
            <v>0</v>
          </cell>
          <cell r="J155">
            <v>0</v>
          </cell>
          <cell r="K155">
            <v>0</v>
          </cell>
          <cell r="L155">
            <v>1100</v>
          </cell>
          <cell r="M155">
            <v>1100</v>
          </cell>
          <cell r="N155">
            <v>1100</v>
          </cell>
          <cell r="O155">
            <v>1100</v>
          </cell>
          <cell r="P155">
            <v>1100</v>
          </cell>
          <cell r="Q155">
            <v>1100</v>
          </cell>
          <cell r="R155">
            <v>942</v>
          </cell>
          <cell r="S155">
            <v>250</v>
          </cell>
          <cell r="T155">
            <v>0</v>
          </cell>
          <cell r="U155">
            <v>0</v>
          </cell>
          <cell r="V155">
            <v>0</v>
          </cell>
          <cell r="AU155">
            <v>1100</v>
          </cell>
          <cell r="AV155">
            <v>1100</v>
          </cell>
          <cell r="AW155">
            <v>1100</v>
          </cell>
          <cell r="AX155">
            <v>1100</v>
          </cell>
          <cell r="AY155">
            <v>1100</v>
          </cell>
          <cell r="AZ155">
            <v>1100</v>
          </cell>
          <cell r="BA155">
            <v>1100</v>
          </cell>
          <cell r="BB155">
            <v>1100</v>
          </cell>
          <cell r="BC155">
            <v>1100</v>
          </cell>
          <cell r="BD155">
            <v>1100</v>
          </cell>
          <cell r="BE155">
            <v>1100</v>
          </cell>
          <cell r="BF155">
            <v>1100</v>
          </cell>
          <cell r="BG155">
            <v>1100</v>
          </cell>
          <cell r="BH155">
            <v>1100</v>
          </cell>
          <cell r="BI155">
            <v>1100</v>
          </cell>
          <cell r="BJ155">
            <v>1100</v>
          </cell>
          <cell r="BK155">
            <v>1100</v>
          </cell>
          <cell r="BL155">
            <v>1100</v>
          </cell>
          <cell r="BM155">
            <v>1100</v>
          </cell>
          <cell r="BN155">
            <v>1100</v>
          </cell>
          <cell r="BO155">
            <v>1100</v>
          </cell>
          <cell r="BP155">
            <v>1100</v>
          </cell>
          <cell r="BQ155">
            <v>1100</v>
          </cell>
          <cell r="BR155">
            <v>942</v>
          </cell>
          <cell r="BS155">
            <v>942</v>
          </cell>
        </row>
        <row r="156">
          <cell r="A156" t="str">
            <v>Senior Secured Credit Facility due August 2017</v>
          </cell>
          <cell r="B156">
            <v>6.7000000000000004E-2</v>
          </cell>
          <cell r="I156">
            <v>0</v>
          </cell>
          <cell r="J156">
            <v>0</v>
          </cell>
          <cell r="K156">
            <v>0</v>
          </cell>
          <cell r="L156">
            <v>0</v>
          </cell>
          <cell r="M156">
            <v>0</v>
          </cell>
          <cell r="N156">
            <v>0</v>
          </cell>
          <cell r="O156">
            <v>292.5</v>
          </cell>
          <cell r="P156">
            <v>277.5</v>
          </cell>
          <cell r="Q156">
            <v>255</v>
          </cell>
          <cell r="R156">
            <v>0</v>
          </cell>
          <cell r="S156">
            <v>0</v>
          </cell>
          <cell r="T156">
            <v>0</v>
          </cell>
          <cell r="U156">
            <v>0</v>
          </cell>
          <cell r="V156">
            <v>0</v>
          </cell>
          <cell r="BF156">
            <v>296.3</v>
          </cell>
          <cell r="BG156">
            <v>292.5</v>
          </cell>
          <cell r="BH156">
            <v>288.7</v>
          </cell>
          <cell r="BI156">
            <v>285</v>
          </cell>
          <cell r="BJ156">
            <v>281.2</v>
          </cell>
          <cell r="BK156">
            <v>277.5</v>
          </cell>
          <cell r="BL156">
            <v>273.7</v>
          </cell>
          <cell r="BM156">
            <v>270</v>
          </cell>
          <cell r="BN156">
            <v>262.5</v>
          </cell>
          <cell r="BO156">
            <v>255</v>
          </cell>
          <cell r="BP156">
            <v>247.5</v>
          </cell>
          <cell r="BQ156">
            <v>0</v>
          </cell>
          <cell r="BR156">
            <v>0</v>
          </cell>
          <cell r="BS156">
            <v>0</v>
          </cell>
        </row>
        <row r="157">
          <cell r="A157" t="str">
            <v>8.875% PAETEC Notes due 2017</v>
          </cell>
          <cell r="B157">
            <v>8.8749999999999996E-2</v>
          </cell>
          <cell r="I157">
            <v>0</v>
          </cell>
          <cell r="J157">
            <v>0</v>
          </cell>
          <cell r="K157">
            <v>0</v>
          </cell>
          <cell r="L157">
            <v>0</v>
          </cell>
          <cell r="M157">
            <v>0</v>
          </cell>
          <cell r="N157">
            <v>650</v>
          </cell>
          <cell r="O157">
            <v>650</v>
          </cell>
          <cell r="R157">
            <v>0</v>
          </cell>
          <cell r="BC157">
            <v>650</v>
          </cell>
          <cell r="BD157">
            <v>650</v>
          </cell>
          <cell r="BE157">
            <v>650</v>
          </cell>
          <cell r="BF157">
            <v>650</v>
          </cell>
          <cell r="BG157">
            <v>650</v>
          </cell>
        </row>
        <row r="158">
          <cell r="A158" t="str">
            <v>8.125% Senior Notes due September 1, 2018</v>
          </cell>
          <cell r="B158">
            <v>8.1250000000000003E-2</v>
          </cell>
          <cell r="I158">
            <v>0</v>
          </cell>
          <cell r="J158">
            <v>0</v>
          </cell>
          <cell r="K158">
            <v>0</v>
          </cell>
          <cell r="L158">
            <v>0</v>
          </cell>
          <cell r="M158">
            <v>400</v>
          </cell>
          <cell r="N158">
            <v>400</v>
          </cell>
          <cell r="O158">
            <v>400</v>
          </cell>
          <cell r="P158">
            <v>400</v>
          </cell>
          <cell r="Q158">
            <v>400</v>
          </cell>
          <cell r="R158">
            <v>0</v>
          </cell>
          <cell r="S158">
            <v>0</v>
          </cell>
          <cell r="T158">
            <v>0</v>
          </cell>
          <cell r="U158">
            <v>0</v>
          </cell>
          <cell r="V158">
            <v>0</v>
          </cell>
          <cell r="AX158">
            <v>400</v>
          </cell>
          <cell r="AY158">
            <v>400</v>
          </cell>
          <cell r="AZ158">
            <v>400</v>
          </cell>
          <cell r="BA158">
            <v>400</v>
          </cell>
          <cell r="BB158">
            <v>400</v>
          </cell>
          <cell r="BC158">
            <v>400</v>
          </cell>
          <cell r="BD158">
            <v>400</v>
          </cell>
          <cell r="BE158">
            <v>400</v>
          </cell>
          <cell r="BF158">
            <v>400</v>
          </cell>
          <cell r="BG158">
            <v>400</v>
          </cell>
          <cell r="BH158">
            <v>400</v>
          </cell>
          <cell r="BI158">
            <v>400</v>
          </cell>
          <cell r="BJ158">
            <v>400</v>
          </cell>
          <cell r="BK158">
            <v>400</v>
          </cell>
          <cell r="BL158">
            <v>400</v>
          </cell>
          <cell r="BM158">
            <v>400</v>
          </cell>
          <cell r="BN158">
            <v>400</v>
          </cell>
          <cell r="BO158">
            <v>400</v>
          </cell>
          <cell r="BP158">
            <v>400</v>
          </cell>
          <cell r="BQ158">
            <v>0</v>
          </cell>
          <cell r="BR158">
            <v>0</v>
          </cell>
          <cell r="BS158">
            <v>0</v>
          </cell>
        </row>
        <row r="159">
          <cell r="A159" t="str">
            <v>9.875% PAETEC Notes due December 1, 2018</v>
          </cell>
          <cell r="B159">
            <v>9.8750000000000004E-2</v>
          </cell>
          <cell r="I159">
            <v>0</v>
          </cell>
          <cell r="J159">
            <v>0</v>
          </cell>
          <cell r="K159">
            <v>0</v>
          </cell>
          <cell r="L159">
            <v>0</v>
          </cell>
          <cell r="M159">
            <v>0</v>
          </cell>
          <cell r="N159">
            <v>450</v>
          </cell>
          <cell r="O159">
            <v>450</v>
          </cell>
          <cell r="P159">
            <v>450</v>
          </cell>
          <cell r="Q159">
            <v>450</v>
          </cell>
          <cell r="R159">
            <v>0</v>
          </cell>
          <cell r="S159">
            <v>0</v>
          </cell>
          <cell r="T159">
            <v>0</v>
          </cell>
          <cell r="U159">
            <v>0</v>
          </cell>
          <cell r="V159">
            <v>0</v>
          </cell>
          <cell r="BC159">
            <v>450</v>
          </cell>
          <cell r="BD159">
            <v>450</v>
          </cell>
          <cell r="BE159">
            <v>450</v>
          </cell>
          <cell r="BF159">
            <v>450</v>
          </cell>
          <cell r="BG159">
            <v>450</v>
          </cell>
          <cell r="BH159">
            <v>450</v>
          </cell>
          <cell r="BI159">
            <v>450</v>
          </cell>
          <cell r="BJ159">
            <v>450</v>
          </cell>
          <cell r="BK159">
            <v>450</v>
          </cell>
          <cell r="BL159">
            <v>450</v>
          </cell>
          <cell r="BM159">
            <v>450</v>
          </cell>
          <cell r="BN159">
            <v>450</v>
          </cell>
          <cell r="BO159">
            <v>450</v>
          </cell>
          <cell r="BP159">
            <v>450</v>
          </cell>
          <cell r="BQ159">
            <v>0</v>
          </cell>
          <cell r="BR159">
            <v>0</v>
          </cell>
          <cell r="BS159">
            <v>0</v>
          </cell>
        </row>
        <row r="160">
          <cell r="A160" t="str">
            <v>7.000% Senior Notes due March 15, 2019</v>
          </cell>
          <cell r="B160">
            <v>7.0000000000000007E-2</v>
          </cell>
          <cell r="I160">
            <v>0</v>
          </cell>
          <cell r="J160">
            <v>500</v>
          </cell>
          <cell r="K160">
            <v>500</v>
          </cell>
          <cell r="L160">
            <v>500</v>
          </cell>
          <cell r="M160">
            <v>500</v>
          </cell>
          <cell r="N160">
            <v>500</v>
          </cell>
          <cell r="O160">
            <v>500</v>
          </cell>
          <cell r="P160">
            <v>0</v>
          </cell>
          <cell r="Q160">
            <v>0</v>
          </cell>
          <cell r="R160">
            <v>0</v>
          </cell>
          <cell r="S160">
            <v>0</v>
          </cell>
          <cell r="T160">
            <v>0</v>
          </cell>
          <cell r="U160">
            <v>0</v>
          </cell>
          <cell r="V160">
            <v>0</v>
          </cell>
          <cell r="AJ160">
            <v>500</v>
          </cell>
          <cell r="AK160">
            <v>500</v>
          </cell>
          <cell r="AL160">
            <v>500</v>
          </cell>
          <cell r="AM160">
            <v>500</v>
          </cell>
          <cell r="AN160">
            <v>500</v>
          </cell>
          <cell r="AO160">
            <v>500</v>
          </cell>
          <cell r="AP160">
            <v>500</v>
          </cell>
          <cell r="AQ160">
            <v>500</v>
          </cell>
          <cell r="AR160">
            <v>500</v>
          </cell>
          <cell r="AS160">
            <v>500</v>
          </cell>
          <cell r="AT160">
            <v>500</v>
          </cell>
          <cell r="AU160">
            <v>500</v>
          </cell>
          <cell r="AV160">
            <v>500</v>
          </cell>
          <cell r="AW160">
            <v>500</v>
          </cell>
          <cell r="AX160">
            <v>500</v>
          </cell>
          <cell r="AY160">
            <v>500</v>
          </cell>
          <cell r="AZ160">
            <v>500</v>
          </cell>
          <cell r="BA160">
            <v>500</v>
          </cell>
          <cell r="BB160">
            <v>500</v>
          </cell>
          <cell r="BC160">
            <v>500</v>
          </cell>
          <cell r="BD160">
            <v>500</v>
          </cell>
          <cell r="BE160">
            <v>500</v>
          </cell>
          <cell r="BF160">
            <v>500</v>
          </cell>
          <cell r="BG160">
            <v>500</v>
          </cell>
          <cell r="BH160">
            <v>500</v>
          </cell>
          <cell r="BI160">
            <v>500</v>
          </cell>
        </row>
        <row r="161">
          <cell r="A161" t="str">
            <v>Senior Secured Credit Facility due August 2019</v>
          </cell>
          <cell r="B161">
            <v>6.7000000000000004E-2</v>
          </cell>
          <cell r="I161">
            <v>0</v>
          </cell>
          <cell r="J161">
            <v>0</v>
          </cell>
          <cell r="K161">
            <v>0</v>
          </cell>
          <cell r="L161">
            <v>0</v>
          </cell>
          <cell r="M161">
            <v>0</v>
          </cell>
          <cell r="N161">
            <v>0</v>
          </cell>
          <cell r="O161">
            <v>597</v>
          </cell>
          <cell r="P161">
            <v>590</v>
          </cell>
          <cell r="Q161">
            <v>584.1</v>
          </cell>
          <cell r="R161">
            <v>581.20000000000005</v>
          </cell>
          <cell r="S161">
            <v>581.20000000000005</v>
          </cell>
          <cell r="T161">
            <v>581.20000000000005</v>
          </cell>
          <cell r="U161">
            <v>481.20000000000005</v>
          </cell>
          <cell r="V161">
            <v>0</v>
          </cell>
          <cell r="BF161">
            <v>598.5</v>
          </cell>
          <cell r="BG161">
            <v>597</v>
          </cell>
          <cell r="BH161">
            <v>595.5</v>
          </cell>
          <cell r="BI161">
            <v>594</v>
          </cell>
          <cell r="BJ161">
            <v>592.5</v>
          </cell>
          <cell r="BK161">
            <v>590</v>
          </cell>
          <cell r="BL161">
            <v>588.5</v>
          </cell>
          <cell r="BM161">
            <v>587.1</v>
          </cell>
          <cell r="BN161">
            <v>585.6</v>
          </cell>
          <cell r="BO161">
            <v>584.1</v>
          </cell>
          <cell r="BP161">
            <v>582.6</v>
          </cell>
          <cell r="BQ161">
            <v>581.20000000000005</v>
          </cell>
          <cell r="BR161">
            <v>581.20000000000005</v>
          </cell>
          <cell r="BS161">
            <v>581.20000000000005</v>
          </cell>
        </row>
        <row r="162">
          <cell r="A162" t="str">
            <v>7.750% Senior Notes due October 15, 2020</v>
          </cell>
          <cell r="B162">
            <v>7.7499999999999999E-2</v>
          </cell>
          <cell r="I162">
            <v>0</v>
          </cell>
          <cell r="J162">
            <v>0</v>
          </cell>
          <cell r="K162">
            <v>0</v>
          </cell>
          <cell r="L162">
            <v>0</v>
          </cell>
          <cell r="M162">
            <v>500</v>
          </cell>
          <cell r="N162">
            <v>700</v>
          </cell>
          <cell r="O162">
            <v>700</v>
          </cell>
          <cell r="P162">
            <v>700</v>
          </cell>
          <cell r="Q162">
            <v>700</v>
          </cell>
          <cell r="R162">
            <v>700</v>
          </cell>
          <cell r="S162">
            <v>500</v>
          </cell>
          <cell r="T162">
            <v>500</v>
          </cell>
          <cell r="U162">
            <v>420</v>
          </cell>
          <cell r="V162">
            <v>420</v>
          </cell>
          <cell r="AY162">
            <v>500</v>
          </cell>
          <cell r="AZ162">
            <v>700</v>
          </cell>
          <cell r="BA162">
            <v>700</v>
          </cell>
          <cell r="BB162">
            <v>700</v>
          </cell>
          <cell r="BC162">
            <v>700</v>
          </cell>
          <cell r="BD162">
            <v>700</v>
          </cell>
          <cell r="BE162">
            <v>700</v>
          </cell>
          <cell r="BF162">
            <v>700</v>
          </cell>
          <cell r="BG162">
            <v>700</v>
          </cell>
          <cell r="BH162">
            <v>700</v>
          </cell>
          <cell r="BI162">
            <v>700</v>
          </cell>
          <cell r="BJ162">
            <v>700</v>
          </cell>
          <cell r="BK162">
            <v>700</v>
          </cell>
          <cell r="BL162">
            <v>700</v>
          </cell>
          <cell r="BM162">
            <v>700</v>
          </cell>
          <cell r="BN162">
            <v>700</v>
          </cell>
          <cell r="BO162">
            <v>700</v>
          </cell>
          <cell r="BP162">
            <v>700</v>
          </cell>
          <cell r="BQ162">
            <v>700</v>
          </cell>
          <cell r="BR162">
            <v>700</v>
          </cell>
          <cell r="BS162">
            <v>700</v>
          </cell>
        </row>
        <row r="163">
          <cell r="A163" t="str">
            <v>Senior Secured Credit Facility due January 2020</v>
          </cell>
          <cell r="B163">
            <v>6.7000000000000004E-2</v>
          </cell>
          <cell r="I163">
            <v>0</v>
          </cell>
          <cell r="J163">
            <v>0</v>
          </cell>
          <cell r="K163">
            <v>0</v>
          </cell>
          <cell r="L163">
            <v>0</v>
          </cell>
          <cell r="M163">
            <v>0</v>
          </cell>
          <cell r="N163">
            <v>0</v>
          </cell>
          <cell r="O163">
            <v>0</v>
          </cell>
          <cell r="P163">
            <v>1331.6</v>
          </cell>
          <cell r="Q163">
            <v>1318.1</v>
          </cell>
          <cell r="R163">
            <v>789.5</v>
          </cell>
          <cell r="S163">
            <v>789.5</v>
          </cell>
          <cell r="T163">
            <v>839.5</v>
          </cell>
          <cell r="U163">
            <v>839.5</v>
          </cell>
          <cell r="V163">
            <v>1054.5</v>
          </cell>
          <cell r="BH163">
            <v>1341.6</v>
          </cell>
          <cell r="BI163">
            <v>1338.3</v>
          </cell>
          <cell r="BJ163">
            <v>1334.9</v>
          </cell>
          <cell r="BK163">
            <v>1331.6</v>
          </cell>
          <cell r="BL163">
            <v>1328.2</v>
          </cell>
          <cell r="BM163">
            <v>1324.8</v>
          </cell>
          <cell r="BN163">
            <v>1321.5</v>
          </cell>
          <cell r="BO163">
            <v>1318.1</v>
          </cell>
          <cell r="BP163">
            <v>1314.7</v>
          </cell>
          <cell r="BQ163">
            <v>480</v>
          </cell>
          <cell r="BR163">
            <v>789.5</v>
          </cell>
          <cell r="BS163">
            <v>789.5</v>
          </cell>
        </row>
        <row r="164">
          <cell r="A164" t="str">
            <v>7.750% Senior Notes due October 1,2021</v>
          </cell>
          <cell r="B164">
            <v>7.7499999999999999E-2</v>
          </cell>
          <cell r="I164">
            <v>0</v>
          </cell>
          <cell r="J164">
            <v>0</v>
          </cell>
          <cell r="K164">
            <v>0</v>
          </cell>
          <cell r="L164">
            <v>0</v>
          </cell>
          <cell r="M164">
            <v>0</v>
          </cell>
          <cell r="N164">
            <v>450</v>
          </cell>
          <cell r="O164">
            <v>450</v>
          </cell>
          <cell r="P164">
            <v>950</v>
          </cell>
          <cell r="Q164">
            <v>950</v>
          </cell>
          <cell r="R164">
            <v>920</v>
          </cell>
          <cell r="S164">
            <v>920</v>
          </cell>
          <cell r="T164">
            <v>920</v>
          </cell>
          <cell r="U164">
            <v>920</v>
          </cell>
          <cell r="V164">
            <v>920</v>
          </cell>
          <cell r="AZ164">
            <v>450</v>
          </cell>
          <cell r="BA164">
            <v>450</v>
          </cell>
          <cell r="BB164">
            <v>450</v>
          </cell>
          <cell r="BC164">
            <v>450</v>
          </cell>
          <cell r="BD164">
            <v>450</v>
          </cell>
          <cell r="BE164">
            <v>450</v>
          </cell>
          <cell r="BF164">
            <v>450</v>
          </cell>
          <cell r="BG164">
            <v>450</v>
          </cell>
          <cell r="BH164">
            <v>450</v>
          </cell>
          <cell r="BI164">
            <v>450</v>
          </cell>
          <cell r="BJ164">
            <v>950</v>
          </cell>
          <cell r="BK164">
            <v>950</v>
          </cell>
          <cell r="BL164">
            <v>950</v>
          </cell>
          <cell r="BM164">
            <v>950</v>
          </cell>
          <cell r="BN164">
            <v>950</v>
          </cell>
          <cell r="BO164">
            <v>950</v>
          </cell>
          <cell r="BP164">
            <v>950</v>
          </cell>
          <cell r="BQ164">
            <v>950</v>
          </cell>
          <cell r="BR164">
            <v>920</v>
          </cell>
          <cell r="BS164">
            <v>920</v>
          </cell>
        </row>
        <row r="165">
          <cell r="A165" t="str">
            <v>7.500% Senior Notes due June 1,2022</v>
          </cell>
          <cell r="B165">
            <v>7.4999999999999997E-2</v>
          </cell>
          <cell r="I165">
            <v>0</v>
          </cell>
          <cell r="J165">
            <v>0</v>
          </cell>
          <cell r="K165">
            <v>0</v>
          </cell>
          <cell r="L165">
            <v>0</v>
          </cell>
          <cell r="M165">
            <v>0</v>
          </cell>
          <cell r="N165">
            <v>500</v>
          </cell>
          <cell r="O165">
            <v>500</v>
          </cell>
          <cell r="P165">
            <v>500</v>
          </cell>
          <cell r="Q165">
            <v>500</v>
          </cell>
          <cell r="R165">
            <v>494</v>
          </cell>
          <cell r="S165">
            <v>494</v>
          </cell>
          <cell r="T165">
            <v>494</v>
          </cell>
          <cell r="U165">
            <v>494</v>
          </cell>
          <cell r="V165">
            <v>494</v>
          </cell>
          <cell r="BC165">
            <v>500</v>
          </cell>
          <cell r="BD165">
            <v>500</v>
          </cell>
          <cell r="BE165">
            <v>500</v>
          </cell>
          <cell r="BF165">
            <v>500</v>
          </cell>
          <cell r="BG165">
            <v>500</v>
          </cell>
          <cell r="BH165">
            <v>500</v>
          </cell>
          <cell r="BI165">
            <v>500</v>
          </cell>
          <cell r="BJ165">
            <v>500</v>
          </cell>
          <cell r="BK165">
            <v>500</v>
          </cell>
          <cell r="BL165">
            <v>500</v>
          </cell>
          <cell r="BM165">
            <v>500</v>
          </cell>
          <cell r="BN165">
            <v>500</v>
          </cell>
          <cell r="BO165">
            <v>500</v>
          </cell>
          <cell r="BP165">
            <v>500</v>
          </cell>
          <cell r="BQ165">
            <v>500</v>
          </cell>
          <cell r="BR165">
            <v>494</v>
          </cell>
          <cell r="BS165">
            <v>494</v>
          </cell>
        </row>
        <row r="166">
          <cell r="A166" t="str">
            <v>6.580% Cinergy Communications Company due 2022</v>
          </cell>
          <cell r="B166">
            <v>6.5799999999999997E-2</v>
          </cell>
          <cell r="I166">
            <v>0</v>
          </cell>
          <cell r="J166">
            <v>0</v>
          </cell>
          <cell r="K166">
            <v>0</v>
          </cell>
          <cell r="L166">
            <v>0</v>
          </cell>
          <cell r="M166">
            <v>2.2999999999999998</v>
          </cell>
          <cell r="N166">
            <v>2.2000000000000002</v>
          </cell>
          <cell r="O166">
            <v>2.1</v>
          </cell>
          <cell r="P166">
            <v>2</v>
          </cell>
          <cell r="Q166">
            <v>1.9</v>
          </cell>
          <cell r="R166">
            <v>0</v>
          </cell>
          <cell r="S166">
            <v>0</v>
          </cell>
          <cell r="T166">
            <v>0</v>
          </cell>
          <cell r="U166">
            <v>0</v>
          </cell>
          <cell r="V166">
            <v>0</v>
          </cell>
          <cell r="AY166">
            <v>2.2999999999999998</v>
          </cell>
          <cell r="AZ166">
            <v>2.2000000000000002</v>
          </cell>
          <cell r="BA166">
            <v>2.2000000000000002</v>
          </cell>
          <cell r="BB166">
            <v>2.2000000000000002</v>
          </cell>
          <cell r="BC166">
            <v>2.2000000000000002</v>
          </cell>
          <cell r="BD166">
            <v>2.2000000000000002</v>
          </cell>
          <cell r="BE166">
            <v>2.1</v>
          </cell>
          <cell r="BF166">
            <v>2.1</v>
          </cell>
          <cell r="BG166">
            <v>2.1</v>
          </cell>
          <cell r="BH166">
            <v>2.1</v>
          </cell>
          <cell r="BI166">
            <v>2</v>
          </cell>
          <cell r="BJ166">
            <v>2.1</v>
          </cell>
          <cell r="BK166">
            <v>2</v>
          </cell>
          <cell r="BL166">
            <v>2</v>
          </cell>
          <cell r="BM166">
            <v>2</v>
          </cell>
          <cell r="BN166">
            <v>1.9</v>
          </cell>
          <cell r="BO166">
            <v>1.9</v>
          </cell>
          <cell r="BP166">
            <v>1.9</v>
          </cell>
          <cell r="BQ166">
            <v>0</v>
          </cell>
          <cell r="BR166">
            <v>0</v>
          </cell>
          <cell r="BS166">
            <v>0</v>
          </cell>
        </row>
        <row r="167">
          <cell r="A167" t="str">
            <v>6.375% Senior Notes due August 1,2023</v>
          </cell>
          <cell r="B167">
            <v>6.3750000000000001E-2</v>
          </cell>
          <cell r="I167">
            <v>0</v>
          </cell>
          <cell r="J167">
            <v>0</v>
          </cell>
          <cell r="K167">
            <v>0</v>
          </cell>
          <cell r="L167">
            <v>0</v>
          </cell>
          <cell r="M167">
            <v>0</v>
          </cell>
          <cell r="N167">
            <v>600</v>
          </cell>
          <cell r="O167">
            <v>600</v>
          </cell>
          <cell r="P167">
            <v>700</v>
          </cell>
          <cell r="Q167">
            <v>700</v>
          </cell>
          <cell r="R167">
            <v>640</v>
          </cell>
          <cell r="S167">
            <v>640</v>
          </cell>
          <cell r="T167">
            <v>640</v>
          </cell>
          <cell r="U167">
            <v>640</v>
          </cell>
          <cell r="V167">
            <v>640</v>
          </cell>
          <cell r="AZ167">
            <v>600</v>
          </cell>
          <cell r="BA167">
            <v>600</v>
          </cell>
          <cell r="BB167">
            <v>600</v>
          </cell>
          <cell r="BC167">
            <v>600</v>
          </cell>
          <cell r="BD167">
            <v>600</v>
          </cell>
          <cell r="BE167">
            <v>600</v>
          </cell>
          <cell r="BF167">
            <v>600</v>
          </cell>
          <cell r="BG167">
            <v>600</v>
          </cell>
          <cell r="BH167">
            <v>600</v>
          </cell>
          <cell r="BI167">
            <v>700</v>
          </cell>
          <cell r="BJ167">
            <v>700</v>
          </cell>
          <cell r="BK167">
            <v>700</v>
          </cell>
          <cell r="BL167">
            <v>700</v>
          </cell>
          <cell r="BM167">
            <v>700</v>
          </cell>
          <cell r="BN167">
            <v>700</v>
          </cell>
          <cell r="BO167">
            <v>700</v>
          </cell>
          <cell r="BP167">
            <v>700</v>
          </cell>
          <cell r="BQ167">
            <v>700</v>
          </cell>
          <cell r="BR167">
            <v>640</v>
          </cell>
          <cell r="BS167">
            <v>640</v>
          </cell>
        </row>
        <row r="168">
          <cell r="A168" t="str">
            <v>7.500% Senior Notes due April 1,2023</v>
          </cell>
          <cell r="B168">
            <v>7.4999999999999997E-2</v>
          </cell>
          <cell r="I168">
            <v>0</v>
          </cell>
          <cell r="J168">
            <v>0</v>
          </cell>
          <cell r="K168">
            <v>0</v>
          </cell>
          <cell r="L168">
            <v>0</v>
          </cell>
          <cell r="M168">
            <v>0</v>
          </cell>
          <cell r="N168">
            <v>0</v>
          </cell>
          <cell r="O168">
            <v>0</v>
          </cell>
          <cell r="P168">
            <v>600</v>
          </cell>
          <cell r="Q168">
            <v>600</v>
          </cell>
          <cell r="R168">
            <v>600</v>
          </cell>
          <cell r="S168">
            <v>600</v>
          </cell>
          <cell r="T168">
            <v>600</v>
          </cell>
          <cell r="U168">
            <v>600</v>
          </cell>
          <cell r="V168">
            <v>600</v>
          </cell>
          <cell r="BH168">
            <v>700</v>
          </cell>
          <cell r="BI168">
            <v>600</v>
          </cell>
          <cell r="BJ168">
            <v>600</v>
          </cell>
          <cell r="BK168">
            <v>600</v>
          </cell>
          <cell r="BL168">
            <v>600</v>
          </cell>
          <cell r="BM168">
            <v>600</v>
          </cell>
          <cell r="BN168">
            <v>600</v>
          </cell>
          <cell r="BO168">
            <v>600</v>
          </cell>
          <cell r="BP168">
            <v>600</v>
          </cell>
          <cell r="BQ168">
            <v>600</v>
          </cell>
          <cell r="BR168">
            <v>600</v>
          </cell>
          <cell r="BS168">
            <v>600</v>
          </cell>
        </row>
        <row r="169">
          <cell r="A169" t="str">
            <v>7.000% Teleview LLC due 2010</v>
          </cell>
          <cell r="B169">
            <v>7.0000000000000007E-2</v>
          </cell>
          <cell r="I169">
            <v>0.8</v>
          </cell>
          <cell r="J169">
            <v>0.6</v>
          </cell>
          <cell r="K169">
            <v>0.3</v>
          </cell>
          <cell r="L169">
            <v>0</v>
          </cell>
          <cell r="M169">
            <v>0</v>
          </cell>
          <cell r="N169">
            <v>0</v>
          </cell>
          <cell r="O169">
            <v>0</v>
          </cell>
          <cell r="R169">
            <v>0</v>
          </cell>
          <cell r="AH169">
            <v>0.9</v>
          </cell>
          <cell r="AI169">
            <v>0.8</v>
          </cell>
          <cell r="AJ169">
            <v>0.7</v>
          </cell>
          <cell r="AK169">
            <v>0.7</v>
          </cell>
          <cell r="AL169">
            <v>0.6</v>
          </cell>
          <cell r="AM169">
            <v>0.6</v>
          </cell>
          <cell r="AN169">
            <v>0.5</v>
          </cell>
          <cell r="AO169">
            <v>0.4</v>
          </cell>
          <cell r="AP169">
            <v>0.4</v>
          </cell>
          <cell r="AQ169">
            <v>0.3</v>
          </cell>
          <cell r="AR169">
            <v>0.2</v>
          </cell>
          <cell r="AS169">
            <v>0.2</v>
          </cell>
          <cell r="AT169">
            <v>0.1</v>
          </cell>
        </row>
        <row r="170">
          <cell r="A170" t="str">
            <v>7.750% Valor Telecommunications due 2015</v>
          </cell>
          <cell r="B170">
            <v>7.7499999999999999E-2</v>
          </cell>
          <cell r="I170">
            <v>400</v>
          </cell>
          <cell r="J170">
            <v>400</v>
          </cell>
          <cell r="K170">
            <v>400</v>
          </cell>
          <cell r="L170">
            <v>400</v>
          </cell>
          <cell r="M170">
            <v>400</v>
          </cell>
          <cell r="N170">
            <v>0</v>
          </cell>
          <cell r="O170">
            <v>0</v>
          </cell>
          <cell r="R170">
            <v>0</v>
          </cell>
          <cell r="AI170">
            <v>400</v>
          </cell>
          <cell r="AJ170">
            <v>400</v>
          </cell>
          <cell r="AK170">
            <v>400</v>
          </cell>
          <cell r="AL170">
            <v>400</v>
          </cell>
          <cell r="AM170">
            <v>400</v>
          </cell>
          <cell r="AN170">
            <v>400</v>
          </cell>
          <cell r="AO170">
            <v>400</v>
          </cell>
          <cell r="AP170">
            <v>400</v>
          </cell>
          <cell r="AQ170">
            <v>400</v>
          </cell>
          <cell r="AR170">
            <v>400</v>
          </cell>
          <cell r="AS170">
            <v>400</v>
          </cell>
          <cell r="AT170">
            <v>400</v>
          </cell>
          <cell r="AU170">
            <v>400</v>
          </cell>
          <cell r="AV170">
            <v>400</v>
          </cell>
          <cell r="AW170">
            <v>400</v>
          </cell>
          <cell r="AX170">
            <v>400</v>
          </cell>
          <cell r="AY170">
            <v>400</v>
          </cell>
        </row>
        <row r="171">
          <cell r="A171" t="str">
            <v>6.750% Windstream Holdings on Midwest Inc due 2028</v>
          </cell>
          <cell r="B171">
            <v>6.7500000000000004E-2</v>
          </cell>
          <cell r="I171">
            <v>100</v>
          </cell>
          <cell r="J171">
            <v>100</v>
          </cell>
          <cell r="K171">
            <v>100</v>
          </cell>
          <cell r="L171">
            <v>100</v>
          </cell>
          <cell r="M171">
            <v>100</v>
          </cell>
          <cell r="N171">
            <v>100</v>
          </cell>
          <cell r="O171">
            <v>100</v>
          </cell>
          <cell r="P171">
            <v>100</v>
          </cell>
          <cell r="Q171">
            <v>100</v>
          </cell>
          <cell r="R171">
            <v>100</v>
          </cell>
          <cell r="S171">
            <v>100</v>
          </cell>
          <cell r="T171">
            <v>100</v>
          </cell>
          <cell r="U171">
            <v>100</v>
          </cell>
          <cell r="V171">
            <v>100</v>
          </cell>
          <cell r="AH171">
            <v>100</v>
          </cell>
          <cell r="AI171">
            <v>100</v>
          </cell>
          <cell r="AJ171">
            <v>100</v>
          </cell>
          <cell r="AK171">
            <v>100</v>
          </cell>
          <cell r="AL171">
            <v>100</v>
          </cell>
          <cell r="AM171">
            <v>100</v>
          </cell>
          <cell r="AN171">
            <v>100</v>
          </cell>
          <cell r="AO171">
            <v>100</v>
          </cell>
          <cell r="AP171">
            <v>100</v>
          </cell>
          <cell r="AQ171">
            <v>100</v>
          </cell>
          <cell r="AR171">
            <v>100</v>
          </cell>
          <cell r="AS171">
            <v>100</v>
          </cell>
          <cell r="AT171">
            <v>100</v>
          </cell>
          <cell r="AU171">
            <v>100</v>
          </cell>
          <cell r="AV171">
            <v>100</v>
          </cell>
          <cell r="AW171">
            <v>100</v>
          </cell>
          <cell r="AX171">
            <v>100</v>
          </cell>
          <cell r="AY171">
            <v>100</v>
          </cell>
          <cell r="AZ171">
            <v>100</v>
          </cell>
          <cell r="BA171">
            <v>100</v>
          </cell>
          <cell r="BB171">
            <v>100</v>
          </cell>
          <cell r="BC171">
            <v>100</v>
          </cell>
          <cell r="BD171">
            <v>100</v>
          </cell>
          <cell r="BE171">
            <v>100</v>
          </cell>
          <cell r="BF171">
            <v>100</v>
          </cell>
          <cell r="BG171">
            <v>100</v>
          </cell>
          <cell r="BH171">
            <v>100</v>
          </cell>
          <cell r="BI171">
            <v>100</v>
          </cell>
          <cell r="BJ171">
            <v>100</v>
          </cell>
          <cell r="BK171">
            <v>100</v>
          </cell>
          <cell r="BL171">
            <v>100</v>
          </cell>
          <cell r="BM171">
            <v>100</v>
          </cell>
          <cell r="BN171">
            <v>100</v>
          </cell>
          <cell r="BO171">
            <v>100</v>
          </cell>
          <cell r="BP171">
            <v>100</v>
          </cell>
          <cell r="BQ171">
            <v>100</v>
          </cell>
          <cell r="BR171">
            <v>100</v>
          </cell>
          <cell r="BS171">
            <v>100</v>
          </cell>
        </row>
        <row r="172">
          <cell r="A172" t="str">
            <v>Other</v>
          </cell>
          <cell r="B172">
            <v>6.7000000000000004E-2</v>
          </cell>
          <cell r="I172">
            <v>-28.4</v>
          </cell>
          <cell r="J172">
            <v>72.599999999999994</v>
          </cell>
          <cell r="K172">
            <v>123.9</v>
          </cell>
          <cell r="L172">
            <v>-39.200000000000003</v>
          </cell>
          <cell r="M172">
            <v>113</v>
          </cell>
          <cell r="N172">
            <v>1068.4000000000001</v>
          </cell>
          <cell r="O172">
            <v>62.1</v>
          </cell>
          <cell r="P172">
            <v>28.8</v>
          </cell>
          <cell r="Q172">
            <v>23.3</v>
          </cell>
          <cell r="R172">
            <v>3.9</v>
          </cell>
          <cell r="S172">
            <v>3.9</v>
          </cell>
          <cell r="T172">
            <v>3.9</v>
          </cell>
          <cell r="U172">
            <v>3.9</v>
          </cell>
          <cell r="V172">
            <v>3.9</v>
          </cell>
          <cell r="AH172">
            <v>-28.3</v>
          </cell>
          <cell r="AI172">
            <v>-28.4</v>
          </cell>
          <cell r="AJ172">
            <v>-28.1</v>
          </cell>
          <cell r="AK172">
            <v>-27.9</v>
          </cell>
          <cell r="AL172">
            <v>182.3</v>
          </cell>
          <cell r="AM172">
            <v>72.599999999999994</v>
          </cell>
          <cell r="AN172">
            <v>87.9</v>
          </cell>
          <cell r="AO172">
            <v>93.3</v>
          </cell>
          <cell r="AP172">
            <v>123.5</v>
          </cell>
          <cell r="AQ172">
            <v>123.9</v>
          </cell>
          <cell r="AR172">
            <v>124.3</v>
          </cell>
          <cell r="AS172">
            <v>-25.3</v>
          </cell>
          <cell r="AT172">
            <v>-24.8</v>
          </cell>
          <cell r="AU172">
            <v>-39.200000000000003</v>
          </cell>
          <cell r="AV172">
            <v>-35.9</v>
          </cell>
          <cell r="AW172">
            <v>264.60000000000002</v>
          </cell>
          <cell r="AX172">
            <v>-37.799999999999997</v>
          </cell>
          <cell r="AY172">
            <v>113</v>
          </cell>
          <cell r="AZ172">
            <v>527.9</v>
          </cell>
          <cell r="BA172">
            <v>508.8</v>
          </cell>
          <cell r="BB172">
            <v>939.4</v>
          </cell>
          <cell r="BC172">
            <v>1068.4000000000001</v>
          </cell>
          <cell r="BD172">
            <v>801.5</v>
          </cell>
          <cell r="BE172">
            <v>816.9</v>
          </cell>
          <cell r="BF172">
            <v>102.4</v>
          </cell>
          <cell r="BG172">
            <v>62.1</v>
          </cell>
          <cell r="BH172">
            <v>55.300000000000004</v>
          </cell>
          <cell r="BI172">
            <v>17.3</v>
          </cell>
          <cell r="BJ172">
            <v>33.4</v>
          </cell>
          <cell r="BK172">
            <v>28.8</v>
          </cell>
          <cell r="BL172">
            <v>27.3</v>
          </cell>
          <cell r="BM172">
            <v>25.9</v>
          </cell>
          <cell r="BN172">
            <v>24.6</v>
          </cell>
          <cell r="BO172">
            <v>23.3</v>
          </cell>
          <cell r="BP172">
            <v>20.399999999999999</v>
          </cell>
          <cell r="BQ172">
            <v>3.9</v>
          </cell>
          <cell r="BR172">
            <v>3.9</v>
          </cell>
          <cell r="BS172">
            <v>3.9</v>
          </cell>
        </row>
        <row r="173">
          <cell r="A173" t="str">
            <v>Unamortized Debt Issuance Costs</v>
          </cell>
          <cell r="Q173">
            <v>-87.7</v>
          </cell>
          <cell r="R173">
            <v>-71.3</v>
          </cell>
          <cell r="S173">
            <v>-71.3</v>
          </cell>
          <cell r="T173">
            <v>-71.3</v>
          </cell>
          <cell r="U173">
            <v>-71.3</v>
          </cell>
          <cell r="V173">
            <v>-71.3</v>
          </cell>
          <cell r="BO173">
            <v>-87.7</v>
          </cell>
          <cell r="BQ173">
            <v>-71.3</v>
          </cell>
          <cell r="BR173">
            <v>-71.3</v>
          </cell>
          <cell r="BS173">
            <v>-71.3</v>
          </cell>
        </row>
        <row r="174">
          <cell r="A174" t="str">
            <v>Total Debt</v>
          </cell>
          <cell r="I174">
            <v>5488.4000000000005</v>
          </cell>
          <cell r="J174">
            <v>5355.5000000000009</v>
          </cell>
          <cell r="K174">
            <v>5382.5</v>
          </cell>
          <cell r="L174">
            <v>6295.2</v>
          </cell>
          <cell r="M174">
            <v>7325.8</v>
          </cell>
          <cell r="N174">
            <v>9150.4</v>
          </cell>
          <cell r="O174">
            <v>8965.8000000000011</v>
          </cell>
          <cell r="P174">
            <v>8707.1999999999989</v>
          </cell>
          <cell r="Q174">
            <v>8563.9999999999982</v>
          </cell>
          <cell r="R174">
            <v>5699.2999999999993</v>
          </cell>
          <cell r="S174">
            <v>4807.2999999999993</v>
          </cell>
          <cell r="T174">
            <v>4607.2999999999993</v>
          </cell>
          <cell r="U174">
            <v>4427.2999999999993</v>
          </cell>
          <cell r="V174">
            <v>4161.0999999999995</v>
          </cell>
          <cell r="AH174">
            <v>5498.5999999999995</v>
          </cell>
          <cell r="AI174">
            <v>5488.4000000000005</v>
          </cell>
          <cell r="AJ174">
            <v>5488.5999999999995</v>
          </cell>
          <cell r="AK174">
            <v>5488.8</v>
          </cell>
          <cell r="AL174">
            <v>5698.9000000000005</v>
          </cell>
          <cell r="AM174">
            <v>5355.5000000000009</v>
          </cell>
          <cell r="AN174">
            <v>5367.2</v>
          </cell>
          <cell r="AO174">
            <v>5369</v>
          </cell>
          <cell r="AP174">
            <v>5395.7</v>
          </cell>
          <cell r="AQ174">
            <v>5382.5</v>
          </cell>
          <cell r="AR174">
            <v>5379.3</v>
          </cell>
          <cell r="AS174">
            <v>5226.2</v>
          </cell>
          <cell r="AT174">
            <v>5223.1000000000004</v>
          </cell>
          <cell r="AU174">
            <v>6295.2</v>
          </cell>
          <cell r="AV174">
            <v>6295</v>
          </cell>
          <cell r="AW174">
            <v>6592.1</v>
          </cell>
          <cell r="AX174">
            <v>6686.3</v>
          </cell>
          <cell r="AY174">
            <v>7325.8</v>
          </cell>
          <cell r="AZ174">
            <v>7422.9999999999991</v>
          </cell>
          <cell r="BA174">
            <v>7367.2</v>
          </cell>
          <cell r="BB174">
            <v>7341.4</v>
          </cell>
          <cell r="BC174">
            <v>9150.4</v>
          </cell>
          <cell r="BD174">
            <v>8854.0999999999985</v>
          </cell>
          <cell r="BE174">
            <v>8860.1</v>
          </cell>
          <cell r="BF174">
            <v>9030.7999999999993</v>
          </cell>
          <cell r="BG174">
            <v>8965.8000000000011</v>
          </cell>
          <cell r="BH174">
            <v>8996.6999999999989</v>
          </cell>
          <cell r="BI174">
            <v>8944.7000000000007</v>
          </cell>
          <cell r="BJ174">
            <v>8846.7999999999993</v>
          </cell>
          <cell r="BK174">
            <v>8707.1999999999989</v>
          </cell>
          <cell r="BL174">
            <v>8706.2999999999993</v>
          </cell>
          <cell r="BM174">
            <v>8685.6</v>
          </cell>
          <cell r="BN174">
            <v>8661.1</v>
          </cell>
          <cell r="BO174">
            <v>8563.9999999999982</v>
          </cell>
          <cell r="BP174">
            <v>8820.6</v>
          </cell>
          <cell r="BQ174">
            <v>5643.7999999999993</v>
          </cell>
          <cell r="BR174">
            <v>5699.2999999999993</v>
          </cell>
          <cell r="BS174">
            <v>5699.2999999999993</v>
          </cell>
        </row>
        <row r="175">
          <cell r="A175" t="str">
            <v>Check</v>
          </cell>
          <cell r="J175">
            <v>0</v>
          </cell>
          <cell r="K175">
            <v>0</v>
          </cell>
          <cell r="L175">
            <v>0</v>
          </cell>
          <cell r="M175">
            <v>0</v>
          </cell>
          <cell r="N175">
            <v>0</v>
          </cell>
          <cell r="O175">
            <v>0</v>
          </cell>
          <cell r="P175">
            <v>0</v>
          </cell>
          <cell r="Q175">
            <v>0</v>
          </cell>
          <cell r="R175">
            <v>0</v>
          </cell>
          <cell r="S175">
            <v>0</v>
          </cell>
          <cell r="T175">
            <v>0</v>
          </cell>
          <cell r="U175">
            <v>0</v>
          </cell>
          <cell r="V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row>
        <row r="178">
          <cell r="A178" t="str">
            <v>Senior Secured Credit Facility due 2011</v>
          </cell>
          <cell r="AH178">
            <v>500</v>
          </cell>
          <cell r="AI178">
            <v>500</v>
          </cell>
          <cell r="AJ178">
            <v>500</v>
          </cell>
          <cell r="AK178">
            <v>500</v>
          </cell>
          <cell r="AL178">
            <v>500</v>
          </cell>
          <cell r="AM178">
            <v>283.3</v>
          </cell>
          <cell r="AN178">
            <v>283.3</v>
          </cell>
          <cell r="AO178">
            <v>283.3</v>
          </cell>
          <cell r="AP178">
            <v>283.3</v>
          </cell>
          <cell r="AQ178">
            <v>283.3</v>
          </cell>
          <cell r="AR178">
            <v>283.3</v>
          </cell>
          <cell r="AS178">
            <v>283.3</v>
          </cell>
          <cell r="AT178">
            <v>283.3</v>
          </cell>
          <cell r="AU178">
            <v>114.4</v>
          </cell>
          <cell r="AV178">
            <v>114.4</v>
          </cell>
          <cell r="AW178">
            <v>114.4</v>
          </cell>
          <cell r="AX178">
            <v>100.9</v>
          </cell>
          <cell r="AY178">
            <v>100.9</v>
          </cell>
          <cell r="AZ178">
            <v>98</v>
          </cell>
          <cell r="BA178">
            <v>98</v>
          </cell>
        </row>
        <row r="179">
          <cell r="A179" t="str">
            <v>Revolving Line of Credit due December 17, 2015</v>
          </cell>
          <cell r="B179">
            <v>0.04</v>
          </cell>
          <cell r="P179">
            <v>40.1</v>
          </cell>
          <cell r="Q179">
            <v>24.55</v>
          </cell>
          <cell r="R179">
            <v>0</v>
          </cell>
          <cell r="S179">
            <v>0</v>
          </cell>
          <cell r="T179">
            <v>0</v>
          </cell>
          <cell r="U179">
            <v>0</v>
          </cell>
          <cell r="V179">
            <v>0</v>
          </cell>
          <cell r="BH179">
            <v>11.4</v>
          </cell>
          <cell r="BI179">
            <v>11.4</v>
          </cell>
          <cell r="BJ179">
            <v>11.4</v>
          </cell>
          <cell r="BK179">
            <v>5.9</v>
          </cell>
          <cell r="BL179">
            <v>6.1000000000000005</v>
          </cell>
          <cell r="BM179">
            <v>6.1000000000000005</v>
          </cell>
          <cell r="BN179">
            <v>6.1000000000000005</v>
          </cell>
          <cell r="BO179">
            <v>6.25</v>
          </cell>
          <cell r="BP179">
            <v>8.1999999999999993</v>
          </cell>
          <cell r="BQ179">
            <v>0</v>
          </cell>
          <cell r="BR179">
            <v>0</v>
          </cell>
          <cell r="BS179">
            <v>0</v>
          </cell>
        </row>
        <row r="180">
          <cell r="A180" t="str">
            <v>Senior Secured Credit Facility due July 2013</v>
          </cell>
          <cell r="B180">
            <v>7.0000000000000007E-2</v>
          </cell>
        </row>
        <row r="181">
          <cell r="A181" t="str">
            <v>6.500% Windstream Georgia Communications due 2013</v>
          </cell>
          <cell r="B181">
            <v>6.5000000000000002E-2</v>
          </cell>
          <cell r="P181">
            <v>0.48750000000000004</v>
          </cell>
          <cell r="BH181">
            <v>0.16250000000000001</v>
          </cell>
          <cell r="BI181">
            <v>0.16250000000000001</v>
          </cell>
          <cell r="BJ181">
            <v>0.16250000000000001</v>
          </cell>
          <cell r="BK181">
            <v>0</v>
          </cell>
        </row>
        <row r="182">
          <cell r="A182" t="str">
            <v>7.750% Senior Notes due 2015</v>
          </cell>
          <cell r="B182">
            <v>7.7499999999999999E-2</v>
          </cell>
        </row>
        <row r="183">
          <cell r="A183" t="str">
            <v>Senior Secured Credit Facility due December 2015</v>
          </cell>
          <cell r="B183">
            <v>6.7000000000000004E-2</v>
          </cell>
        </row>
        <row r="184">
          <cell r="A184" t="str">
            <v>9.500% PAETEC Notes due 2015</v>
          </cell>
          <cell r="B184">
            <v>9.5000000000000001E-2</v>
          </cell>
        </row>
        <row r="185">
          <cell r="A185" t="str">
            <v>8.625% Senior Notes due 2016</v>
          </cell>
          <cell r="B185">
            <v>8.6249999999999993E-2</v>
          </cell>
        </row>
        <row r="186">
          <cell r="A186" t="str">
            <v>Senior Secured Credit Facility due December 2016</v>
          </cell>
          <cell r="B186">
            <v>7.0000000000000007E-2</v>
          </cell>
          <cell r="P186">
            <v>27.678000000000004</v>
          </cell>
          <cell r="Q186">
            <v>25.229750000000003</v>
          </cell>
          <cell r="R186">
            <v>0</v>
          </cell>
          <cell r="S186">
            <v>0</v>
          </cell>
          <cell r="T186">
            <v>0</v>
          </cell>
          <cell r="U186">
            <v>0</v>
          </cell>
          <cell r="V186">
            <v>0</v>
          </cell>
          <cell r="BH186">
            <v>7.0612500000000002</v>
          </cell>
          <cell r="BI186">
            <v>6.9667500000000011</v>
          </cell>
          <cell r="BJ186">
            <v>6.8722500000000002</v>
          </cell>
          <cell r="BK186">
            <v>6.7777500000000011</v>
          </cell>
          <cell r="BL186">
            <v>6.5905000000000014</v>
          </cell>
          <cell r="BM186">
            <v>6.4015000000000004</v>
          </cell>
          <cell r="BN186">
            <v>6.2125000000000004</v>
          </cell>
          <cell r="BO186">
            <v>6.0252500000000007</v>
          </cell>
          <cell r="BP186">
            <v>5.8362500000000006</v>
          </cell>
          <cell r="BQ186">
            <v>0</v>
          </cell>
          <cell r="BR186">
            <v>0</v>
          </cell>
          <cell r="BS186">
            <v>0</v>
          </cell>
        </row>
        <row r="187">
          <cell r="A187" t="str">
            <v>7.875% Senior Notes due November 1, 2017</v>
          </cell>
          <cell r="B187">
            <v>7.8750000000000001E-2</v>
          </cell>
          <cell r="P187">
            <v>86.625</v>
          </cell>
          <cell r="Q187">
            <v>86.625</v>
          </cell>
          <cell r="R187">
            <v>74.182500000000005</v>
          </cell>
          <cell r="S187">
            <v>19.6875</v>
          </cell>
          <cell r="T187">
            <v>0</v>
          </cell>
          <cell r="U187">
            <v>0</v>
          </cell>
          <cell r="V187">
            <v>0</v>
          </cell>
          <cell r="BI187">
            <v>43.3125</v>
          </cell>
          <cell r="BK187">
            <v>43.3125</v>
          </cell>
          <cell r="BM187">
            <v>43.3125</v>
          </cell>
          <cell r="BO187">
            <v>43.3125</v>
          </cell>
          <cell r="BS187">
            <v>37.091250000000002</v>
          </cell>
        </row>
        <row r="188">
          <cell r="A188" t="str">
            <v>Senior Secured Credit Facility due August 2017</v>
          </cell>
          <cell r="B188">
            <v>3.5691818181818186E-2</v>
          </cell>
          <cell r="P188">
            <v>10.104353727272727</v>
          </cell>
          <cell r="Q188">
            <v>9.4690393636363659</v>
          </cell>
          <cell r="R188">
            <v>0</v>
          </cell>
          <cell r="S188">
            <v>0</v>
          </cell>
          <cell r="T188">
            <v>0</v>
          </cell>
          <cell r="U188">
            <v>0</v>
          </cell>
          <cell r="V188">
            <v>0</v>
          </cell>
          <cell r="BH188">
            <v>2.5760569772727275</v>
          </cell>
          <cell r="BI188">
            <v>2.5430420454545457</v>
          </cell>
          <cell r="BJ188">
            <v>2.5091348181818183</v>
          </cell>
          <cell r="BK188">
            <v>2.4761198863636364</v>
          </cell>
          <cell r="BL188">
            <v>2.4422126590909095</v>
          </cell>
          <cell r="BM188">
            <v>2.4091977272727276</v>
          </cell>
          <cell r="BN188">
            <v>2.3422755681818184</v>
          </cell>
          <cell r="BO188">
            <v>2.2753534090909096</v>
          </cell>
          <cell r="BP188">
            <v>2.2084312500000003</v>
          </cell>
          <cell r="BQ188">
            <v>0</v>
          </cell>
          <cell r="BR188">
            <v>0</v>
          </cell>
          <cell r="BS188">
            <v>0</v>
          </cell>
        </row>
        <row r="189">
          <cell r="A189" t="str">
            <v>8.875% PAETEC Notes due 2017</v>
          </cell>
          <cell r="B189">
            <v>8.8749999999999996E-2</v>
          </cell>
        </row>
        <row r="190">
          <cell r="A190" t="str">
            <v>8.125% Senior Notes due September 1, 2018</v>
          </cell>
          <cell r="B190">
            <v>8.1250000000000003E-2</v>
          </cell>
          <cell r="P190">
            <v>32.5</v>
          </cell>
          <cell r="Q190">
            <v>31.375</v>
          </cell>
          <cell r="R190">
            <v>0</v>
          </cell>
          <cell r="S190">
            <v>0</v>
          </cell>
          <cell r="T190">
            <v>0</v>
          </cell>
          <cell r="U190">
            <v>0</v>
          </cell>
          <cell r="V190">
            <v>0</v>
          </cell>
          <cell r="BH190">
            <v>8.125</v>
          </cell>
          <cell r="BI190">
            <v>8.125</v>
          </cell>
          <cell r="BJ190">
            <v>8.125</v>
          </cell>
          <cell r="BK190">
            <v>8.125</v>
          </cell>
          <cell r="BL190">
            <v>8.125</v>
          </cell>
          <cell r="BM190">
            <v>8.125</v>
          </cell>
          <cell r="BN190">
            <v>8.125</v>
          </cell>
          <cell r="BO190">
            <v>7.0000000000000009</v>
          </cell>
          <cell r="BP190">
            <v>8.125</v>
          </cell>
          <cell r="BQ190">
            <v>0</v>
          </cell>
          <cell r="BR190">
            <v>0</v>
          </cell>
          <cell r="BS190">
            <v>0</v>
          </cell>
        </row>
        <row r="191">
          <cell r="A191" t="str">
            <v>9.875% PAETEC Notes due December 1, 2018</v>
          </cell>
          <cell r="B191">
            <v>9.8750000000000004E-2</v>
          </cell>
          <cell r="P191">
            <v>44.4375</v>
          </cell>
          <cell r="Q191">
            <v>44.4375</v>
          </cell>
          <cell r="R191">
            <v>0</v>
          </cell>
          <cell r="S191">
            <v>0</v>
          </cell>
          <cell r="T191">
            <v>0</v>
          </cell>
          <cell r="U191">
            <v>0</v>
          </cell>
          <cell r="V191">
            <v>0</v>
          </cell>
          <cell r="BI191">
            <v>22.21875</v>
          </cell>
          <cell r="BK191">
            <v>22.21875</v>
          </cell>
          <cell r="BM191">
            <v>22.21875</v>
          </cell>
          <cell r="BO191">
            <v>22.21875</v>
          </cell>
          <cell r="BQ191">
            <v>0</v>
          </cell>
          <cell r="BS191">
            <v>0</v>
          </cell>
        </row>
        <row r="192">
          <cell r="A192" t="str">
            <v>7.000% Senior Notes due March 15, 2019</v>
          </cell>
          <cell r="B192">
            <v>7.0000000000000007E-2</v>
          </cell>
          <cell r="P192">
            <v>35</v>
          </cell>
          <cell r="BH192">
            <v>17.5</v>
          </cell>
          <cell r="BJ192">
            <v>17.5</v>
          </cell>
        </row>
        <row r="193">
          <cell r="A193" t="str">
            <v>Senior Secured Credit Facility due August 2019</v>
          </cell>
          <cell r="B193">
            <v>7.0000000000000007E-2</v>
          </cell>
          <cell r="P193">
            <v>41.510000000000005</v>
          </cell>
          <cell r="Q193">
            <v>41.042750000000005</v>
          </cell>
          <cell r="R193">
            <v>40.684000000000005</v>
          </cell>
          <cell r="S193">
            <v>40.684000000000005</v>
          </cell>
          <cell r="T193">
            <v>40.684000000000005</v>
          </cell>
          <cell r="U193">
            <v>33.684000000000005</v>
          </cell>
          <cell r="V193">
            <v>0</v>
          </cell>
          <cell r="BH193">
            <v>10.421250000000001</v>
          </cell>
          <cell r="BI193">
            <v>10.395000000000001</v>
          </cell>
          <cell r="BJ193">
            <v>10.36875</v>
          </cell>
          <cell r="BK193">
            <v>10.325000000000001</v>
          </cell>
          <cell r="BL193">
            <v>10.298750000000002</v>
          </cell>
          <cell r="BM193">
            <v>10.274250000000002</v>
          </cell>
          <cell r="BN193">
            <v>10.248000000000001</v>
          </cell>
          <cell r="BO193">
            <v>10.221750000000002</v>
          </cell>
          <cell r="BP193">
            <v>10.195500000000001</v>
          </cell>
          <cell r="BQ193">
            <v>10.171000000000001</v>
          </cell>
          <cell r="BR193">
            <v>10.171000000000001</v>
          </cell>
          <cell r="BS193">
            <v>10.171000000000001</v>
          </cell>
        </row>
        <row r="194">
          <cell r="A194" t="str">
            <v>7.750% Senior Notes due October 15, 2020</v>
          </cell>
          <cell r="B194">
            <v>7.7499999999999999E-2</v>
          </cell>
          <cell r="P194">
            <v>54.25</v>
          </cell>
          <cell r="Q194">
            <v>54.25</v>
          </cell>
          <cell r="R194">
            <v>54.25</v>
          </cell>
          <cell r="S194">
            <v>38.75</v>
          </cell>
          <cell r="T194">
            <v>38.75</v>
          </cell>
          <cell r="U194">
            <v>32.549999999999997</v>
          </cell>
          <cell r="V194">
            <v>32.549999999999997</v>
          </cell>
          <cell r="BH194">
            <v>13.5625</v>
          </cell>
          <cell r="BI194">
            <v>13.5625</v>
          </cell>
          <cell r="BJ194">
            <v>13.5625</v>
          </cell>
          <cell r="BK194">
            <v>13.5625</v>
          </cell>
          <cell r="BL194">
            <v>13.5625</v>
          </cell>
          <cell r="BM194">
            <v>13.5625</v>
          </cell>
          <cell r="BN194">
            <v>13.5625</v>
          </cell>
          <cell r="BO194">
            <v>13.5625</v>
          </cell>
          <cell r="BP194">
            <v>13.5625</v>
          </cell>
          <cell r="BQ194">
            <v>13.5625</v>
          </cell>
          <cell r="BR194">
            <v>13.5625</v>
          </cell>
          <cell r="BS194">
            <v>13.5625</v>
          </cell>
        </row>
        <row r="195">
          <cell r="A195" t="str">
            <v>Senior Secured Credit Facility due January 2020</v>
          </cell>
          <cell r="B195">
            <v>3.5691818181818186E-2</v>
          </cell>
          <cell r="P195">
            <v>47.705684181818185</v>
          </cell>
          <cell r="Q195">
            <v>47.225629227272734</v>
          </cell>
          <cell r="R195">
            <v>28.178690454545457</v>
          </cell>
          <cell r="S195">
            <v>28.178690454545457</v>
          </cell>
          <cell r="T195">
            <v>29.963281363636366</v>
          </cell>
          <cell r="U195">
            <v>29.963281363636366</v>
          </cell>
          <cell r="V195">
            <v>37.637022272727279</v>
          </cell>
          <cell r="BH195">
            <v>11.971035818181818</v>
          </cell>
          <cell r="BI195">
            <v>11.941590068181819</v>
          </cell>
          <cell r="BJ195">
            <v>11.911252022727275</v>
          </cell>
          <cell r="BK195">
            <v>11.881806272727273</v>
          </cell>
          <cell r="BL195">
            <v>11.851468227272729</v>
          </cell>
          <cell r="BM195">
            <v>11.821130181818182</v>
          </cell>
          <cell r="BN195">
            <v>11.791684431818183</v>
          </cell>
          <cell r="BO195">
            <v>11.761346386363638</v>
          </cell>
          <cell r="BP195">
            <v>11.731008340909092</v>
          </cell>
          <cell r="BQ195">
            <v>4.2830181818181821</v>
          </cell>
          <cell r="BR195">
            <v>7.0446726136363642</v>
          </cell>
          <cell r="BS195">
            <v>7.0446726136363642</v>
          </cell>
        </row>
        <row r="196">
          <cell r="A196" t="str">
            <v>7.750% Senior Notes due October 1,2021</v>
          </cell>
          <cell r="B196">
            <v>7.7499999999999999E-2</v>
          </cell>
          <cell r="P196">
            <v>54.25</v>
          </cell>
          <cell r="Q196">
            <v>73.625</v>
          </cell>
          <cell r="R196">
            <v>71.3</v>
          </cell>
          <cell r="S196">
            <v>71.3</v>
          </cell>
          <cell r="T196">
            <v>71.3</v>
          </cell>
          <cell r="U196">
            <v>71.3</v>
          </cell>
          <cell r="V196">
            <v>71.3</v>
          </cell>
          <cell r="BI196">
            <v>17.4375</v>
          </cell>
          <cell r="BK196">
            <v>36.8125</v>
          </cell>
          <cell r="BM196">
            <v>36.8125</v>
          </cell>
          <cell r="BO196">
            <v>36.8125</v>
          </cell>
          <cell r="BQ196">
            <v>36.8125</v>
          </cell>
          <cell r="BS196">
            <v>35.65</v>
          </cell>
        </row>
        <row r="197">
          <cell r="A197" t="str">
            <v>7.500% Senior Notes due June 1,2022</v>
          </cell>
          <cell r="B197">
            <v>7.4999999999999997E-2</v>
          </cell>
          <cell r="P197">
            <v>37.5</v>
          </cell>
          <cell r="Q197">
            <v>37.5</v>
          </cell>
          <cell r="R197">
            <v>37.049999999999997</v>
          </cell>
          <cell r="S197">
            <v>37.049999999999997</v>
          </cell>
          <cell r="T197">
            <v>37.049999999999997</v>
          </cell>
          <cell r="U197">
            <v>37.049999999999997</v>
          </cell>
          <cell r="V197">
            <v>37.049999999999997</v>
          </cell>
          <cell r="BI197">
            <v>18.75</v>
          </cell>
          <cell r="BK197">
            <v>18.75</v>
          </cell>
          <cell r="BM197">
            <v>18.75</v>
          </cell>
          <cell r="BO197">
            <v>18.75</v>
          </cell>
          <cell r="BQ197">
            <v>18.75</v>
          </cell>
          <cell r="BS197">
            <v>18.524999999999999</v>
          </cell>
        </row>
        <row r="198">
          <cell r="A198" t="str">
            <v>6.580% Cinergy Communications Company due 2022</v>
          </cell>
          <cell r="B198">
            <v>6.5799999999999997E-2</v>
          </cell>
          <cell r="P198">
            <v>0.13489000000000001</v>
          </cell>
          <cell r="Q198">
            <v>0.12831000000000001</v>
          </cell>
          <cell r="R198">
            <v>0</v>
          </cell>
          <cell r="S198">
            <v>0</v>
          </cell>
          <cell r="T198">
            <v>0</v>
          </cell>
          <cell r="U198">
            <v>0</v>
          </cell>
          <cell r="V198">
            <v>0</v>
          </cell>
          <cell r="BH198">
            <v>3.4544999999999999E-2</v>
          </cell>
          <cell r="BI198">
            <v>3.2899999999999999E-2</v>
          </cell>
          <cell r="BJ198">
            <v>3.4544999999999999E-2</v>
          </cell>
          <cell r="BK198">
            <v>3.2899999999999999E-2</v>
          </cell>
          <cell r="BL198">
            <v>3.2899999999999999E-2</v>
          </cell>
          <cell r="BM198">
            <v>3.2899999999999999E-2</v>
          </cell>
          <cell r="BN198">
            <v>3.1254999999999998E-2</v>
          </cell>
          <cell r="BO198">
            <v>3.1254999999999998E-2</v>
          </cell>
          <cell r="BP198">
            <v>3.1254999999999998E-2</v>
          </cell>
          <cell r="BQ198">
            <v>0</v>
          </cell>
          <cell r="BR198">
            <v>0</v>
          </cell>
          <cell r="BS198">
            <v>0</v>
          </cell>
        </row>
        <row r="199">
          <cell r="A199" t="str">
            <v>6.375% Senior Notes due August 1,2023</v>
          </cell>
          <cell r="B199">
            <v>6.3750000000000001E-2</v>
          </cell>
          <cell r="P199">
            <v>41.4375</v>
          </cell>
          <cell r="Q199">
            <v>44.625</v>
          </cell>
          <cell r="R199">
            <v>40.799999999999997</v>
          </cell>
          <cell r="S199">
            <v>40.799999999999997</v>
          </cell>
          <cell r="T199">
            <v>40.799999999999997</v>
          </cell>
          <cell r="U199">
            <v>40.799999999999997</v>
          </cell>
          <cell r="V199">
            <v>40.799999999999997</v>
          </cell>
          <cell r="BH199">
            <v>19.125</v>
          </cell>
          <cell r="BJ199">
            <v>22.3125</v>
          </cell>
          <cell r="BL199">
            <v>22.3125</v>
          </cell>
          <cell r="BN199">
            <v>22.3125</v>
          </cell>
          <cell r="BP199">
            <v>22.3125</v>
          </cell>
          <cell r="BR199">
            <v>20.399999999999999</v>
          </cell>
        </row>
        <row r="200">
          <cell r="A200" t="str">
            <v>7.500% Senior Notes due April 1,2023</v>
          </cell>
          <cell r="B200">
            <v>7.4999999999999997E-2</v>
          </cell>
          <cell r="P200">
            <v>45</v>
          </cell>
          <cell r="Q200">
            <v>45</v>
          </cell>
          <cell r="R200">
            <v>45</v>
          </cell>
          <cell r="S200">
            <v>45</v>
          </cell>
          <cell r="T200">
            <v>45</v>
          </cell>
          <cell r="U200">
            <v>45</v>
          </cell>
          <cell r="V200">
            <v>45</v>
          </cell>
          <cell r="BI200">
            <v>22.5</v>
          </cell>
          <cell r="BK200">
            <v>22.5</v>
          </cell>
          <cell r="BM200">
            <v>22.5</v>
          </cell>
          <cell r="BO200">
            <v>22.5</v>
          </cell>
          <cell r="BQ200">
            <v>22.5</v>
          </cell>
          <cell r="BS200">
            <v>22.5</v>
          </cell>
        </row>
        <row r="201">
          <cell r="A201" t="str">
            <v>7.000% Teleview LLC due 2010</v>
          </cell>
          <cell r="B201">
            <v>7.0000000000000007E-2</v>
          </cell>
        </row>
        <row r="202">
          <cell r="A202" t="str">
            <v>7.750% Valor Telecommunications due 2015</v>
          </cell>
          <cell r="B202">
            <v>7.7499999999999999E-2</v>
          </cell>
        </row>
        <row r="203">
          <cell r="A203" t="str">
            <v>6.750% Windstream Holdings on Midwest Inc due 2028</v>
          </cell>
          <cell r="B203">
            <v>6.7500000000000004E-2</v>
          </cell>
          <cell r="P203">
            <v>6.75</v>
          </cell>
          <cell r="Q203">
            <v>6.75</v>
          </cell>
          <cell r="R203">
            <v>6.75</v>
          </cell>
          <cell r="S203">
            <v>6.75</v>
          </cell>
          <cell r="T203">
            <v>6.75</v>
          </cell>
          <cell r="U203">
            <v>6.75</v>
          </cell>
          <cell r="V203">
            <v>6.75</v>
          </cell>
          <cell r="BH203">
            <v>1.6875</v>
          </cell>
          <cell r="BI203">
            <v>1.6875</v>
          </cell>
          <cell r="BJ203">
            <v>1.6875</v>
          </cell>
          <cell r="BK203">
            <v>1.6875</v>
          </cell>
          <cell r="BL203">
            <v>1.6875</v>
          </cell>
          <cell r="BM203">
            <v>1.6875</v>
          </cell>
          <cell r="BN203">
            <v>1.6875</v>
          </cell>
          <cell r="BO203">
            <v>1.6875</v>
          </cell>
          <cell r="BP203">
            <v>1.6875</v>
          </cell>
          <cell r="BQ203">
            <v>1.6875</v>
          </cell>
          <cell r="BR203">
            <v>1.6875</v>
          </cell>
          <cell r="BS203">
            <v>1.6875</v>
          </cell>
        </row>
        <row r="204">
          <cell r="A204" t="str">
            <v>Other</v>
          </cell>
          <cell r="B204">
            <v>7.0000000000000007E-2</v>
          </cell>
          <cell r="P204">
            <v>2.3590000000000004</v>
          </cell>
          <cell r="Q204">
            <v>1.7692500000000002</v>
          </cell>
          <cell r="R204">
            <v>0.27300000000000002</v>
          </cell>
          <cell r="S204">
            <v>0.27300000000000002</v>
          </cell>
          <cell r="T204">
            <v>0.27300000000000002</v>
          </cell>
          <cell r="U204">
            <v>0.27300000000000002</v>
          </cell>
          <cell r="V204">
            <v>0.27300000000000002</v>
          </cell>
          <cell r="BH204">
            <v>0.96775000000000022</v>
          </cell>
          <cell r="BI204">
            <v>0.30275000000000002</v>
          </cell>
          <cell r="BJ204">
            <v>0.58450000000000002</v>
          </cell>
          <cell r="BK204">
            <v>0.50400000000000011</v>
          </cell>
          <cell r="BL204">
            <v>0.47775000000000006</v>
          </cell>
          <cell r="BM204">
            <v>0.45325000000000004</v>
          </cell>
          <cell r="BN204">
            <v>0.43050000000000005</v>
          </cell>
          <cell r="BO204">
            <v>0.40775000000000006</v>
          </cell>
          <cell r="BP204">
            <v>0.35699999999999998</v>
          </cell>
          <cell r="BQ204">
            <v>6.8250000000000005E-2</v>
          </cell>
          <cell r="BR204">
            <v>6.8250000000000005E-2</v>
          </cell>
          <cell r="BS204">
            <v>6.8250000000000005E-2</v>
          </cell>
        </row>
        <row r="206">
          <cell r="A206" t="str">
            <v>Cash Interest</v>
          </cell>
          <cell r="P206">
            <v>607.8294279090909</v>
          </cell>
          <cell r="Q206">
            <v>573.60222859090914</v>
          </cell>
          <cell r="R206">
            <v>398.46819045454549</v>
          </cell>
          <cell r="S206">
            <v>328.47319045454549</v>
          </cell>
          <cell r="T206">
            <v>310.57028136363641</v>
          </cell>
          <cell r="U206">
            <v>297.37028136363642</v>
          </cell>
          <cell r="V206">
            <v>271.36002227272729</v>
          </cell>
          <cell r="AH206">
            <v>500</v>
          </cell>
          <cell r="AI206">
            <v>500</v>
          </cell>
          <cell r="AJ206">
            <v>500</v>
          </cell>
          <cell r="AK206">
            <v>500</v>
          </cell>
          <cell r="AL206">
            <v>500</v>
          </cell>
          <cell r="AM206">
            <v>283.3</v>
          </cell>
          <cell r="AN206">
            <v>283.3</v>
          </cell>
          <cell r="AO206">
            <v>283.3</v>
          </cell>
          <cell r="AP206">
            <v>283.3</v>
          </cell>
          <cell r="AQ206">
            <v>283.3</v>
          </cell>
          <cell r="AR206">
            <v>283.3</v>
          </cell>
          <cell r="AS206">
            <v>283.3</v>
          </cell>
          <cell r="AT206">
            <v>283.3</v>
          </cell>
          <cell r="AU206">
            <v>114.4</v>
          </cell>
          <cell r="AV206">
            <v>114.4</v>
          </cell>
          <cell r="AW206">
            <v>114.4</v>
          </cell>
          <cell r="AX206">
            <v>100.9</v>
          </cell>
          <cell r="AY206">
            <v>100.9</v>
          </cell>
          <cell r="AZ206">
            <v>98</v>
          </cell>
          <cell r="BA206">
            <v>98</v>
          </cell>
          <cell r="BB206">
            <v>0</v>
          </cell>
          <cell r="BC206">
            <v>0</v>
          </cell>
          <cell r="BD206">
            <v>0</v>
          </cell>
          <cell r="BE206">
            <v>0</v>
          </cell>
          <cell r="BF206">
            <v>0</v>
          </cell>
          <cell r="BG206">
            <v>0</v>
          </cell>
          <cell r="BH206">
            <v>104.59438779545454</v>
          </cell>
          <cell r="BI206">
            <v>191.33828211363638</v>
          </cell>
          <cell r="BJ206">
            <v>107.03043184090907</v>
          </cell>
          <cell r="BK206">
            <v>204.86632615909093</v>
          </cell>
          <cell r="BL206">
            <v>83.481080886363642</v>
          </cell>
          <cell r="BM206">
            <v>204.4609779090909</v>
          </cell>
          <cell r="BN206">
            <v>82.843715000000003</v>
          </cell>
          <cell r="BO206">
            <v>202.81645479545452</v>
          </cell>
          <cell r="BP206">
            <v>84.246944590909095</v>
          </cell>
          <cell r="BQ206">
            <v>107.83476818181819</v>
          </cell>
          <cell r="BR206">
            <v>52.933922613636362</v>
          </cell>
          <cell r="BS206">
            <v>146.30017261363636</v>
          </cell>
        </row>
        <row r="207">
          <cell r="A207" t="str">
            <v>Check</v>
          </cell>
          <cell r="P207">
            <v>609.4</v>
          </cell>
          <cell r="Q207">
            <v>568.1</v>
          </cell>
          <cell r="R207">
            <v>473.80017261363633</v>
          </cell>
          <cell r="S207">
            <v>328.47319045454549</v>
          </cell>
          <cell r="T207">
            <v>310.57028136363641</v>
          </cell>
          <cell r="U207">
            <v>297.37028136363642</v>
          </cell>
          <cell r="V207">
            <v>271.36002227272729</v>
          </cell>
          <cell r="AJ207">
            <v>499987.50937734434</v>
          </cell>
          <cell r="AK207">
            <v>499985.78609625669</v>
          </cell>
          <cell r="AL207">
            <v>499988.47258005152</v>
          </cell>
          <cell r="AM207">
            <v>283289.95922905859</v>
          </cell>
          <cell r="AN207">
            <v>283291.93482688389</v>
          </cell>
          <cell r="AO207">
            <v>283292.20596840256</v>
          </cell>
          <cell r="AP207">
            <v>283291.9573364082</v>
          </cell>
          <cell r="AQ207">
            <v>283291.75735950045</v>
          </cell>
          <cell r="AR207">
            <v>283294.51302807993</v>
          </cell>
          <cell r="AS207">
            <v>283293.02151075535</v>
          </cell>
          <cell r="AT207">
            <v>283294.68192104599</v>
          </cell>
          <cell r="AU207">
            <v>114393.93493415957</v>
          </cell>
          <cell r="AV207">
            <v>114395.63346007605</v>
          </cell>
          <cell r="AW207">
            <v>114395.19178082192</v>
          </cell>
          <cell r="AX207">
            <v>100895.41192535276</v>
          </cell>
          <cell r="AY207">
            <v>100892.92876384316</v>
          </cell>
          <cell r="AZ207">
            <v>97993.57345077068</v>
          </cell>
          <cell r="BA207">
            <v>97992.14606220022</v>
          </cell>
          <cell r="BB207">
            <v>-8.5500000000000007</v>
          </cell>
          <cell r="BC207">
            <v>-8.8873112172453848</v>
          </cell>
          <cell r="BD207">
            <v>-9.2971826719176001</v>
          </cell>
          <cell r="BE207">
            <v>-9.7041329876467906</v>
          </cell>
          <cell r="BF207">
            <v>-9.9761620977353989</v>
          </cell>
          <cell r="BG207">
            <v>-9.5731101971351578</v>
          </cell>
          <cell r="BH207">
            <v>105.2</v>
          </cell>
          <cell r="BI207">
            <v>188.9</v>
          </cell>
          <cell r="BJ207">
            <v>123.3</v>
          </cell>
          <cell r="BK207">
            <v>192</v>
          </cell>
          <cell r="BL207">
            <v>74.7</v>
          </cell>
          <cell r="BM207">
            <v>208.9</v>
          </cell>
          <cell r="BN207">
            <v>74.7</v>
          </cell>
          <cell r="BO207">
            <v>209.8</v>
          </cell>
          <cell r="BP207">
            <v>74.7</v>
          </cell>
          <cell r="BQ207">
            <v>206.3</v>
          </cell>
          <cell r="BR207">
            <v>46.5</v>
          </cell>
          <cell r="BS207">
            <v>146.30017261363636</v>
          </cell>
        </row>
        <row r="208">
          <cell r="A208" t="str">
            <v>cash interest ex lease</v>
          </cell>
          <cell r="P208">
            <v>6.9807679611022022E-2</v>
          </cell>
          <cell r="Q208">
            <v>6.6978307869092632E-2</v>
          </cell>
          <cell r="R208">
            <v>6.9915286167519797E-2</v>
          </cell>
          <cell r="S208">
            <v>6.8327999179278495E-2</v>
          </cell>
          <cell r="T208">
            <v>6.7408304508852573E-2</v>
          </cell>
          <cell r="U208">
            <v>6.7167411597053847E-2</v>
          </cell>
          <cell r="V208">
            <v>6.5213530622366039E-2</v>
          </cell>
          <cell r="BQ208">
            <v>85.300000000000011</v>
          </cell>
        </row>
        <row r="209">
          <cell r="P209">
            <v>6.9988055861815515E-2</v>
          </cell>
          <cell r="Q209">
            <v>6.6335824381130323E-2</v>
          </cell>
          <cell r="R209">
            <v>8.313304662215297E-2</v>
          </cell>
          <cell r="S209">
            <v>6.8327999179278495E-2</v>
          </cell>
          <cell r="T209">
            <v>6.7408304508852573E-2</v>
          </cell>
          <cell r="U209">
            <v>6.7167411597053847E-2</v>
          </cell>
          <cell r="V209">
            <v>6.5213530622366039E-2</v>
          </cell>
        </row>
        <row r="210">
          <cell r="F210" t="str">
            <v>2003-FY</v>
          </cell>
          <cell r="G210" t="str">
            <v>2004-FY</v>
          </cell>
          <cell r="H210" t="str">
            <v>2005-FY</v>
          </cell>
          <cell r="I210" t="str">
            <v>2006-FY</v>
          </cell>
          <cell r="J210" t="str">
            <v>2007-FY</v>
          </cell>
          <cell r="K210" t="str">
            <v>2008-FY</v>
          </cell>
          <cell r="L210" t="str">
            <v>2009-FY</v>
          </cell>
          <cell r="M210" t="str">
            <v>2010-FY</v>
          </cell>
          <cell r="N210" t="str">
            <v>2011-FY</v>
          </cell>
          <cell r="O210" t="str">
            <v>2012-FY</v>
          </cell>
          <cell r="P210" t="str">
            <v>2013-FY</v>
          </cell>
          <cell r="Q210" t="str">
            <v>2014-FY</v>
          </cell>
          <cell r="R210" t="str">
            <v>2015-FY</v>
          </cell>
          <cell r="S210" t="str">
            <v>2016-FY</v>
          </cell>
          <cell r="T210" t="str">
            <v>2017-FY</v>
          </cell>
          <cell r="U210" t="str">
            <v>2018-FY</v>
          </cell>
          <cell r="V210" t="str">
            <v>2019-FY</v>
          </cell>
          <cell r="X210" t="str">
            <v>2004-Q1</v>
          </cell>
          <cell r="Y210" t="str">
            <v>2004-Q2</v>
          </cell>
          <cell r="Z210" t="str">
            <v>2004-Q3</v>
          </cell>
          <cell r="AA210" t="str">
            <v>2004-Q4</v>
          </cell>
          <cell r="AB210" t="str">
            <v>2005-Q1</v>
          </cell>
          <cell r="AC210" t="str">
            <v>2005-Q2</v>
          </cell>
          <cell r="AD210" t="str">
            <v>2005-Q3</v>
          </cell>
          <cell r="AE210" t="str">
            <v>2005-Q4</v>
          </cell>
          <cell r="AF210" t="str">
            <v>2006-Q1</v>
          </cell>
          <cell r="AG210" t="str">
            <v>2006-Q2</v>
          </cell>
          <cell r="AH210" t="str">
            <v>2006-Q3</v>
          </cell>
          <cell r="AI210" t="str">
            <v>2006-Q4</v>
          </cell>
          <cell r="AJ210" t="str">
            <v>2007-Q1</v>
          </cell>
          <cell r="AK210" t="str">
            <v>2007-Q2</v>
          </cell>
          <cell r="AL210" t="str">
            <v>2007-Q3</v>
          </cell>
          <cell r="AM210" t="str">
            <v>2007-Q4</v>
          </cell>
          <cell r="AN210" t="str">
            <v>2008-Q1</v>
          </cell>
          <cell r="AO210" t="str">
            <v>2008-Q2</v>
          </cell>
          <cell r="AP210" t="str">
            <v>2008-Q3</v>
          </cell>
          <cell r="AQ210" t="str">
            <v>2008-Q4</v>
          </cell>
          <cell r="AR210" t="str">
            <v>2009-Q1</v>
          </cell>
          <cell r="AS210" t="str">
            <v>2009-Q2</v>
          </cell>
          <cell r="AT210" t="str">
            <v>2009-Q3</v>
          </cell>
          <cell r="AU210" t="str">
            <v>2009-Q4</v>
          </cell>
          <cell r="AV210" t="str">
            <v>2010-Q1</v>
          </cell>
          <cell r="AW210" t="str">
            <v>2010-Q2</v>
          </cell>
          <cell r="AX210" t="str">
            <v>2010-Q3</v>
          </cell>
          <cell r="AY210" t="str">
            <v>2010-Q4</v>
          </cell>
          <cell r="AZ210" t="str">
            <v>2011-Q1</v>
          </cell>
          <cell r="BA210" t="str">
            <v>2011-Q2</v>
          </cell>
          <cell r="BB210" t="str">
            <v>2011-Q3</v>
          </cell>
          <cell r="BC210" t="str">
            <v>2011-Q4</v>
          </cell>
          <cell r="BD210" t="str">
            <v>2012-Q1</v>
          </cell>
          <cell r="BE210" t="str">
            <v>2012-Q2</v>
          </cell>
          <cell r="BF210" t="str">
            <v>2012-Q3</v>
          </cell>
          <cell r="BG210" t="str">
            <v>2012-Q4</v>
          </cell>
          <cell r="BH210" t="str">
            <v>2013-Q1</v>
          </cell>
          <cell r="BI210" t="str">
            <v>2013-Q2</v>
          </cell>
          <cell r="BJ210" t="str">
            <v>2013-Q3</v>
          </cell>
          <cell r="BK210" t="str">
            <v>2013-Q4</v>
          </cell>
          <cell r="BL210" t="str">
            <v>2014-Q1</v>
          </cell>
          <cell r="BM210" t="str">
            <v>2014-Q2</v>
          </cell>
          <cell r="BN210" t="str">
            <v>2014-Q3</v>
          </cell>
          <cell r="BO210" t="str">
            <v>2014-Q4</v>
          </cell>
          <cell r="BP210" t="str">
            <v>2015-Q1</v>
          </cell>
          <cell r="BQ210" t="str">
            <v>2015-Q2</v>
          </cell>
          <cell r="BR210" t="str">
            <v>2015-Q3</v>
          </cell>
          <cell r="BS210" t="str">
            <v>2015-Q4</v>
          </cell>
        </row>
      </sheetData>
      <sheetData sheetId="7"/>
      <sheetData sheetId="8"/>
      <sheetData sheetId="9">
        <row r="1">
          <cell r="A1" t="str">
            <v>Windstream Communications</v>
          </cell>
        </row>
      </sheetData>
      <sheetData sheetId="10">
        <row r="1">
          <cell r="A1" t="str">
            <v>Morgan Stanley Valuation for Windstream Communications</v>
          </cell>
        </row>
        <row r="4">
          <cell r="A4" t="str">
            <v>Valuation Summary</v>
          </cell>
        </row>
        <row r="6">
          <cell r="A6" t="str">
            <v>Methodology</v>
          </cell>
          <cell r="E6" t="str">
            <v>Metric</v>
          </cell>
          <cell r="H6" t="str">
            <v>Equity Value per share</v>
          </cell>
        </row>
        <row r="9">
          <cell r="H9" t="str">
            <v>Implied</v>
          </cell>
        </row>
        <row r="10">
          <cell r="E10" t="str">
            <v>Yield</v>
          </cell>
          <cell r="H10" t="str">
            <v>Price</v>
          </cell>
        </row>
        <row r="11">
          <cell r="A11" t="str">
            <v xml:space="preserve">  Target Yield </v>
          </cell>
          <cell r="E11">
            <v>7.6999999999999999E-2</v>
          </cell>
          <cell r="H11">
            <v>79.847888847217263</v>
          </cell>
        </row>
        <row r="14">
          <cell r="A14" t="str">
            <v>12-18 Month Price target</v>
          </cell>
          <cell r="H14">
            <v>13</v>
          </cell>
        </row>
        <row r="15">
          <cell r="A15" t="str">
            <v>% upside potential from current price</v>
          </cell>
          <cell r="H15">
            <v>0.52046783625730986</v>
          </cell>
        </row>
        <row r="16">
          <cell r="A16" t="str">
            <v>% total return from current price (based on current dividend yield)</v>
          </cell>
          <cell r="H16">
            <v>0.63742690058479523</v>
          </cell>
        </row>
        <row r="19">
          <cell r="A19" t="str">
            <v>WIN current trading price</v>
          </cell>
          <cell r="H19">
            <v>8.5500000000000007</v>
          </cell>
        </row>
        <row r="21">
          <cell r="A21" t="str">
            <v>WIN Dividend yield - 2008E</v>
          </cell>
          <cell r="H21">
            <v>0.11695906432748537</v>
          </cell>
        </row>
        <row r="22">
          <cell r="A22" t="str">
            <v>Dividend per share - 2008E</v>
          </cell>
          <cell r="H22">
            <v>1</v>
          </cell>
        </row>
        <row r="24">
          <cell r="A24" t="str">
            <v>WIN FCF yield - 2008E</v>
          </cell>
          <cell r="H24">
            <v>1.1356988142822051</v>
          </cell>
        </row>
        <row r="25">
          <cell r="A25" t="str">
            <v>FCF (CFO-capex) per share - 2008E</v>
          </cell>
          <cell r="H25">
            <v>9.7102248621128542</v>
          </cell>
        </row>
        <row r="29">
          <cell r="A29" t="str">
            <v>Trading Multiples</v>
          </cell>
        </row>
        <row r="31">
          <cell r="C31" t="str">
            <v>2007E</v>
          </cell>
          <cell r="D31" t="str">
            <v>2008E</v>
          </cell>
          <cell r="E31" t="str">
            <v>'07-'11 CAGR</v>
          </cell>
          <cell r="F31" t="str">
            <v>2007E multiple</v>
          </cell>
          <cell r="G31" t="str">
            <v>2007E shares</v>
          </cell>
          <cell r="H31" t="str">
            <v xml:space="preserve">        2007E net debt</v>
          </cell>
          <cell r="I31" t="str">
            <v xml:space="preserve">      Implied firm value</v>
          </cell>
          <cell r="J31" t="str">
            <v>Equity per share value</v>
          </cell>
          <cell r="L31" t="str">
            <v>2011E values</v>
          </cell>
        </row>
        <row r="33">
          <cell r="A33" t="str">
            <v>EPS from current businesses</v>
          </cell>
          <cell r="C33">
            <v>1.0072356964787699</v>
          </cell>
          <cell r="D33">
            <v>6.6793466270683064</v>
          </cell>
          <cell r="E33">
            <v>0.2695371711745369</v>
          </cell>
          <cell r="F33">
            <v>12</v>
          </cell>
          <cell r="J33">
            <v>12.086828357745238</v>
          </cell>
          <cell r="L33">
            <v>3.3216832383016821</v>
          </cell>
        </row>
        <row r="35">
          <cell r="A35" t="str">
            <v>EBITDA</v>
          </cell>
          <cell r="C35" t="e">
            <v>#REF!</v>
          </cell>
          <cell r="D35" t="e">
            <v>#REF!</v>
          </cell>
          <cell r="E35" t="e">
            <v>#REF!</v>
          </cell>
          <cell r="F35">
            <v>6</v>
          </cell>
          <cell r="G35" t="e">
            <v>#REF!</v>
          </cell>
          <cell r="H35" t="e">
            <v>#REF!</v>
          </cell>
          <cell r="I35" t="e">
            <v>#REF!</v>
          </cell>
          <cell r="J35" t="e">
            <v>#REF!</v>
          </cell>
          <cell r="L35" t="e">
            <v>#REF!</v>
          </cell>
        </row>
        <row r="36">
          <cell r="A36" t="str">
            <v>EBITDA</v>
          </cell>
          <cell r="C36" t="e">
            <v>#REF!</v>
          </cell>
          <cell r="D36" t="e">
            <v>#REF!</v>
          </cell>
          <cell r="E36" t="e">
            <v>#REF!</v>
          </cell>
          <cell r="F36">
            <v>7</v>
          </cell>
          <cell r="G36" t="e">
            <v>#REF!</v>
          </cell>
          <cell r="H36" t="e">
            <v>#REF!</v>
          </cell>
          <cell r="I36" t="e">
            <v>#REF!</v>
          </cell>
          <cell r="J36" t="e">
            <v>#REF!</v>
          </cell>
          <cell r="L36" t="e">
            <v>#REF!</v>
          </cell>
        </row>
        <row r="38">
          <cell r="A38" t="str">
            <v>Apples-to-Apples Dividend Discount Model (Based on single period)</v>
          </cell>
        </row>
        <row r="40">
          <cell r="F40" t="str">
            <v>CFO-capex</v>
          </cell>
          <cell r="J40">
            <v>0.85</v>
          </cell>
        </row>
        <row r="41">
          <cell r="C41" t="str">
            <v>Current per</v>
          </cell>
          <cell r="D41" t="str">
            <v>Shares</v>
          </cell>
          <cell r="E41" t="str">
            <v>Current</v>
          </cell>
          <cell r="F41" t="str">
            <v>Pretax '07</v>
          </cell>
          <cell r="G41" t="str">
            <v>Incremental</v>
          </cell>
          <cell r="H41" t="str">
            <v xml:space="preserve">Post-tax </v>
          </cell>
          <cell r="I41" t="str">
            <v>Payout %</v>
          </cell>
          <cell r="J41" t="str">
            <v>Taxed</v>
          </cell>
          <cell r="K41" t="str">
            <v>Equity</v>
          </cell>
          <cell r="L41" t="str">
            <v>Per</v>
          </cell>
          <cell r="M41" t="str">
            <v>Current</v>
          </cell>
          <cell r="N41" t="str">
            <v>Upside/</v>
          </cell>
        </row>
        <row r="42">
          <cell r="C42" t="str">
            <v>Shr Dividend</v>
          </cell>
          <cell r="D42">
            <v>2006</v>
          </cell>
          <cell r="E42" t="str">
            <v>Dividend</v>
          </cell>
          <cell r="F42" t="str">
            <v>Avail. FCF</v>
          </cell>
          <cell r="G42" t="str">
            <v>Tax Rate</v>
          </cell>
          <cell r="H42" t="str">
            <v>FCF</v>
          </cell>
          <cell r="I42" t="str">
            <v>of FCF</v>
          </cell>
          <cell r="J42" t="str">
            <v>FCF</v>
          </cell>
          <cell r="K42" t="str">
            <v xml:space="preserve">Value </v>
          </cell>
          <cell r="L42" t="str">
            <v>Share</v>
          </cell>
          <cell r="M42" t="str">
            <v>Value</v>
          </cell>
          <cell r="N42" t="str">
            <v>(Downside)</v>
          </cell>
        </row>
        <row r="43">
          <cell r="B43" t="str">
            <v>WIN</v>
          </cell>
          <cell r="C43">
            <v>1</v>
          </cell>
          <cell r="D43">
            <v>78.566666666666677</v>
          </cell>
          <cell r="E43">
            <v>78.566666666666677</v>
          </cell>
          <cell r="F43">
            <v>762.9</v>
          </cell>
          <cell r="G43">
            <v>3.7999999999999999E-2</v>
          </cell>
          <cell r="H43">
            <v>733.9097999999999</v>
          </cell>
          <cell r="I43">
            <v>0.10705221086660334</v>
          </cell>
          <cell r="J43">
            <v>623.82332999999994</v>
          </cell>
          <cell r="K43">
            <v>6566.5613684210521</v>
          </cell>
          <cell r="L43">
            <v>83.579482839470316</v>
          </cell>
          <cell r="M43" t="e">
            <v>#NAME?</v>
          </cell>
          <cell r="N43" t="e">
            <v>#NAME?</v>
          </cell>
        </row>
        <row r="44">
          <cell r="B44" t="str">
            <v>IWA</v>
          </cell>
          <cell r="C44">
            <v>1.62</v>
          </cell>
          <cell r="D44">
            <v>31.695250000000001</v>
          </cell>
          <cell r="E44">
            <v>51.346305000000008</v>
          </cell>
          <cell r="F44">
            <v>70.31072394341308</v>
          </cell>
          <cell r="G44">
            <v>0.35</v>
          </cell>
          <cell r="H44">
            <v>45.701970563218502</v>
          </cell>
          <cell r="I44">
            <v>1.1235030867864619</v>
          </cell>
          <cell r="J44">
            <v>38.846674978735727</v>
          </cell>
          <cell r="K44">
            <v>408.9123681972182</v>
          </cell>
          <cell r="L44">
            <v>12.901376963337352</v>
          </cell>
          <cell r="M44" t="e">
            <v>#NAME?</v>
          </cell>
          <cell r="N44" t="e">
            <v>#NAME?</v>
          </cell>
        </row>
        <row r="45">
          <cell r="B45" t="str">
            <v>FRP</v>
          </cell>
          <cell r="C45">
            <v>1.5912500000000001</v>
          </cell>
          <cell r="D45">
            <v>34.645865176640228</v>
          </cell>
          <cell r="E45">
            <v>55.130232962328762</v>
          </cell>
          <cell r="F45">
            <v>64.523736289532366</v>
          </cell>
          <cell r="G45">
            <v>0.35</v>
          </cell>
          <cell r="H45">
            <v>41.940428588196042</v>
          </cell>
          <cell r="I45">
            <v>1.3144890221232726</v>
          </cell>
          <cell r="J45">
            <v>35.649364299966635</v>
          </cell>
          <cell r="K45">
            <v>375.25646631543827</v>
          </cell>
          <cell r="L45">
            <v>10.831204947609528</v>
          </cell>
          <cell r="M45" t="e">
            <v>#NAME?</v>
          </cell>
          <cell r="N45" t="e">
            <v>#NAME?</v>
          </cell>
        </row>
        <row r="46">
          <cell r="B46" t="str">
            <v>CZN</v>
          </cell>
          <cell r="C46">
            <v>0.66596610553171876</v>
          </cell>
          <cell r="D46">
            <v>321.806825</v>
          </cell>
          <cell r="E46">
            <v>214.31243797877735</v>
          </cell>
          <cell r="F46">
            <v>501.27737187794344</v>
          </cell>
          <cell r="G46">
            <v>0.38</v>
          </cell>
          <cell r="H46">
            <v>310.79197056432491</v>
          </cell>
          <cell r="I46">
            <v>0.6895687735742867</v>
          </cell>
          <cell r="J46">
            <v>264.17317497967616</v>
          </cell>
          <cell r="K46">
            <v>2780.7702629439596</v>
          </cell>
          <cell r="L46">
            <v>8.641116492616213</v>
          </cell>
          <cell r="M46" t="e">
            <v>#NAME?</v>
          </cell>
          <cell r="N46" t="e">
            <v>#NAME?</v>
          </cell>
        </row>
        <row r="49">
          <cell r="D49" t="str">
            <v>Value w/</v>
          </cell>
          <cell r="E49" t="str">
            <v>Per</v>
          </cell>
          <cell r="F49" t="str">
            <v>Upside/</v>
          </cell>
          <cell r="I49" t="str">
            <v>NOL</v>
          </cell>
        </row>
        <row r="50">
          <cell r="C50" t="str">
            <v>DTA*</v>
          </cell>
          <cell r="D50" t="str">
            <v>DTA*</v>
          </cell>
          <cell r="E50" t="str">
            <v>Share</v>
          </cell>
          <cell r="F50" t="str">
            <v>(Downside)</v>
          </cell>
          <cell r="H50" t="str">
            <v>Company</v>
          </cell>
          <cell r="I50" t="str">
            <v>Amount</v>
          </cell>
          <cell r="J50" t="str">
            <v>Expiration</v>
          </cell>
          <cell r="L50" t="str">
            <v>Assumptions:</v>
          </cell>
        </row>
        <row r="51">
          <cell r="B51" t="str">
            <v>WIN</v>
          </cell>
          <cell r="C51">
            <v>99.2</v>
          </cell>
          <cell r="D51">
            <v>6665.7613684210519</v>
          </cell>
          <cell r="E51">
            <v>84.842104816559839</v>
          </cell>
          <cell r="F51" t="e">
            <v>#NAME?</v>
          </cell>
          <cell r="H51" t="str">
            <v>WIN</v>
          </cell>
          <cell r="I51">
            <v>320</v>
          </cell>
          <cell r="J51" t="str">
            <v>2020-2025</v>
          </cell>
          <cell r="L51" t="str">
            <v>Cost of Equity</v>
          </cell>
          <cell r="M51">
            <v>9.5000000000000001E-2</v>
          </cell>
        </row>
        <row r="52">
          <cell r="B52" t="str">
            <v>IWA</v>
          </cell>
          <cell r="C52">
            <v>65.41</v>
          </cell>
          <cell r="D52">
            <v>474.32236819721822</v>
          </cell>
          <cell r="E52">
            <v>14.965093135318957</v>
          </cell>
          <cell r="F52" t="e">
            <v>#NAME?</v>
          </cell>
          <cell r="H52" t="str">
            <v>IWA</v>
          </cell>
          <cell r="I52">
            <v>211</v>
          </cell>
          <cell r="J52" t="str">
            <v>2021-2024</v>
          </cell>
          <cell r="L52" t="str">
            <v>Payout</v>
          </cell>
          <cell r="M52">
            <v>0.85</v>
          </cell>
        </row>
        <row r="53">
          <cell r="B53" t="str">
            <v>FRP</v>
          </cell>
          <cell r="C53">
            <v>90.48899999999999</v>
          </cell>
          <cell r="D53">
            <v>465.74546631543825</v>
          </cell>
          <cell r="E53">
            <v>13.443031771348704</v>
          </cell>
          <cell r="F53" t="e">
            <v>#NAME?</v>
          </cell>
          <cell r="H53" t="str">
            <v>FRP</v>
          </cell>
          <cell r="I53">
            <v>291.89999999999998</v>
          </cell>
          <cell r="J53" t="str">
            <v>2019-2025</v>
          </cell>
          <cell r="L53" t="str">
            <v>Definition of FCF</v>
          </cell>
          <cell r="M53" t="str">
            <v>CFO less Capex</v>
          </cell>
        </row>
        <row r="54">
          <cell r="B54" t="str">
            <v>CZN</v>
          </cell>
          <cell r="C54">
            <v>222.11</v>
          </cell>
          <cell r="D54">
            <v>3002.8802629439597</v>
          </cell>
          <cell r="E54">
            <v>9.3313131657290356</v>
          </cell>
          <cell r="F54" t="e">
            <v>#NAME?</v>
          </cell>
          <cell r="H54" t="str">
            <v>CZN</v>
          </cell>
          <cell r="I54">
            <v>584.5</v>
          </cell>
          <cell r="J54" t="str">
            <v>Fed 2021+</v>
          </cell>
        </row>
        <row r="55">
          <cell r="C55" t="str">
            <v>*this is an estimate of the non-temporary differences portion of the deferred taxes</v>
          </cell>
        </row>
        <row r="58">
          <cell r="A58" t="str">
            <v>Target Yield</v>
          </cell>
        </row>
        <row r="60">
          <cell r="G60" t="str">
            <v>Assuming the companies will continue paying current per share dividend amounts…</v>
          </cell>
        </row>
        <row r="61">
          <cell r="B61" t="str">
            <v>2008E</v>
          </cell>
          <cell r="C61" t="str">
            <v>Bear</v>
          </cell>
          <cell r="D61" t="str">
            <v>Base</v>
          </cell>
          <cell r="E61" t="str">
            <v>Bull</v>
          </cell>
          <cell r="H61" t="str">
            <v>Target</v>
          </cell>
          <cell r="I61" t="str">
            <v>Price</v>
          </cell>
          <cell r="K61" t="str">
            <v>Dividend Yields</v>
          </cell>
        </row>
        <row r="62">
          <cell r="B62" t="str">
            <v>Payout of FCF</v>
          </cell>
          <cell r="C62">
            <v>0.6</v>
          </cell>
          <cell r="D62">
            <v>0.6</v>
          </cell>
          <cell r="E62">
            <v>0.6</v>
          </cell>
          <cell r="G62" t="str">
            <v>2007E</v>
          </cell>
          <cell r="H62" t="str">
            <v>Yield</v>
          </cell>
          <cell r="I62" t="str">
            <v>Implied</v>
          </cell>
          <cell r="K62" t="str">
            <v>FRP</v>
          </cell>
          <cell r="L62" t="e">
            <v>#NAME?</v>
          </cell>
        </row>
        <row r="63">
          <cell r="B63" t="str">
            <v>Target yield</v>
          </cell>
          <cell r="C63">
            <v>0.13500000000000001</v>
          </cell>
          <cell r="D63">
            <v>7.6999999999999999E-2</v>
          </cell>
          <cell r="E63">
            <v>6.25E-2</v>
          </cell>
          <cell r="G63" t="str">
            <v>WIN</v>
          </cell>
          <cell r="H63">
            <v>7.6999999999999999E-2</v>
          </cell>
          <cell r="I63">
            <v>12.987012987012987</v>
          </cell>
          <cell r="K63" t="str">
            <v>CNSL</v>
          </cell>
          <cell r="L63" t="e">
            <v>#NAME?</v>
          </cell>
        </row>
        <row r="64">
          <cell r="B64" t="str">
            <v>Implied value</v>
          </cell>
          <cell r="C64">
            <v>45.542869935079466</v>
          </cell>
          <cell r="D64">
            <v>79.847888847217263</v>
          </cell>
          <cell r="E64">
            <v>98.372599059771659</v>
          </cell>
          <cell r="G64" t="str">
            <v>IWA</v>
          </cell>
          <cell r="H64">
            <v>0.08</v>
          </cell>
          <cell r="I64">
            <v>20.25</v>
          </cell>
          <cell r="K64" t="str">
            <v>IWA</v>
          </cell>
          <cell r="L64" t="e">
            <v>#NAME?</v>
          </cell>
        </row>
        <row r="65">
          <cell r="G65" t="str">
            <v>FRP</v>
          </cell>
          <cell r="H65">
            <v>0.1</v>
          </cell>
          <cell r="I65">
            <v>15.9125</v>
          </cell>
          <cell r="K65" t="str">
            <v>WIN</v>
          </cell>
          <cell r="L65" t="e">
            <v>#NAME?</v>
          </cell>
        </row>
        <row r="66">
          <cell r="K66" t="str">
            <v>CZN</v>
          </cell>
          <cell r="L66" t="e">
            <v>#NAME?</v>
          </cell>
        </row>
        <row r="67">
          <cell r="K67" t="str">
            <v>ALSK</v>
          </cell>
          <cell r="L67" t="e">
            <v>#NAME?</v>
          </cell>
        </row>
        <row r="68">
          <cell r="K68" t="str">
            <v>CTCO</v>
          </cell>
        </row>
        <row r="69">
          <cell r="K69" t="str">
            <v>CTL</v>
          </cell>
          <cell r="L69" t="e">
            <v>#NAME?</v>
          </cell>
        </row>
        <row r="70">
          <cell r="K70" t="str">
            <v>Refresh chart with FactSet</v>
          </cell>
        </row>
        <row r="71">
          <cell r="A71" t="str">
            <v>Discounted Cash Flow Valuation</v>
          </cell>
        </row>
        <row r="73">
          <cell r="C73" t="e">
            <v>#REF!</v>
          </cell>
          <cell r="D73" t="e">
            <v>#REF!</v>
          </cell>
          <cell r="E73" t="e">
            <v>#REF!</v>
          </cell>
          <cell r="G73" t="str">
            <v>For more DCF detail, click here</v>
          </cell>
        </row>
        <row r="74">
          <cell r="A74" t="str">
            <v>DCF per share equity value</v>
          </cell>
          <cell r="C74" t="e">
            <v>#REF!</v>
          </cell>
          <cell r="D74" t="e">
            <v>#REF!</v>
          </cell>
          <cell r="E74" t="e">
            <v>#REF!</v>
          </cell>
        </row>
        <row r="76">
          <cell r="A76" t="str">
            <v>Assumptions:</v>
          </cell>
          <cell r="C76" t="str">
            <v>WACC</v>
          </cell>
          <cell r="D76" t="e">
            <v>#REF!</v>
          </cell>
        </row>
        <row r="77">
          <cell r="C77" t="str">
            <v>Terminal Multiple</v>
          </cell>
          <cell r="D77" t="e">
            <v>#REF!</v>
          </cell>
          <cell r="E77" t="str">
            <v>= 1/(r-g)</v>
          </cell>
        </row>
        <row r="79">
          <cell r="A79" t="str">
            <v>Dividend Discount Model</v>
          </cell>
        </row>
        <row r="81">
          <cell r="C81" t="e">
            <v>#REF!</v>
          </cell>
          <cell r="D81" t="e">
            <v>#REF!</v>
          </cell>
        </row>
        <row r="83">
          <cell r="A83" t="str">
            <v>Equity Value Assuming Perpetuity, per share</v>
          </cell>
          <cell r="C83" t="e">
            <v>#REF!</v>
          </cell>
          <cell r="D83" t="e">
            <v>#REF!</v>
          </cell>
          <cell r="G83" t="str">
            <v>For more DDM detail, click here</v>
          </cell>
        </row>
        <row r="85">
          <cell r="A85" t="str">
            <v>Assumptions:</v>
          </cell>
          <cell r="C85" t="str">
            <v>Cost of Equity</v>
          </cell>
          <cell r="D85" t="e">
            <v>#REF!</v>
          </cell>
          <cell r="E85" t="str">
            <v>CAPM</v>
          </cell>
        </row>
        <row r="89">
          <cell r="A89" t="str">
            <v>Residual Income Model</v>
          </cell>
        </row>
        <row r="91">
          <cell r="C91" t="e">
            <v>#REF!</v>
          </cell>
          <cell r="D91" t="e">
            <v>#REF!</v>
          </cell>
        </row>
        <row r="93">
          <cell r="A93" t="str">
            <v>Equity Value Assuming Perpetuity, per share</v>
          </cell>
          <cell r="C93">
            <v>0</v>
          </cell>
          <cell r="D93">
            <v>0</v>
          </cell>
          <cell r="G93" t="str">
            <v>For more Residual Income detail, click here</v>
          </cell>
        </row>
        <row r="95">
          <cell r="A95" t="str">
            <v>Assumptions:</v>
          </cell>
          <cell r="C95" t="str">
            <v>Cost of Equity</v>
          </cell>
          <cell r="D95" t="e">
            <v>#REF!</v>
          </cell>
          <cell r="E95" t="str">
            <v>CAPM</v>
          </cell>
        </row>
      </sheetData>
      <sheetData sheetId="11"/>
      <sheetData sheetId="12"/>
      <sheetData sheetId="13"/>
      <sheetData sheetId="14"/>
      <sheetData sheetId="15"/>
      <sheetData sheetId="16"/>
      <sheetData sheetId="17">
        <row r="1">
          <cell r="AB1">
            <v>0.2586414778893506</v>
          </cell>
          <cell r="AC1">
            <v>0.22965697429414242</v>
          </cell>
          <cell r="AD1">
            <v>0.23967586352148273</v>
          </cell>
          <cell r="AE1">
            <v>0.24871551905664349</v>
          </cell>
          <cell r="AF1">
            <v>0.28918733960650128</v>
          </cell>
        </row>
        <row r="2">
          <cell r="E2">
            <v>2002</v>
          </cell>
          <cell r="F2">
            <v>2003</v>
          </cell>
          <cell r="G2">
            <v>2004</v>
          </cell>
          <cell r="H2">
            <v>2005</v>
          </cell>
          <cell r="I2">
            <v>2006</v>
          </cell>
          <cell r="J2">
            <v>2007</v>
          </cell>
          <cell r="K2">
            <v>2008</v>
          </cell>
          <cell r="L2">
            <v>2009</v>
          </cell>
          <cell r="M2">
            <v>2010</v>
          </cell>
          <cell r="N2">
            <v>2011</v>
          </cell>
          <cell r="O2">
            <v>2012</v>
          </cell>
          <cell r="Q2" t="str">
            <v>1Q04</v>
          </cell>
          <cell r="R2" t="str">
            <v>2Q04</v>
          </cell>
          <cell r="S2" t="str">
            <v>3Q04</v>
          </cell>
          <cell r="T2" t="str">
            <v>4Q04</v>
          </cell>
          <cell r="U2" t="str">
            <v>1Q05</v>
          </cell>
          <cell r="V2" t="str">
            <v>2Q05</v>
          </cell>
          <cell r="W2" t="str">
            <v>3Q05</v>
          </cell>
          <cell r="X2" t="str">
            <v>4Q05</v>
          </cell>
          <cell r="Y2" t="str">
            <v>1Q06</v>
          </cell>
          <cell r="Z2" t="str">
            <v>2Q06</v>
          </cell>
          <cell r="AA2" t="str">
            <v>3Q06</v>
          </cell>
          <cell r="AB2" t="str">
            <v>4Q06</v>
          </cell>
          <cell r="AC2" t="str">
            <v>1Q07</v>
          </cell>
          <cell r="AD2" t="str">
            <v>2Q07</v>
          </cell>
          <cell r="AE2" t="str">
            <v>3Q07</v>
          </cell>
          <cell r="AF2" t="str">
            <v>4Q07</v>
          </cell>
          <cell r="AH2" t="str">
            <v>3Q06</v>
          </cell>
          <cell r="AI2" t="str">
            <v>4Q06</v>
          </cell>
          <cell r="AJ2" t="str">
            <v>1Q07</v>
          </cell>
          <cell r="AK2" t="str">
            <v>2Q07</v>
          </cell>
        </row>
        <row r="4">
          <cell r="A4" t="str">
            <v>Wireline Segment</v>
          </cell>
        </row>
        <row r="6">
          <cell r="B6" t="str">
            <v>Wireline Revenue</v>
          </cell>
          <cell r="AC6" t="str">
            <v>Sub-segment breakouts changed in 1Q07, see Segments tab and row 146 here…</v>
          </cell>
        </row>
        <row r="7">
          <cell r="C7" t="str">
            <v>Local service</v>
          </cell>
          <cell r="H7">
            <v>1232448.851639475</v>
          </cell>
          <cell r="I7">
            <v>1172801</v>
          </cell>
          <cell r="J7">
            <v>1141496.2453494775</v>
          </cell>
          <cell r="K7">
            <v>1117774.3069656156</v>
          </cell>
          <cell r="L7">
            <v>1088300.6466836443</v>
          </cell>
          <cell r="M7">
            <v>1061824.4350359896</v>
          </cell>
          <cell r="N7">
            <v>1038158.6022916468</v>
          </cell>
          <cell r="O7">
            <v>1017138.2122397522</v>
          </cell>
          <cell r="U7">
            <v>311734</v>
          </cell>
          <cell r="V7">
            <v>310943</v>
          </cell>
          <cell r="W7">
            <v>306950.40494803718</v>
          </cell>
          <cell r="X7">
            <v>302821.4466914378</v>
          </cell>
          <cell r="Y7">
            <v>300019</v>
          </cell>
          <cell r="Z7">
            <v>294307</v>
          </cell>
          <cell r="AA7">
            <v>291821</v>
          </cell>
          <cell r="AB7">
            <v>286654</v>
          </cell>
          <cell r="AC7">
            <v>314200</v>
          </cell>
          <cell r="AD7">
            <v>280905.0418943534</v>
          </cell>
          <cell r="AE7">
            <v>275723.30501343979</v>
          </cell>
          <cell r="AF7">
            <v>270667.89844168408</v>
          </cell>
          <cell r="AH7">
            <v>-4.9289411918509773E-2</v>
          </cell>
          <cell r="AI7">
            <v>-5.3389371420286991E-2</v>
          </cell>
          <cell r="AJ7">
            <v>4.7267006422926583E-2</v>
          </cell>
          <cell r="AK7">
            <v>-4.5537340619307698E-2</v>
          </cell>
        </row>
        <row r="8">
          <cell r="C8" t="str">
            <v>Network access and interconnection</v>
          </cell>
          <cell r="H8">
            <v>1291231.5431093606</v>
          </cell>
          <cell r="I8">
            <v>1281978</v>
          </cell>
          <cell r="J8">
            <v>1259421.4924650593</v>
          </cell>
          <cell r="K8">
            <v>1246693.729925982</v>
          </cell>
          <cell r="L8">
            <v>1234203.8403200107</v>
          </cell>
          <cell r="M8">
            <v>1229668.6374304406</v>
          </cell>
          <cell r="N8">
            <v>1230197.4562397709</v>
          </cell>
          <cell r="O8">
            <v>1239726.7879662905</v>
          </cell>
          <cell r="U8">
            <v>325754</v>
          </cell>
          <cell r="V8">
            <v>322531</v>
          </cell>
          <cell r="W8">
            <v>321967.32592626294</v>
          </cell>
          <cell r="X8">
            <v>320979.21718309767</v>
          </cell>
          <cell r="Y8">
            <v>317735</v>
          </cell>
          <cell r="Z8">
            <v>318852</v>
          </cell>
          <cell r="AA8">
            <v>317487</v>
          </cell>
          <cell r="AB8">
            <v>327904</v>
          </cell>
          <cell r="AC8">
            <v>307900</v>
          </cell>
          <cell r="AD8">
            <v>311124.05223043525</v>
          </cell>
          <cell r="AE8">
            <v>314770.59929720743</v>
          </cell>
          <cell r="AF8">
            <v>325626.84093741677</v>
          </cell>
          <cell r="AH8">
            <v>-1.3915467705841178E-2</v>
          </cell>
          <cell r="AI8">
            <v>2.157392892185972E-2</v>
          </cell>
          <cell r="AJ8">
            <v>-3.0953467512235044E-2</v>
          </cell>
          <cell r="AK8">
            <v>-2.4236786250563691E-2</v>
          </cell>
        </row>
        <row r="9">
          <cell r="C9" t="str">
            <v>Long distance</v>
          </cell>
          <cell r="H9">
            <v>215594.72231105439</v>
          </cell>
          <cell r="I9">
            <v>240999</v>
          </cell>
          <cell r="J9">
            <v>250279.53133899614</v>
          </cell>
          <cell r="K9">
            <v>256540.35987162162</v>
          </cell>
          <cell r="L9">
            <v>261186.64285236638</v>
          </cell>
          <cell r="M9">
            <v>265998.24454102037</v>
          </cell>
          <cell r="N9">
            <v>271018.42189005209</v>
          </cell>
          <cell r="O9">
            <v>276289.08396080596</v>
          </cell>
          <cell r="U9">
            <v>53769</v>
          </cell>
          <cell r="V9">
            <v>52986</v>
          </cell>
          <cell r="W9">
            <v>53914.515048048721</v>
          </cell>
          <cell r="X9">
            <v>54925.207263005672</v>
          </cell>
          <cell r="Y9">
            <v>56481</v>
          </cell>
          <cell r="Z9">
            <v>58225</v>
          </cell>
          <cell r="AA9">
            <v>59454</v>
          </cell>
          <cell r="AB9">
            <v>66839</v>
          </cell>
          <cell r="AC9">
            <v>62000</v>
          </cell>
          <cell r="AD9">
            <v>67930.75743278912</v>
          </cell>
          <cell r="AE9">
            <v>59921.481000479122</v>
          </cell>
          <cell r="AF9">
            <v>60427.292905727896</v>
          </cell>
          <cell r="AH9">
            <v>0.10274570673620054</v>
          </cell>
          <cell r="AI9">
            <v>0.21690938151486505</v>
          </cell>
          <cell r="AJ9">
            <v>9.7714275597103439E-2</v>
          </cell>
          <cell r="AK9">
            <v>0.1666939876820801</v>
          </cell>
        </row>
        <row r="10">
          <cell r="C10" t="str">
            <v>Miscellaneous</v>
          </cell>
          <cell r="H10">
            <v>317364.88294011005</v>
          </cell>
          <cell r="I10">
            <v>333700</v>
          </cell>
          <cell r="J10">
            <v>335749.61000000004</v>
          </cell>
          <cell r="K10">
            <v>337476.05924571515</v>
          </cell>
          <cell r="L10">
            <v>338873.90996147791</v>
          </cell>
          <cell r="M10">
            <v>339938.67676799191</v>
          </cell>
          <cell r="N10">
            <v>340666.8504735374</v>
          </cell>
          <cell r="O10">
            <v>341055.91713036684</v>
          </cell>
          <cell r="U10">
            <v>66235</v>
          </cell>
          <cell r="V10">
            <v>77759</v>
          </cell>
          <cell r="W10">
            <v>83225.754077651189</v>
          </cell>
          <cell r="X10">
            <v>90145.128862458863</v>
          </cell>
          <cell r="Y10">
            <v>69606</v>
          </cell>
          <cell r="Z10">
            <v>81379</v>
          </cell>
          <cell r="AA10">
            <v>83398</v>
          </cell>
          <cell r="AB10">
            <v>99317</v>
          </cell>
          <cell r="AC10">
            <v>66300</v>
          </cell>
          <cell r="AD10">
            <v>89516.900000000009</v>
          </cell>
          <cell r="AE10">
            <v>87567.900000000009</v>
          </cell>
          <cell r="AF10">
            <v>92364.81</v>
          </cell>
          <cell r="AH10">
            <v>2.069622850014774E-3</v>
          </cell>
          <cell r="AI10">
            <v>0.10174561014312089</v>
          </cell>
          <cell r="AJ10">
            <v>-4.749590552538574E-2</v>
          </cell>
          <cell r="AK10">
            <v>0.10000000000000009</v>
          </cell>
        </row>
        <row r="11">
          <cell r="C11" t="str">
            <v>Total Wireline</v>
          </cell>
          <cell r="H11">
            <v>3056640</v>
          </cell>
          <cell r="I11">
            <v>3029478</v>
          </cell>
          <cell r="J11">
            <v>2986946.8791535329</v>
          </cell>
          <cell r="K11">
            <v>2958484.4560089344</v>
          </cell>
          <cell r="L11">
            <v>2922565.0398174995</v>
          </cell>
          <cell r="M11">
            <v>2897429.9937754422</v>
          </cell>
          <cell r="N11">
            <v>2880041.3308950071</v>
          </cell>
          <cell r="O11">
            <v>2874210.0012972155</v>
          </cell>
          <cell r="U11">
            <v>757492</v>
          </cell>
          <cell r="V11">
            <v>764219</v>
          </cell>
          <cell r="W11">
            <v>766058</v>
          </cell>
          <cell r="X11">
            <v>768871</v>
          </cell>
          <cell r="Y11">
            <v>743841</v>
          </cell>
          <cell r="Z11">
            <v>752763</v>
          </cell>
          <cell r="AA11">
            <v>752160</v>
          </cell>
          <cell r="AB11">
            <v>780714</v>
          </cell>
          <cell r="AC11">
            <v>750400</v>
          </cell>
          <cell r="AD11">
            <v>749476.75155757775</v>
          </cell>
          <cell r="AE11">
            <v>737983.28531112627</v>
          </cell>
          <cell r="AF11">
            <v>749086.84228482866</v>
          </cell>
        </row>
        <row r="12">
          <cell r="C12" t="str">
            <v xml:space="preserve">  % y/y growth</v>
          </cell>
          <cell r="I12">
            <v>-8.8862280150753259E-3</v>
          </cell>
          <cell r="J12">
            <v>-1.4039092162566269E-2</v>
          </cell>
          <cell r="K12">
            <v>-9.5289351622699359E-3</v>
          </cell>
          <cell r="L12">
            <v>-1.2141154271904209E-2</v>
          </cell>
          <cell r="M12">
            <v>-8.6003376142578247E-3</v>
          </cell>
          <cell r="N12">
            <v>-6.0014091514863921E-3</v>
          </cell>
          <cell r="O12">
            <v>-2.0247381644274975E-3</v>
          </cell>
          <cell r="Y12">
            <v>-1.8021312436303005E-2</v>
          </cell>
          <cell r="Z12">
            <v>-1.4990467392200446E-2</v>
          </cell>
          <cell r="AA12">
            <v>-1.8142229439546353E-2</v>
          </cell>
          <cell r="AB12">
            <v>1.540310403175571E-2</v>
          </cell>
          <cell r="AC12">
            <v>8.8177446524189129E-3</v>
          </cell>
          <cell r="AD12">
            <v>-4.365581786594519E-3</v>
          </cell>
          <cell r="AE12">
            <v>-1.8848004000310725E-2</v>
          </cell>
          <cell r="AF12">
            <v>-4.0510555357238798E-2</v>
          </cell>
        </row>
        <row r="14">
          <cell r="C14" t="str">
            <v>Service revenue</v>
          </cell>
          <cell r="U14">
            <v>747675</v>
          </cell>
          <cell r="V14">
            <v>753164</v>
          </cell>
          <cell r="W14">
            <v>754336</v>
          </cell>
          <cell r="X14">
            <v>759070</v>
          </cell>
          <cell r="Y14">
            <v>734851</v>
          </cell>
          <cell r="Z14">
            <v>742657</v>
          </cell>
          <cell r="AA14">
            <v>740432</v>
          </cell>
          <cell r="AB14">
            <v>731894</v>
          </cell>
        </row>
        <row r="15">
          <cell r="C15" t="str">
            <v>Product sales</v>
          </cell>
          <cell r="U15">
            <v>9817</v>
          </cell>
          <cell r="V15">
            <v>11055</v>
          </cell>
          <cell r="W15">
            <v>11722</v>
          </cell>
          <cell r="X15">
            <v>9801</v>
          </cell>
          <cell r="Y15">
            <v>9590</v>
          </cell>
          <cell r="Z15">
            <v>10106</v>
          </cell>
          <cell r="AA15">
            <v>11728</v>
          </cell>
          <cell r="AB15">
            <v>95714</v>
          </cell>
        </row>
        <row r="16">
          <cell r="C16" t="str">
            <v>Total Wireline</v>
          </cell>
          <cell r="U16">
            <v>757492</v>
          </cell>
          <cell r="V16">
            <v>764219</v>
          </cell>
          <cell r="W16">
            <v>766058</v>
          </cell>
          <cell r="X16">
            <v>768871</v>
          </cell>
          <cell r="Y16">
            <v>744441</v>
          </cell>
          <cell r="Z16">
            <v>752763</v>
          </cell>
          <cell r="AA16">
            <v>752160</v>
          </cell>
          <cell r="AB16">
            <v>827608</v>
          </cell>
        </row>
        <row r="18">
          <cell r="B18" t="str">
            <v>Wireline Costs</v>
          </cell>
        </row>
        <row r="19">
          <cell r="C19" t="str">
            <v>Cost of services</v>
          </cell>
          <cell r="I19">
            <v>955050</v>
          </cell>
          <cell r="J19">
            <v>947724.30005317088</v>
          </cell>
          <cell r="K19">
            <v>938693.49664625665</v>
          </cell>
          <cell r="L19">
            <v>927296.67408944131</v>
          </cell>
          <cell r="M19">
            <v>919321.60962369374</v>
          </cell>
          <cell r="N19">
            <v>913804.38450253883</v>
          </cell>
          <cell r="O19">
            <v>911954.16989041539</v>
          </cell>
          <cell r="U19">
            <v>237363</v>
          </cell>
          <cell r="V19">
            <v>242628</v>
          </cell>
          <cell r="W19">
            <v>234591</v>
          </cell>
          <cell r="X19">
            <v>220656</v>
          </cell>
          <cell r="Y19">
            <v>229156</v>
          </cell>
          <cell r="Z19">
            <v>228309</v>
          </cell>
          <cell r="AA19">
            <v>253021</v>
          </cell>
          <cell r="AB19">
            <v>244564</v>
          </cell>
          <cell r="AC19">
            <v>246900</v>
          </cell>
          <cell r="AD19">
            <v>239832.56049842489</v>
          </cell>
          <cell r="AE19">
            <v>228774.81844644915</v>
          </cell>
          <cell r="AF19">
            <v>232216.92110829687</v>
          </cell>
        </row>
        <row r="20">
          <cell r="C20" t="str">
            <v xml:space="preserve">  % of revenue</v>
          </cell>
          <cell r="I20">
            <v>0.31525233059952901</v>
          </cell>
          <cell r="J20">
            <v>0.31728863565251797</v>
          </cell>
          <cell r="K20">
            <v>0.31728863565251797</v>
          </cell>
          <cell r="L20">
            <v>0.31728863565251797</v>
          </cell>
          <cell r="M20">
            <v>0.31728863565251797</v>
          </cell>
          <cell r="N20">
            <v>0.31728863565251797</v>
          </cell>
          <cell r="O20">
            <v>0.31728863565251797</v>
          </cell>
          <cell r="U20">
            <v>0.31335380439661409</v>
          </cell>
          <cell r="V20">
            <v>0.31748490943041197</v>
          </cell>
          <cell r="W20">
            <v>0.30623138195802407</v>
          </cell>
          <cell r="X20">
            <v>0.2869870238310458</v>
          </cell>
          <cell r="Y20">
            <v>0.30807121414388289</v>
          </cell>
          <cell r="Z20">
            <v>0.30329466246348452</v>
          </cell>
          <cell r="AA20">
            <v>0.33639252286747501</v>
          </cell>
          <cell r="AB20">
            <v>0.31325683925227421</v>
          </cell>
          <cell r="AC20">
            <v>0.32902452025586354</v>
          </cell>
          <cell r="AD20">
            <v>0.32</v>
          </cell>
          <cell r="AE20">
            <v>0.31</v>
          </cell>
          <cell r="AF20">
            <v>0.31</v>
          </cell>
        </row>
        <row r="21">
          <cell r="C21" t="str">
            <v>Cost of products sold</v>
          </cell>
          <cell r="I21">
            <v>37773</v>
          </cell>
          <cell r="J21">
            <v>41048.263577700229</v>
          </cell>
          <cell r="K21">
            <v>40657.117335544557</v>
          </cell>
          <cell r="L21">
            <v>40163.493001722803</v>
          </cell>
          <cell r="M21">
            <v>39818.073402140108</v>
          </cell>
          <cell r="N21">
            <v>39579.108852029945</v>
          </cell>
          <cell r="O21">
            <v>39498.971519823208</v>
          </cell>
          <cell r="U21">
            <v>6290</v>
          </cell>
          <cell r="V21">
            <v>9000</v>
          </cell>
          <cell r="W21">
            <v>9516</v>
          </cell>
          <cell r="X21">
            <v>6899</v>
          </cell>
          <cell r="Y21">
            <v>8111</v>
          </cell>
          <cell r="Z21">
            <v>8338</v>
          </cell>
          <cell r="AA21">
            <v>8589</v>
          </cell>
          <cell r="AB21">
            <v>12735</v>
          </cell>
          <cell r="AC21">
            <v>12200</v>
          </cell>
          <cell r="AD21">
            <v>12184.989830760192</v>
          </cell>
          <cell r="AE21">
            <v>8269.4267577585797</v>
          </cell>
          <cell r="AF21">
            <v>8393.8469891814639</v>
          </cell>
        </row>
        <row r="22">
          <cell r="C22" t="str">
            <v xml:space="preserve">  % of revenue</v>
          </cell>
          <cell r="I22">
            <v>1.2468484669636156E-2</v>
          </cell>
          <cell r="J22">
            <v>1.3742548909786051E-2</v>
          </cell>
          <cell r="K22">
            <v>1.3742548909786051E-2</v>
          </cell>
          <cell r="L22">
            <v>1.3742548909786051E-2</v>
          </cell>
          <cell r="M22">
            <v>1.3742548909786051E-2</v>
          </cell>
          <cell r="N22">
            <v>1.3742548909786051E-2</v>
          </cell>
          <cell r="O22">
            <v>1.3742548909786051E-2</v>
          </cell>
          <cell r="U22">
            <v>8.303718059068611E-3</v>
          </cell>
          <cell r="V22">
            <v>1.1776728921945149E-2</v>
          </cell>
          <cell r="W22">
            <v>1.2422035929394381E-2</v>
          </cell>
          <cell r="X22">
            <v>8.9728966237509287E-3</v>
          </cell>
          <cell r="Y22">
            <v>1.0904212056071123E-2</v>
          </cell>
          <cell r="Z22">
            <v>1.1076527406368273E-2</v>
          </cell>
          <cell r="AA22">
            <v>1.1419112954690492E-2</v>
          </cell>
          <cell r="AB22">
            <v>1.6311991331012382E-2</v>
          </cell>
          <cell r="AC22">
            <v>1.6257995735607676E-2</v>
          </cell>
          <cell r="AD22">
            <v>1.6257995735607676E-2</v>
          </cell>
          <cell r="AE22">
            <v>1.1205439096459038E-2</v>
          </cell>
          <cell r="AF22">
            <v>1.1205439096459038E-2</v>
          </cell>
        </row>
        <row r="23">
          <cell r="C23" t="str">
            <v>SG&amp;A</v>
          </cell>
          <cell r="I23">
            <v>389696</v>
          </cell>
          <cell r="J23">
            <v>359143.60192379117</v>
          </cell>
          <cell r="K23">
            <v>355721.34582711529</v>
          </cell>
          <cell r="L23">
            <v>351402.4780896189</v>
          </cell>
          <cell r="M23">
            <v>348380.29813956138</v>
          </cell>
          <cell r="N23">
            <v>346289.52543010906</v>
          </cell>
          <cell r="O23">
            <v>345588.37981202919</v>
          </cell>
          <cell r="U23">
            <v>116694</v>
          </cell>
          <cell r="V23">
            <v>107304</v>
          </cell>
          <cell r="W23">
            <v>108859</v>
          </cell>
          <cell r="X23">
            <v>108928</v>
          </cell>
          <cell r="Y23">
            <v>101155</v>
          </cell>
          <cell r="Z23">
            <v>107864</v>
          </cell>
          <cell r="AA23">
            <v>85936</v>
          </cell>
          <cell r="AB23">
            <v>94741</v>
          </cell>
          <cell r="AC23">
            <v>89600</v>
          </cell>
          <cell r="AD23">
            <v>97431.977702485106</v>
          </cell>
          <cell r="AE23">
            <v>87082.027666712893</v>
          </cell>
          <cell r="AF23">
            <v>85029.596554593183</v>
          </cell>
        </row>
        <row r="24">
          <cell r="C24" t="str">
            <v xml:space="preserve">  % of revenue</v>
          </cell>
          <cell r="I24">
            <v>0.12863470208398939</v>
          </cell>
          <cell r="J24">
            <v>0.12023769302036212</v>
          </cell>
          <cell r="K24">
            <v>0.12023769302036212</v>
          </cell>
          <cell r="L24">
            <v>0.12023769302036212</v>
          </cell>
          <cell r="M24">
            <v>0.12023769302036212</v>
          </cell>
          <cell r="N24">
            <v>0.12023769302036212</v>
          </cell>
          <cell r="O24">
            <v>0.12023769302036212</v>
          </cell>
          <cell r="U24">
            <v>0.15405311211207512</v>
          </cell>
          <cell r="V24">
            <v>0.14041001336004469</v>
          </cell>
          <cell r="W24">
            <v>0.14210281728015373</v>
          </cell>
          <cell r="X24">
            <v>0.14167266030322381</v>
          </cell>
          <cell r="Y24">
            <v>0.13599008390233935</v>
          </cell>
          <cell r="Z24">
            <v>0.14329078342054538</v>
          </cell>
          <cell r="AA24">
            <v>0.11425228674750053</v>
          </cell>
          <cell r="AB24">
            <v>0.12135173699972077</v>
          </cell>
          <cell r="AC24">
            <v>0.11940298507462686</v>
          </cell>
          <cell r="AD24">
            <v>0.13</v>
          </cell>
          <cell r="AE24">
            <v>0.11799999999999999</v>
          </cell>
          <cell r="AF24">
            <v>0.113511</v>
          </cell>
        </row>
        <row r="25">
          <cell r="C25" t="str">
            <v>Total cash expenses</v>
          </cell>
          <cell r="I25">
            <v>1382519</v>
          </cell>
          <cell r="J25">
            <v>1347916.1655546622</v>
          </cell>
          <cell r="K25">
            <v>1335071.9598089166</v>
          </cell>
          <cell r="L25">
            <v>1318862.645180783</v>
          </cell>
          <cell r="M25">
            <v>1307519.9811653951</v>
          </cell>
          <cell r="N25">
            <v>1299673.0187846778</v>
          </cell>
          <cell r="O25">
            <v>1297041.5212222678</v>
          </cell>
          <cell r="U25">
            <v>360347</v>
          </cell>
          <cell r="V25">
            <v>358932</v>
          </cell>
          <cell r="W25">
            <v>352966</v>
          </cell>
          <cell r="X25">
            <v>336483</v>
          </cell>
          <cell r="Y25">
            <v>338422</v>
          </cell>
          <cell r="Z25">
            <v>344511</v>
          </cell>
          <cell r="AA25">
            <v>347546</v>
          </cell>
          <cell r="AB25">
            <v>352040</v>
          </cell>
          <cell r="AC25">
            <v>348700</v>
          </cell>
          <cell r="AD25">
            <v>349449.5280316702</v>
          </cell>
          <cell r="AE25">
            <v>324126.2728709206</v>
          </cell>
          <cell r="AF25">
            <v>325640.3646520715</v>
          </cell>
        </row>
        <row r="26">
          <cell r="C26" t="str">
            <v>EBITDA</v>
          </cell>
          <cell r="I26">
            <v>1646959</v>
          </cell>
          <cell r="J26">
            <v>1639030.7135988707</v>
          </cell>
          <cell r="K26">
            <v>1623412.4962000179</v>
          </cell>
          <cell r="L26">
            <v>1603702.3946367165</v>
          </cell>
          <cell r="M26">
            <v>1589910.0126100471</v>
          </cell>
          <cell r="N26">
            <v>1580368.3121103293</v>
          </cell>
          <cell r="O26">
            <v>1577168.4800749477</v>
          </cell>
          <cell r="U26">
            <v>397145</v>
          </cell>
          <cell r="V26">
            <v>405287</v>
          </cell>
          <cell r="W26">
            <v>413092</v>
          </cell>
          <cell r="X26">
            <v>432388</v>
          </cell>
          <cell r="Y26">
            <v>405419</v>
          </cell>
          <cell r="Z26">
            <v>408252</v>
          </cell>
          <cell r="AA26">
            <v>404614</v>
          </cell>
          <cell r="AB26">
            <v>428674</v>
          </cell>
          <cell r="AC26">
            <v>401700</v>
          </cell>
          <cell r="AD26">
            <v>400027.22352590755</v>
          </cell>
          <cell r="AE26">
            <v>413857.01244020567</v>
          </cell>
          <cell r="AF26">
            <v>423446.47763275716</v>
          </cell>
        </row>
        <row r="27">
          <cell r="C27" t="str">
            <v xml:space="preserve"> % margin</v>
          </cell>
          <cell r="I27">
            <v>0.5436444826468454</v>
          </cell>
          <cell r="J27">
            <v>0.54873112241733391</v>
          </cell>
          <cell r="K27">
            <v>0.54873112241733379</v>
          </cell>
          <cell r="L27">
            <v>0.54873112241733379</v>
          </cell>
          <cell r="M27">
            <v>0.54873112241733391</v>
          </cell>
          <cell r="N27">
            <v>0.54873112241733391</v>
          </cell>
          <cell r="O27">
            <v>0.54873112241733391</v>
          </cell>
          <cell r="U27">
            <v>0.52428936543224214</v>
          </cell>
          <cell r="V27">
            <v>0.53032834828759823</v>
          </cell>
          <cell r="W27">
            <v>0.53924376483242786</v>
          </cell>
          <cell r="X27">
            <v>0.56236741924197953</v>
          </cell>
          <cell r="Y27">
            <v>0.54503448989770664</v>
          </cell>
          <cell r="Z27">
            <v>0.54233802670960185</v>
          </cell>
          <cell r="AA27">
            <v>0.537936077430334</v>
          </cell>
          <cell r="AB27">
            <v>0.54907943241699264</v>
          </cell>
          <cell r="AC27">
            <v>0.53531449893390193</v>
          </cell>
          <cell r="AD27">
            <v>0.53374200426439233</v>
          </cell>
          <cell r="AE27">
            <v>0.56079456090354096</v>
          </cell>
          <cell r="AF27">
            <v>0.56528356090354104</v>
          </cell>
        </row>
        <row r="28">
          <cell r="C28" t="str">
            <v>D&amp;A</v>
          </cell>
          <cell r="I28">
            <v>506834</v>
          </cell>
          <cell r="J28">
            <v>506286.68805132317</v>
          </cell>
          <cell r="K28">
            <v>227470</v>
          </cell>
          <cell r="L28">
            <v>247388</v>
          </cell>
          <cell r="M28">
            <v>319056</v>
          </cell>
          <cell r="N28">
            <v>389850</v>
          </cell>
          <cell r="O28">
            <v>596896</v>
          </cell>
          <cell r="U28">
            <v>149808</v>
          </cell>
          <cell r="V28">
            <v>148881</v>
          </cell>
          <cell r="W28">
            <v>144781</v>
          </cell>
          <cell r="X28">
            <v>133917</v>
          </cell>
          <cell r="Y28">
            <v>128469</v>
          </cell>
          <cell r="Z28">
            <v>125761</v>
          </cell>
          <cell r="AA28">
            <v>129733</v>
          </cell>
          <cell r="AB28">
            <v>122871</v>
          </cell>
          <cell r="AC28">
            <v>124500</v>
          </cell>
          <cell r="AD28">
            <v>126696.47153167603</v>
          </cell>
          <cell r="AE28">
            <v>132487.16920609464</v>
          </cell>
          <cell r="AF28">
            <v>122603.04731355252</v>
          </cell>
        </row>
        <row r="29">
          <cell r="C29" t="str">
            <v>EBIT</v>
          </cell>
          <cell r="I29">
            <v>1140125</v>
          </cell>
          <cell r="J29">
            <v>1132744.0255475475</v>
          </cell>
          <cell r="K29">
            <v>1395942.4962000179</v>
          </cell>
          <cell r="L29">
            <v>1356314.3946367165</v>
          </cell>
          <cell r="M29">
            <v>1270854.0126100471</v>
          </cell>
          <cell r="N29">
            <v>1190518.3121103293</v>
          </cell>
          <cell r="O29">
            <v>980272.4800749477</v>
          </cell>
          <cell r="U29">
            <v>247337</v>
          </cell>
          <cell r="V29">
            <v>256406</v>
          </cell>
          <cell r="W29">
            <v>268311</v>
          </cell>
          <cell r="X29">
            <v>298471</v>
          </cell>
          <cell r="Y29">
            <v>276950</v>
          </cell>
          <cell r="Z29">
            <v>282491</v>
          </cell>
          <cell r="AA29">
            <v>274881</v>
          </cell>
          <cell r="AB29">
            <v>305803</v>
          </cell>
          <cell r="AC29">
            <v>277200</v>
          </cell>
          <cell r="AD29">
            <v>273330.75199423154</v>
          </cell>
          <cell r="AE29">
            <v>281369.84323411103</v>
          </cell>
          <cell r="AF29">
            <v>300843.43031920464</v>
          </cell>
        </row>
        <row r="30">
          <cell r="C30" t="str">
            <v xml:space="preserve"> % margin</v>
          </cell>
          <cell r="I30">
            <v>0.37634371333939376</v>
          </cell>
          <cell r="J30">
            <v>0.3792313929160181</v>
          </cell>
          <cell r="K30">
            <v>0.47184378250314601</v>
          </cell>
          <cell r="L30">
            <v>0.46408356226741559</v>
          </cell>
          <cell r="M30">
            <v>0.4386142254826611</v>
          </cell>
          <cell r="N30">
            <v>0.41336848167396317</v>
          </cell>
          <cell r="O30">
            <v>0.34105805756452101</v>
          </cell>
        </row>
        <row r="32">
          <cell r="A32" t="str">
            <v>Other Segment</v>
          </cell>
        </row>
        <row r="34">
          <cell r="B34" t="str">
            <v>Other Revenue</v>
          </cell>
        </row>
        <row r="35">
          <cell r="C35" t="str">
            <v>Product distribution</v>
          </cell>
          <cell r="H35">
            <v>302646</v>
          </cell>
          <cell r="I35">
            <v>334081</v>
          </cell>
          <cell r="J35">
            <v>348560.07399999996</v>
          </cell>
          <cell r="K35">
            <v>364712.35143911629</v>
          </cell>
          <cell r="L35">
            <v>380883.70087916852</v>
          </cell>
          <cell r="M35">
            <v>398914.73922351311</v>
          </cell>
          <cell r="N35">
            <v>418996.11132749275</v>
          </cell>
          <cell r="O35">
            <v>441345.3682451474</v>
          </cell>
          <cell r="U35">
            <v>70090</v>
          </cell>
          <cell r="V35">
            <v>81233</v>
          </cell>
          <cell r="W35">
            <v>70090</v>
          </cell>
          <cell r="X35">
            <v>81233</v>
          </cell>
          <cell r="Y35">
            <v>69063</v>
          </cell>
          <cell r="Z35">
            <v>83004</v>
          </cell>
          <cell r="AA35">
            <v>81040</v>
          </cell>
          <cell r="AB35">
            <v>100974</v>
          </cell>
          <cell r="AC35">
            <v>83200</v>
          </cell>
          <cell r="AD35">
            <v>81343.92</v>
          </cell>
          <cell r="AE35">
            <v>81931.439999999988</v>
          </cell>
          <cell r="AF35">
            <v>102084.71399999999</v>
          </cell>
          <cell r="AG35">
            <v>348560.07399999996</v>
          </cell>
        </row>
        <row r="36">
          <cell r="C36" t="str">
            <v xml:space="preserve">  % y/y growth</v>
          </cell>
          <cell r="I36">
            <v>0.10386722441400176</v>
          </cell>
          <cell r="J36">
            <v>4.3340010356769598E-2</v>
          </cell>
          <cell r="K36">
            <v>4.6340010356769601E-2</v>
          </cell>
          <cell r="L36">
            <v>4.4340010356769599E-2</v>
          </cell>
          <cell r="M36">
            <v>4.7340010356769602E-2</v>
          </cell>
          <cell r="N36">
            <v>5.0340010356769604E-2</v>
          </cell>
          <cell r="O36">
            <v>5.3340010356769607E-2</v>
          </cell>
          <cell r="Y36">
            <v>-1.465258952775006E-2</v>
          </cell>
          <cell r="Z36">
            <v>2.1801484618320099E-2</v>
          </cell>
          <cell r="AA36">
            <v>0.15622770723355694</v>
          </cell>
          <cell r="AB36">
            <v>0.24301700048010044</v>
          </cell>
          <cell r="AC36">
            <v>0.20469716056354348</v>
          </cell>
          <cell r="AD36">
            <v>-0.02</v>
          </cell>
          <cell r="AE36">
            <v>1.0999999999999999E-2</v>
          </cell>
          <cell r="AF36">
            <v>1.0999999999999999E-2</v>
          </cell>
        </row>
        <row r="37">
          <cell r="C37" t="str">
            <v>Directory publishing</v>
          </cell>
          <cell r="H37">
            <v>161287</v>
          </cell>
          <cell r="I37">
            <v>154278</v>
          </cell>
          <cell r="J37">
            <v>147039.17972223426</v>
          </cell>
          <cell r="K37">
            <v>140581.12695974193</v>
          </cell>
          <cell r="L37">
            <v>134125.55366087725</v>
          </cell>
          <cell r="M37">
            <v>128368.80098754635</v>
          </cell>
          <cell r="N37">
            <v>123244.23814339598</v>
          </cell>
          <cell r="O37">
            <v>118693.98376838893</v>
          </cell>
          <cell r="U37">
            <v>26326</v>
          </cell>
          <cell r="V37">
            <v>47296</v>
          </cell>
          <cell r="W37">
            <v>38443</v>
          </cell>
          <cell r="X37">
            <v>49222</v>
          </cell>
          <cell r="Y37">
            <v>26478</v>
          </cell>
          <cell r="Z37">
            <v>48677</v>
          </cell>
          <cell r="AA37">
            <v>32299</v>
          </cell>
          <cell r="AB37">
            <v>46824</v>
          </cell>
          <cell r="AC37">
            <v>22100</v>
          </cell>
          <cell r="AD37">
            <v>47587.358774172128</v>
          </cell>
          <cell r="AE37">
            <v>31575.982518375939</v>
          </cell>
          <cell r="AF37">
            <v>45775.838429686206</v>
          </cell>
          <cell r="AG37">
            <v>147039.17972223426</v>
          </cell>
        </row>
        <row r="38">
          <cell r="C38" t="str">
            <v xml:space="preserve">  % y/y growth</v>
          </cell>
          <cell r="I38">
            <v>-4.3456695207921281E-2</v>
          </cell>
          <cell r="J38">
            <v>-4.6920625609391808E-2</v>
          </cell>
          <cell r="K38">
            <v>-4.3920625609391806E-2</v>
          </cell>
          <cell r="L38">
            <v>-4.5920625609391807E-2</v>
          </cell>
          <cell r="M38">
            <v>-4.2920625609391805E-2</v>
          </cell>
          <cell r="N38">
            <v>-3.9920625609391802E-2</v>
          </cell>
          <cell r="O38">
            <v>-3.6920625609391799E-2</v>
          </cell>
          <cell r="Y38">
            <v>5.773759781204868E-3</v>
          </cell>
          <cell r="Z38">
            <v>2.9199086603518332E-2</v>
          </cell>
          <cell r="AA38">
            <v>-0.15982103373826184</v>
          </cell>
          <cell r="AB38">
            <v>-4.8718052903173326E-2</v>
          </cell>
          <cell r="AC38">
            <v>-0.16534481456303352</v>
          </cell>
          <cell r="AD38">
            <v>-2.2385135193785034E-2</v>
          </cell>
          <cell r="AE38">
            <v>-2.2385135193785034E-2</v>
          </cell>
          <cell r="AF38">
            <v>-2.2385135193785034E-2</v>
          </cell>
          <cell r="AG38">
            <v>154131</v>
          </cell>
        </row>
        <row r="39">
          <cell r="C39" t="str">
            <v>Total Other</v>
          </cell>
          <cell r="H39">
            <v>463933</v>
          </cell>
          <cell r="I39">
            <v>488359</v>
          </cell>
          <cell r="J39">
            <v>495599.25372223422</v>
          </cell>
          <cell r="K39">
            <v>505293.47839885822</v>
          </cell>
          <cell r="L39">
            <v>515009.25454004575</v>
          </cell>
          <cell r="M39">
            <v>527283.5402110595</v>
          </cell>
          <cell r="N39">
            <v>542240.34947088873</v>
          </cell>
          <cell r="O39">
            <v>560039.35201353638</v>
          </cell>
          <cell r="U39">
            <v>96416</v>
          </cell>
          <cell r="V39">
            <v>128529</v>
          </cell>
          <cell r="W39">
            <v>108533</v>
          </cell>
          <cell r="X39">
            <v>130455</v>
          </cell>
          <cell r="Y39">
            <v>95541</v>
          </cell>
          <cell r="Z39">
            <v>131681</v>
          </cell>
          <cell r="AA39">
            <v>113339</v>
          </cell>
          <cell r="AB39">
            <v>147798</v>
          </cell>
          <cell r="AC39">
            <v>105300</v>
          </cell>
          <cell r="AD39">
            <v>128931.27877417213</v>
          </cell>
          <cell r="AE39">
            <v>113507.42251837593</v>
          </cell>
          <cell r="AF39">
            <v>147860.55242968618</v>
          </cell>
        </row>
        <row r="40">
          <cell r="C40" t="str">
            <v xml:space="preserve">  % y/y growth</v>
          </cell>
          <cell r="I40">
            <v>5.2649843835208987E-2</v>
          </cell>
          <cell r="J40">
            <v>1.482567890063291E-2</v>
          </cell>
          <cell r="K40">
            <v>1.9560611933562955E-2</v>
          </cell>
          <cell r="L40">
            <v>1.9227986420830678E-2</v>
          </cell>
          <cell r="M40">
            <v>2.3833136128739829E-2</v>
          </cell>
          <cell r="N40">
            <v>2.8365780683846875E-2</v>
          </cell>
          <cell r="O40">
            <v>3.282493189600455E-2</v>
          </cell>
          <cell r="Y40">
            <v>-9.0752572187189351E-3</v>
          </cell>
          <cell r="Z40">
            <v>2.452364835951415E-2</v>
          </cell>
          <cell r="AA40">
            <v>4.428146278090539E-2</v>
          </cell>
          <cell r="AB40">
            <v>0.13294239392894092</v>
          </cell>
          <cell r="AC40">
            <v>0.10214462900744192</v>
          </cell>
          <cell r="AD40">
            <v>-2.0881685481032752E-2</v>
          </cell>
          <cell r="AE40">
            <v>1.4860067441562208E-3</v>
          </cell>
          <cell r="AF40">
            <v>4.232292026020712E-4</v>
          </cell>
        </row>
        <row r="42">
          <cell r="C42" t="str">
            <v>Service revenue</v>
          </cell>
          <cell r="U42">
            <v>0</v>
          </cell>
          <cell r="V42">
            <v>0</v>
          </cell>
          <cell r="W42">
            <v>0</v>
          </cell>
          <cell r="X42">
            <v>0</v>
          </cell>
          <cell r="Y42">
            <v>0</v>
          </cell>
          <cell r="Z42">
            <v>0</v>
          </cell>
          <cell r="AA42">
            <v>0</v>
          </cell>
          <cell r="AB42">
            <v>0</v>
          </cell>
          <cell r="AC42">
            <v>0</v>
          </cell>
          <cell r="AD42">
            <v>0</v>
          </cell>
          <cell r="AE42">
            <v>0</v>
          </cell>
          <cell r="AF42">
            <v>0</v>
          </cell>
        </row>
        <row r="43">
          <cell r="C43" t="str">
            <v>Product sales</v>
          </cell>
          <cell r="U43">
            <v>96416</v>
          </cell>
          <cell r="V43">
            <v>128529</v>
          </cell>
          <cell r="W43">
            <v>108533</v>
          </cell>
          <cell r="X43">
            <v>130455</v>
          </cell>
          <cell r="Y43">
            <v>95541</v>
          </cell>
          <cell r="Z43">
            <v>131681</v>
          </cell>
          <cell r="AA43">
            <v>113339</v>
          </cell>
          <cell r="AB43">
            <v>147798</v>
          </cell>
          <cell r="AC43">
            <v>105300</v>
          </cell>
          <cell r="AD43">
            <v>128931.27877417213</v>
          </cell>
          <cell r="AE43">
            <v>113507.42251837593</v>
          </cell>
          <cell r="AF43">
            <v>147860.55242968618</v>
          </cell>
        </row>
        <row r="44">
          <cell r="C44" t="str">
            <v>Total Other</v>
          </cell>
          <cell r="U44">
            <v>96416</v>
          </cell>
          <cell r="V44">
            <v>128529</v>
          </cell>
          <cell r="W44">
            <v>108533</v>
          </cell>
          <cell r="X44">
            <v>130455</v>
          </cell>
          <cell r="Y44">
            <v>95541</v>
          </cell>
          <cell r="Z44">
            <v>131681</v>
          </cell>
          <cell r="AA44">
            <v>113339</v>
          </cell>
          <cell r="AB44">
            <v>147798</v>
          </cell>
          <cell r="AC44">
            <v>105300</v>
          </cell>
          <cell r="AD44">
            <v>128931.27877417213</v>
          </cell>
          <cell r="AE44">
            <v>113507.42251837593</v>
          </cell>
          <cell r="AF44">
            <v>147860.55242968618</v>
          </cell>
        </row>
        <row r="46">
          <cell r="B46" t="str">
            <v>Other Costs</v>
          </cell>
        </row>
        <row r="47">
          <cell r="C47" t="str">
            <v>Cost of services</v>
          </cell>
          <cell r="U47">
            <v>0</v>
          </cell>
          <cell r="V47">
            <v>0</v>
          </cell>
          <cell r="W47">
            <v>0</v>
          </cell>
          <cell r="X47">
            <v>0</v>
          </cell>
          <cell r="Y47">
            <v>0</v>
          </cell>
          <cell r="Z47">
            <v>0</v>
          </cell>
          <cell r="AA47">
            <v>812</v>
          </cell>
          <cell r="AB47">
            <v>178</v>
          </cell>
          <cell r="AC47">
            <v>0</v>
          </cell>
          <cell r="AD47">
            <v>0</v>
          </cell>
          <cell r="AE47">
            <v>0</v>
          </cell>
          <cell r="AF47">
            <v>0</v>
          </cell>
        </row>
        <row r="48">
          <cell r="C48" t="str">
            <v>Cost of products sold</v>
          </cell>
          <cell r="I48">
            <v>422731</v>
          </cell>
          <cell r="J48">
            <v>431662.06865388469</v>
          </cell>
          <cell r="K48">
            <v>439448.76134334382</v>
          </cell>
          <cell r="L48">
            <v>447228.96412820247</v>
          </cell>
          <cell r="M48">
            <v>457202.36430871085</v>
          </cell>
          <cell r="N48">
            <v>469466.35384851584</v>
          </cell>
          <cell r="O48">
            <v>484148.50378344138</v>
          </cell>
          <cell r="U48">
            <v>85762</v>
          </cell>
          <cell r="V48">
            <v>111531</v>
          </cell>
          <cell r="W48">
            <v>95278</v>
          </cell>
          <cell r="X48">
            <v>111492</v>
          </cell>
          <cell r="Y48">
            <v>83398</v>
          </cell>
          <cell r="Z48">
            <v>112949</v>
          </cell>
          <cell r="AA48">
            <v>98112</v>
          </cell>
          <cell r="AB48">
            <v>128272</v>
          </cell>
          <cell r="AC48">
            <v>94000</v>
          </cell>
          <cell r="AD48">
            <v>112170.21253352975</v>
          </cell>
          <cell r="AE48">
            <v>98183.920478395172</v>
          </cell>
          <cell r="AF48">
            <v>127307.9356419598</v>
          </cell>
          <cell r="AG48">
            <v>431662.06865388469</v>
          </cell>
        </row>
        <row r="49">
          <cell r="C49" t="str">
            <v xml:space="preserve">  % of revenue</v>
          </cell>
          <cell r="I49">
            <v>0.86561525435181907</v>
          </cell>
          <cell r="J49">
            <v>0.87099015063452045</v>
          </cell>
          <cell r="K49">
            <v>0.86969015063452049</v>
          </cell>
          <cell r="L49">
            <v>0.86839015063452052</v>
          </cell>
          <cell r="M49">
            <v>0.86709015063452055</v>
          </cell>
          <cell r="N49">
            <v>0.86579015063452058</v>
          </cell>
          <cell r="O49">
            <v>0.86449015063452062</v>
          </cell>
          <cell r="U49">
            <v>0.8894996681048789</v>
          </cell>
          <cell r="V49">
            <v>0.86774969073127461</v>
          </cell>
          <cell r="W49">
            <v>0.8778712465333125</v>
          </cell>
          <cell r="X49">
            <v>0.85463953087271471</v>
          </cell>
          <cell r="Y49">
            <v>0.87290273285814468</v>
          </cell>
          <cell r="Z49">
            <v>0.8577471313249444</v>
          </cell>
          <cell r="AA49">
            <v>0.86565083510530361</v>
          </cell>
          <cell r="AB49">
            <v>0.86788725151896506</v>
          </cell>
          <cell r="AC49">
            <v>0.89268755935422606</v>
          </cell>
          <cell r="AD49">
            <v>0.87</v>
          </cell>
          <cell r="AE49">
            <v>0.86499999999999999</v>
          </cell>
          <cell r="AF49">
            <v>0.86099999999999999</v>
          </cell>
        </row>
        <row r="50">
          <cell r="C50" t="str">
            <v>SG&amp;A</v>
          </cell>
          <cell r="I50">
            <v>43682</v>
          </cell>
          <cell r="J50">
            <v>48551.602247770323</v>
          </cell>
          <cell r="K50">
            <v>50006.594776490514</v>
          </cell>
          <cell r="L50">
            <v>51483.130156344901</v>
          </cell>
          <cell r="M50">
            <v>53237.418145905765</v>
          </cell>
          <cell r="N50">
            <v>55289.77942267766</v>
          </cell>
          <cell r="O50">
            <v>57664.702018785705</v>
          </cell>
          <cell r="U50">
            <v>8732</v>
          </cell>
          <cell r="V50">
            <v>11371</v>
          </cell>
          <cell r="W50">
            <v>9772</v>
          </cell>
          <cell r="X50">
            <v>10160</v>
          </cell>
          <cell r="Y50">
            <v>10208</v>
          </cell>
          <cell r="Z50">
            <v>8999</v>
          </cell>
          <cell r="AA50">
            <v>12620</v>
          </cell>
          <cell r="AB50">
            <v>11855</v>
          </cell>
          <cell r="AC50">
            <v>13600</v>
          </cell>
          <cell r="AD50">
            <v>11545.896462867211</v>
          </cell>
          <cell r="AE50">
            <v>10164.678118639917</v>
          </cell>
          <cell r="AF50">
            <v>13241.027666263193</v>
          </cell>
          <cell r="AG50">
            <v>48551.602247770323</v>
          </cell>
        </row>
        <row r="51">
          <cell r="C51" t="str">
            <v xml:space="preserve">  % of revenue</v>
          </cell>
          <cell r="I51">
            <v>8.9446493255985859E-2</v>
          </cell>
          <cell r="J51">
            <v>9.7965446644884921E-2</v>
          </cell>
          <cell r="K51">
            <v>9.8965446644884922E-2</v>
          </cell>
          <cell r="L51">
            <v>9.9965446644884923E-2</v>
          </cell>
          <cell r="M51">
            <v>0.10096544664488492</v>
          </cell>
          <cell r="N51">
            <v>0.10196544664488492</v>
          </cell>
          <cell r="O51">
            <v>0.10296544664488493</v>
          </cell>
          <cell r="U51">
            <v>9.0565881181546626E-2</v>
          </cell>
          <cell r="V51">
            <v>8.847030631219413E-2</v>
          </cell>
          <cell r="W51">
            <v>9.0037131563671879E-2</v>
          </cell>
          <cell r="X51">
            <v>7.7881261737763982E-2</v>
          </cell>
          <cell r="Y51">
            <v>0.10684418207889806</v>
          </cell>
          <cell r="Z51">
            <v>6.8339395964489943E-2</v>
          </cell>
          <cell r="AA51">
            <v>0.1113473738077802</v>
          </cell>
          <cell r="AB51">
            <v>8.021082829266972E-2</v>
          </cell>
          <cell r="AC51">
            <v>0.1291547958214625</v>
          </cell>
          <cell r="AD51">
            <v>8.9550779086665797E-2</v>
          </cell>
          <cell r="AE51">
            <v>8.9550779086665797E-2</v>
          </cell>
          <cell r="AF51">
            <v>8.9550779086665797E-2</v>
          </cell>
        </row>
        <row r="52">
          <cell r="C52" t="str">
            <v>Total cash expenses</v>
          </cell>
          <cell r="I52">
            <v>466413</v>
          </cell>
          <cell r="J52">
            <v>480213.67090165499</v>
          </cell>
          <cell r="K52">
            <v>489455.35611983435</v>
          </cell>
          <cell r="L52">
            <v>498712.09428454738</v>
          </cell>
          <cell r="M52">
            <v>510439.78245461662</v>
          </cell>
          <cell r="N52">
            <v>524756.13327119348</v>
          </cell>
          <cell r="O52">
            <v>541813.20580222714</v>
          </cell>
          <cell r="U52">
            <v>94494</v>
          </cell>
          <cell r="V52">
            <v>122902</v>
          </cell>
          <cell r="W52">
            <v>105050</v>
          </cell>
          <cell r="X52">
            <v>121652</v>
          </cell>
          <cell r="Y52">
            <v>93606</v>
          </cell>
          <cell r="Z52">
            <v>121948</v>
          </cell>
          <cell r="AA52">
            <v>111544</v>
          </cell>
          <cell r="AB52">
            <v>140127</v>
          </cell>
          <cell r="AC52">
            <v>107600</v>
          </cell>
          <cell r="AD52">
            <v>123716.10899639696</v>
          </cell>
          <cell r="AE52">
            <v>108348.59859703509</v>
          </cell>
          <cell r="AF52">
            <v>140548.963308223</v>
          </cell>
        </row>
        <row r="53">
          <cell r="C53" t="str">
            <v>EBITDA</v>
          </cell>
          <cell r="I53">
            <v>21946</v>
          </cell>
          <cell r="J53">
            <v>15385.582820579235</v>
          </cell>
          <cell r="K53">
            <v>15838.122279023868</v>
          </cell>
          <cell r="L53">
            <v>16297.160255498369</v>
          </cell>
          <cell r="M53">
            <v>16843.757756442879</v>
          </cell>
          <cell r="N53">
            <v>17484.216199695249</v>
          </cell>
          <cell r="O53">
            <v>18226.146211309242</v>
          </cell>
          <cell r="U53">
            <v>1922</v>
          </cell>
          <cell r="V53">
            <v>5627</v>
          </cell>
          <cell r="W53">
            <v>3483</v>
          </cell>
          <cell r="X53">
            <v>8803</v>
          </cell>
          <cell r="Y53">
            <v>1935</v>
          </cell>
          <cell r="Z53">
            <v>9733</v>
          </cell>
          <cell r="AA53">
            <v>1795</v>
          </cell>
          <cell r="AB53">
            <v>7671</v>
          </cell>
          <cell r="AC53">
            <v>-2300</v>
          </cell>
          <cell r="AD53">
            <v>5215.1697777751688</v>
          </cell>
          <cell r="AE53">
            <v>5158.8239213408378</v>
          </cell>
          <cell r="AF53">
            <v>7311.5891214631847</v>
          </cell>
        </row>
        <row r="54">
          <cell r="C54" t="str">
            <v>% margin</v>
          </cell>
          <cell r="I54">
            <v>4.4938252392195087E-2</v>
          </cell>
          <cell r="J54">
            <v>3.1044402720594708E-2</v>
          </cell>
          <cell r="K54">
            <v>3.1344402720594577E-2</v>
          </cell>
          <cell r="L54">
            <v>3.1644402720594503E-2</v>
          </cell>
          <cell r="M54">
            <v>3.1944402720594518E-2</v>
          </cell>
          <cell r="N54">
            <v>3.224440272059452E-2</v>
          </cell>
          <cell r="O54">
            <v>3.2544402720594369E-2</v>
          </cell>
          <cell r="U54">
            <v>1.9934450713574511E-2</v>
          </cell>
          <cell r="V54">
            <v>4.3780002956531214E-2</v>
          </cell>
          <cell r="W54">
            <v>3.209162190301567E-2</v>
          </cell>
          <cell r="X54">
            <v>6.747920738952129E-2</v>
          </cell>
          <cell r="Y54">
            <v>2.0253085062957265E-2</v>
          </cell>
          <cell r="Z54">
            <v>7.3913472710565684E-2</v>
          </cell>
          <cell r="AA54">
            <v>1.583744342194655E-2</v>
          </cell>
          <cell r="AB54">
            <v>5.1901920188365203E-2</v>
          </cell>
          <cell r="AC54">
            <v>-2.184235517568851E-2</v>
          </cell>
          <cell r="AD54">
            <v>4.0449220913334229E-2</v>
          </cell>
          <cell r="AE54">
            <v>4.5449220913334247E-2</v>
          </cell>
          <cell r="AF54">
            <v>4.9449220913334188E-2</v>
          </cell>
        </row>
        <row r="55">
          <cell r="C55" t="str">
            <v>D&amp;A</v>
          </cell>
          <cell r="I55">
            <v>3557</v>
          </cell>
          <cell r="J55">
            <v>1113.3119486768137</v>
          </cell>
          <cell r="K55">
            <v>267030</v>
          </cell>
          <cell r="L55">
            <v>290412</v>
          </cell>
          <cell r="M55">
            <v>374544</v>
          </cell>
          <cell r="N55">
            <v>457650.00000000006</v>
          </cell>
          <cell r="O55">
            <v>700704</v>
          </cell>
          <cell r="U55">
            <v>1054</v>
          </cell>
          <cell r="V55">
            <v>1053</v>
          </cell>
          <cell r="W55">
            <v>923</v>
          </cell>
          <cell r="X55">
            <v>922</v>
          </cell>
          <cell r="Y55">
            <v>971</v>
          </cell>
          <cell r="Z55">
            <v>948</v>
          </cell>
          <cell r="AA55">
            <v>586</v>
          </cell>
          <cell r="AB55">
            <v>1052</v>
          </cell>
          <cell r="AC55">
            <v>500</v>
          </cell>
          <cell r="AD55">
            <v>203.52846832397401</v>
          </cell>
          <cell r="AE55">
            <v>212.83079390536921</v>
          </cell>
          <cell r="AF55">
            <v>196.95268644747051</v>
          </cell>
        </row>
        <row r="56">
          <cell r="C56" t="str">
            <v>EBIT</v>
          </cell>
          <cell r="I56">
            <v>18389</v>
          </cell>
          <cell r="J56">
            <v>14272.270871902421</v>
          </cell>
          <cell r="K56">
            <v>-251191.87772097613</v>
          </cell>
          <cell r="L56">
            <v>-274114.83974450163</v>
          </cell>
          <cell r="M56">
            <v>-357700.24224355712</v>
          </cell>
          <cell r="N56">
            <v>-440165.78380030481</v>
          </cell>
          <cell r="O56">
            <v>-682477.85378869076</v>
          </cell>
          <cell r="U56">
            <v>868</v>
          </cell>
          <cell r="V56">
            <v>4574</v>
          </cell>
          <cell r="W56">
            <v>2560</v>
          </cell>
          <cell r="X56">
            <v>7881</v>
          </cell>
          <cell r="Y56">
            <v>964</v>
          </cell>
          <cell r="Z56">
            <v>8785</v>
          </cell>
          <cell r="AA56">
            <v>1209</v>
          </cell>
          <cell r="AB56">
            <v>6619</v>
          </cell>
          <cell r="AC56">
            <v>-2800</v>
          </cell>
          <cell r="AD56">
            <v>5011.6413094511945</v>
          </cell>
          <cell r="AE56">
            <v>4945.9931274354685</v>
          </cell>
          <cell r="AF56">
            <v>7114.6364350157146</v>
          </cell>
        </row>
        <row r="58">
          <cell r="A58" t="str">
            <v>Inter-company Eliminations</v>
          </cell>
        </row>
        <row r="60">
          <cell r="B60" t="str">
            <v>Revenue</v>
          </cell>
          <cell r="I60">
            <v>325510</v>
          </cell>
          <cell r="J60">
            <v>292213.17323884548</v>
          </cell>
          <cell r="K60">
            <v>311740.01409670134</v>
          </cell>
          <cell r="L60">
            <v>309381.68649217905</v>
          </cell>
          <cell r="M60">
            <v>308224.21805878513</v>
          </cell>
          <cell r="N60">
            <v>308005.35123293061</v>
          </cell>
          <cell r="O60">
            <v>309082.44179796765</v>
          </cell>
          <cell r="U60">
            <v>69691</v>
          </cell>
          <cell r="V60">
            <v>86156</v>
          </cell>
          <cell r="W60">
            <v>77628</v>
          </cell>
          <cell r="X60">
            <v>96496</v>
          </cell>
          <cell r="Y60">
            <v>65847</v>
          </cell>
          <cell r="Z60">
            <v>88026</v>
          </cell>
          <cell r="AA60">
            <v>70733</v>
          </cell>
          <cell r="AB60">
            <v>100904</v>
          </cell>
          <cell r="AC60">
            <v>71800</v>
          </cell>
          <cell r="AD60">
            <v>73705.383402851061</v>
          </cell>
          <cell r="AE60">
            <v>71446.807084443455</v>
          </cell>
          <cell r="AF60">
            <v>75260.982751550968</v>
          </cell>
        </row>
        <row r="61">
          <cell r="C61" t="str">
            <v>% total revenue</v>
          </cell>
          <cell r="I61">
            <v>9.2531291245160019E-2</v>
          </cell>
          <cell r="J61">
            <v>8.3907911651279657E-2</v>
          </cell>
          <cell r="K61">
            <v>0.09</v>
          </cell>
          <cell r="L61">
            <v>0.09</v>
          </cell>
          <cell r="M61">
            <v>0.09</v>
          </cell>
          <cell r="N61">
            <v>0.09</v>
          </cell>
          <cell r="O61">
            <v>0.09</v>
          </cell>
          <cell r="U61">
            <v>8.1614178576614807E-2</v>
          </cell>
          <cell r="V61">
            <v>9.6506516956632774E-2</v>
          </cell>
          <cell r="W61">
            <v>8.8759202873114409E-2</v>
          </cell>
          <cell r="X61">
            <v>0.10729813215674849</v>
          </cell>
          <cell r="Y61">
            <v>7.8447000293072763E-2</v>
          </cell>
          <cell r="Z61">
            <v>9.9526934435645448E-2</v>
          </cell>
          <cell r="AA61">
            <v>8.1725108867832311E-2</v>
          </cell>
          <cell r="AB61">
            <v>0.1086728012131238</v>
          </cell>
          <cell r="AC61">
            <v>8.3907911651279657E-2</v>
          </cell>
          <cell r="AD61">
            <v>8.3907911651279657E-2</v>
          </cell>
          <cell r="AE61">
            <v>8.3907911651279657E-2</v>
          </cell>
          <cell r="AF61">
            <v>8.3907911651279657E-2</v>
          </cell>
        </row>
        <row r="62">
          <cell r="B62" t="str">
            <v>Cost of services</v>
          </cell>
          <cell r="I62">
            <v>68182</v>
          </cell>
          <cell r="J62">
            <v>45375.017032746306</v>
          </cell>
          <cell r="K62">
            <v>48193.790480130701</v>
          </cell>
          <cell r="L62">
            <v>47829.202229292307</v>
          </cell>
          <cell r="M62">
            <v>47650.262123294087</v>
          </cell>
          <cell r="N62">
            <v>47616.426165536628</v>
          </cell>
          <cell r="O62">
            <v>47782.940166538174</v>
          </cell>
          <cell r="U62">
            <v>20798</v>
          </cell>
          <cell r="V62">
            <v>28173</v>
          </cell>
          <cell r="W62">
            <v>24234</v>
          </cell>
          <cell r="X62">
            <v>30441</v>
          </cell>
          <cell r="Y62">
            <v>21537</v>
          </cell>
          <cell r="Z62">
            <v>27006</v>
          </cell>
          <cell r="AA62">
            <v>12683</v>
          </cell>
          <cell r="AB62">
            <v>6956</v>
          </cell>
          <cell r="AC62">
            <v>11300</v>
          </cell>
          <cell r="AD62">
            <v>11394.564843616252</v>
          </cell>
          <cell r="AE62">
            <v>11045.397752608944</v>
          </cell>
          <cell r="AF62">
            <v>11635.05443652111</v>
          </cell>
        </row>
        <row r="63">
          <cell r="C63" t="str">
            <v xml:space="preserve">  % of revenue</v>
          </cell>
          <cell r="I63">
            <v>0.2094620748978526</v>
          </cell>
          <cell r="J63">
            <v>0.1552805321191261</v>
          </cell>
          <cell r="K63">
            <v>0.1545961002785515</v>
          </cell>
          <cell r="L63">
            <v>0.15459610027855153</v>
          </cell>
          <cell r="M63">
            <v>0.15459610027855156</v>
          </cell>
          <cell r="N63">
            <v>0.15459610027855153</v>
          </cell>
          <cell r="O63">
            <v>0.15459610027855153</v>
          </cell>
          <cell r="U63">
            <v>0.29843164827596103</v>
          </cell>
          <cell r="V63">
            <v>0.32699986071776777</v>
          </cell>
          <cell r="W63">
            <v>0.31218117174215487</v>
          </cell>
          <cell r="X63">
            <v>0.31546385342397615</v>
          </cell>
          <cell r="Y63">
            <v>0.32707640439199964</v>
          </cell>
          <cell r="Z63">
            <v>0.30679571944652717</v>
          </cell>
          <cell r="AA63">
            <v>0.17930810230019933</v>
          </cell>
          <cell r="AB63">
            <v>6.8936811226512323E-2</v>
          </cell>
          <cell r="AC63">
            <v>0.1573816155988858</v>
          </cell>
          <cell r="AD63">
            <v>0.15459610027855156</v>
          </cell>
          <cell r="AE63">
            <v>0.1545961002785515</v>
          </cell>
          <cell r="AF63">
            <v>0.15459610027855153</v>
          </cell>
        </row>
        <row r="64">
          <cell r="B64" t="str">
            <v>Cost of products sold</v>
          </cell>
          <cell r="I64">
            <v>257328</v>
          </cell>
          <cell r="J64">
            <v>247038.15620609917</v>
          </cell>
          <cell r="K64">
            <v>263546.22361657064</v>
          </cell>
          <cell r="L64">
            <v>261552.48426288675</v>
          </cell>
          <cell r="M64">
            <v>260573.95593549105</v>
          </cell>
          <cell r="N64">
            <v>260388.92506739398</v>
          </cell>
          <cell r="O64">
            <v>261299.50163142948</v>
          </cell>
          <cell r="U64">
            <v>48893</v>
          </cell>
          <cell r="V64">
            <v>57983</v>
          </cell>
          <cell r="W64">
            <v>53394</v>
          </cell>
          <cell r="X64">
            <v>66055</v>
          </cell>
          <cell r="Y64">
            <v>44310</v>
          </cell>
          <cell r="Z64">
            <v>61020</v>
          </cell>
          <cell r="AA64">
            <v>58050</v>
          </cell>
          <cell r="AB64">
            <v>93948</v>
          </cell>
          <cell r="AC64">
            <v>60700</v>
          </cell>
          <cell r="AD64">
            <v>62310.818559234809</v>
          </cell>
          <cell r="AE64">
            <v>60401.409331834511</v>
          </cell>
          <cell r="AF64">
            <v>63625.928315029858</v>
          </cell>
        </row>
        <row r="65">
          <cell r="C65" t="str">
            <v xml:space="preserve">  % of revenue</v>
          </cell>
          <cell r="I65">
            <v>0.79053792510214738</v>
          </cell>
          <cell r="J65">
            <v>0.84540389972144847</v>
          </cell>
          <cell r="K65">
            <v>0.84540389972144847</v>
          </cell>
          <cell r="L65">
            <v>0.84540389972144847</v>
          </cell>
          <cell r="M65">
            <v>0.84540389972144847</v>
          </cell>
          <cell r="N65">
            <v>0.84540389972144847</v>
          </cell>
          <cell r="O65">
            <v>0.84540389972144847</v>
          </cell>
          <cell r="U65">
            <v>0.70156835172403897</v>
          </cell>
          <cell r="V65">
            <v>0.67300013928223223</v>
          </cell>
          <cell r="W65">
            <v>0.68781882825784513</v>
          </cell>
          <cell r="X65">
            <v>0.68453614657602391</v>
          </cell>
          <cell r="Y65">
            <v>0.67292359560800041</v>
          </cell>
          <cell r="Z65">
            <v>0.69320428055347283</v>
          </cell>
          <cell r="AA65">
            <v>0.82069189769980067</v>
          </cell>
          <cell r="AB65">
            <v>0.9310631887734877</v>
          </cell>
          <cell r="AC65">
            <v>0.84540389972144847</v>
          </cell>
          <cell r="AD65">
            <v>0.84540389972144847</v>
          </cell>
          <cell r="AE65">
            <v>0.84540389972144847</v>
          </cell>
          <cell r="AF65">
            <v>0.84540389972144847</v>
          </cell>
        </row>
        <row r="66">
          <cell r="B66" t="str">
            <v>SG&amp;A</v>
          </cell>
          <cell r="I66">
            <v>0</v>
          </cell>
          <cell r="J66">
            <v>100</v>
          </cell>
          <cell r="K66">
            <v>0</v>
          </cell>
          <cell r="L66">
            <v>0</v>
          </cell>
          <cell r="M66">
            <v>0</v>
          </cell>
          <cell r="N66">
            <v>0</v>
          </cell>
          <cell r="O66">
            <v>0</v>
          </cell>
          <cell r="U66">
            <v>0</v>
          </cell>
          <cell r="V66">
            <v>0</v>
          </cell>
          <cell r="W66">
            <v>0</v>
          </cell>
          <cell r="X66">
            <v>0</v>
          </cell>
          <cell r="Y66">
            <v>0</v>
          </cell>
          <cell r="Z66">
            <v>0</v>
          </cell>
          <cell r="AA66">
            <v>0</v>
          </cell>
          <cell r="AB66">
            <v>0</v>
          </cell>
          <cell r="AC66">
            <v>100</v>
          </cell>
          <cell r="AD66">
            <v>0</v>
          </cell>
          <cell r="AE66">
            <v>0</v>
          </cell>
          <cell r="AF66">
            <v>0</v>
          </cell>
        </row>
        <row r="67">
          <cell r="B67" t="str">
            <v>Total cash expenses</v>
          </cell>
          <cell r="I67">
            <v>325510</v>
          </cell>
          <cell r="J67">
            <v>292513.17323884548</v>
          </cell>
          <cell r="K67">
            <v>311740.01409670134</v>
          </cell>
          <cell r="L67">
            <v>309381.68649217905</v>
          </cell>
          <cell r="M67">
            <v>308224.21805878513</v>
          </cell>
          <cell r="N67">
            <v>308005.35123293061</v>
          </cell>
          <cell r="O67">
            <v>309082.44179796765</v>
          </cell>
          <cell r="U67">
            <v>69691</v>
          </cell>
          <cell r="V67">
            <v>86156</v>
          </cell>
          <cell r="W67">
            <v>77628</v>
          </cell>
          <cell r="X67">
            <v>96496</v>
          </cell>
          <cell r="Y67">
            <v>65847</v>
          </cell>
          <cell r="Z67">
            <v>88026</v>
          </cell>
          <cell r="AA67">
            <v>70733</v>
          </cell>
          <cell r="AB67">
            <v>100904</v>
          </cell>
          <cell r="AC67">
            <v>72100</v>
          </cell>
          <cell r="AD67">
            <v>73705.383402851061</v>
          </cell>
          <cell r="AE67">
            <v>71446.807084443455</v>
          </cell>
          <cell r="AF67">
            <v>75260.982751550968</v>
          </cell>
        </row>
        <row r="68">
          <cell r="C68" t="str">
            <v xml:space="preserve">  % of revenue</v>
          </cell>
          <cell r="I68">
            <v>1</v>
          </cell>
          <cell r="J68">
            <v>1.0010266477608618</v>
          </cell>
          <cell r="K68">
            <v>1</v>
          </cell>
          <cell r="L68">
            <v>1</v>
          </cell>
          <cell r="M68">
            <v>1</v>
          </cell>
          <cell r="N68">
            <v>1</v>
          </cell>
          <cell r="O68">
            <v>1</v>
          </cell>
          <cell r="U68">
            <v>1</v>
          </cell>
          <cell r="V68">
            <v>1</v>
          </cell>
          <cell r="W68">
            <v>1</v>
          </cell>
          <cell r="X68">
            <v>1</v>
          </cell>
          <cell r="Y68">
            <v>1</v>
          </cell>
          <cell r="Z68">
            <v>1</v>
          </cell>
          <cell r="AA68">
            <v>1</v>
          </cell>
          <cell r="AB68">
            <v>1</v>
          </cell>
          <cell r="AC68">
            <v>1.0041782729805013</v>
          </cell>
          <cell r="AD68">
            <v>1</v>
          </cell>
          <cell r="AE68">
            <v>1</v>
          </cell>
          <cell r="AF68">
            <v>1</v>
          </cell>
        </row>
        <row r="69">
          <cell r="B69" t="str">
            <v>D&amp;A</v>
          </cell>
          <cell r="I69">
            <v>0</v>
          </cell>
          <cell r="J69">
            <v>0</v>
          </cell>
          <cell r="K69">
            <v>0</v>
          </cell>
          <cell r="L69">
            <v>0</v>
          </cell>
          <cell r="M69">
            <v>0</v>
          </cell>
          <cell r="N69">
            <v>0</v>
          </cell>
          <cell r="O69">
            <v>0</v>
          </cell>
          <cell r="U69">
            <v>0</v>
          </cell>
          <cell r="V69">
            <v>0</v>
          </cell>
          <cell r="W69">
            <v>0</v>
          </cell>
          <cell r="X69">
            <v>0</v>
          </cell>
          <cell r="Y69">
            <v>0</v>
          </cell>
          <cell r="Z69">
            <v>0</v>
          </cell>
          <cell r="AA69">
            <v>0</v>
          </cell>
          <cell r="AB69">
            <v>0</v>
          </cell>
          <cell r="AC69">
            <v>0</v>
          </cell>
          <cell r="AD69">
            <v>0</v>
          </cell>
          <cell r="AE69">
            <v>0</v>
          </cell>
          <cell r="AF69">
            <v>0</v>
          </cell>
        </row>
        <row r="72">
          <cell r="A72" t="str">
            <v>Wireline Revenue Breakdown</v>
          </cell>
        </row>
        <row r="74">
          <cell r="A74" t="str">
            <v xml:space="preserve">  Wireline: Local Service Revenue</v>
          </cell>
        </row>
        <row r="76">
          <cell r="C76" t="str">
            <v>Local service revenue</v>
          </cell>
          <cell r="H76">
            <v>1232448.851639475</v>
          </cell>
          <cell r="I76">
            <v>1172801</v>
          </cell>
          <cell r="J76">
            <v>1141496.2453494775</v>
          </cell>
          <cell r="K76">
            <v>1117774.3069656156</v>
          </cell>
          <cell r="L76">
            <v>1088300.6466836443</v>
          </cell>
          <cell r="M76">
            <v>1061824.4350359896</v>
          </cell>
          <cell r="N76">
            <v>1038158.6022916468</v>
          </cell>
          <cell r="O76">
            <v>1017138.2122397522</v>
          </cell>
          <cell r="U76">
            <v>311734</v>
          </cell>
          <cell r="V76">
            <v>310943</v>
          </cell>
          <cell r="W76">
            <v>306950.40494803718</v>
          </cell>
          <cell r="X76">
            <v>302821.4466914378</v>
          </cell>
          <cell r="Y76">
            <v>300019</v>
          </cell>
          <cell r="Z76">
            <v>294307</v>
          </cell>
          <cell r="AA76">
            <v>291821</v>
          </cell>
          <cell r="AB76">
            <v>286654</v>
          </cell>
          <cell r="AC76">
            <v>314200</v>
          </cell>
          <cell r="AD76">
            <v>280905.0418943534</v>
          </cell>
          <cell r="AE76">
            <v>275723.30501343979</v>
          </cell>
          <cell r="AF76">
            <v>270667.89844168408</v>
          </cell>
        </row>
        <row r="77">
          <cell r="C77" t="str">
            <v xml:space="preserve">  % y/y growth</v>
          </cell>
          <cell r="I77">
            <v>-4.8397831325923124E-2</v>
          </cell>
          <cell r="J77">
            <v>-2.6692298736548214E-2</v>
          </cell>
          <cell r="K77">
            <v>-2.0781442322308497E-2</v>
          </cell>
          <cell r="L77">
            <v>-2.6368167615144489E-2</v>
          </cell>
          <cell r="M77">
            <v>-2.4328030795842226E-2</v>
          </cell>
          <cell r="N77">
            <v>-2.2287896156336529E-2</v>
          </cell>
          <cell r="O77">
            <v>-2.0247763689954401E-2</v>
          </cell>
          <cell r="Y77">
            <v>-3.7580116381273787E-2</v>
          </cell>
          <cell r="Z77">
            <v>-5.3501767204921835E-2</v>
          </cell>
          <cell r="AA77">
            <v>-4.9289411918509773E-2</v>
          </cell>
          <cell r="AB77">
            <v>-5.3389371420286991E-2</v>
          </cell>
          <cell r="AC77">
            <v>4.7267006422926583E-2</v>
          </cell>
          <cell r="AD77">
            <v>-4.5537340619307698E-2</v>
          </cell>
          <cell r="AE77">
            <v>-5.5162908038010272E-2</v>
          </cell>
          <cell r="AF77">
            <v>-5.5767934716822065E-2</v>
          </cell>
        </row>
        <row r="78">
          <cell r="C78" t="str">
            <v>Average revenue per line/mth</v>
          </cell>
          <cell r="H78">
            <v>29.769507339966978</v>
          </cell>
          <cell r="I78">
            <v>29.560514566253758</v>
          </cell>
          <cell r="J78">
            <v>30.13797639282571</v>
          </cell>
          <cell r="K78">
            <v>30.817132810162736</v>
          </cell>
          <cell r="L78">
            <v>31.419142554018226</v>
          </cell>
          <cell r="M78">
            <v>32.032912500678094</v>
          </cell>
          <cell r="N78">
            <v>32.658672384580051</v>
          </cell>
          <cell r="O78">
            <v>33.29665642800208</v>
          </cell>
          <cell r="U78">
            <v>29.502116463445606</v>
          </cell>
          <cell r="V78">
            <v>29.709359580965824</v>
          </cell>
          <cell r="W78">
            <v>29.649940861803891</v>
          </cell>
          <cell r="X78">
            <v>29.590640980080284</v>
          </cell>
          <cell r="Y78">
            <v>29.600147557256996</v>
          </cell>
          <cell r="Z78">
            <v>29.308880568803822</v>
          </cell>
          <cell r="AA78">
            <v>29.40653805003236</v>
          </cell>
          <cell r="AB78">
            <v>29.263170488843805</v>
          </cell>
          <cell r="AC78">
            <v>32.43908521573205</v>
          </cell>
          <cell r="AD78">
            <v>29.290690221251104</v>
          </cell>
          <cell r="AE78">
            <v>29.097769400507023</v>
          </cell>
          <cell r="AF78">
            <v>28.955907198710946</v>
          </cell>
        </row>
        <row r="79">
          <cell r="C79" t="str">
            <v xml:space="preserve">  % y/y growth</v>
          </cell>
          <cell r="I79">
            <v>-7.0203638685225611E-3</v>
          </cell>
          <cell r="J79">
            <v>1.9534904417096266E-2</v>
          </cell>
          <cell r="K79">
            <v>2.2534904417096265E-2</v>
          </cell>
          <cell r="L79">
            <v>1.9534904417096266E-2</v>
          </cell>
          <cell r="M79">
            <v>1.9534904417096266E-2</v>
          </cell>
          <cell r="N79">
            <v>1.9534904417096266E-2</v>
          </cell>
          <cell r="O79">
            <v>1.9534904417096266E-2</v>
          </cell>
          <cell r="Y79">
            <v>3.3228495295534177E-3</v>
          </cell>
          <cell r="Z79">
            <v>-1.3479893804866139E-2</v>
          </cell>
          <cell r="AA79">
            <v>-8.2092174451886546E-3</v>
          </cell>
          <cell r="AB79">
            <v>-1.1066691372347282E-2</v>
          </cell>
          <cell r="AC79">
            <v>9.5909577916243771E-2</v>
          </cell>
          <cell r="AD79">
            <v>-6.2064286317642381E-4</v>
          </cell>
          <cell r="AE79">
            <v>-1.0500000000000001E-2</v>
          </cell>
          <cell r="AF79">
            <v>-1.0500000000000001E-2</v>
          </cell>
        </row>
        <row r="80">
          <cell r="C80" t="str">
            <v xml:space="preserve">  % q/q growth</v>
          </cell>
          <cell r="V80">
            <v>7.024686441632122E-3</v>
          </cell>
          <cell r="W80">
            <v>-2E-3</v>
          </cell>
          <cell r="X80">
            <v>-2E-3</v>
          </cell>
          <cell r="Z80">
            <v>-9.8400519081792703E-3</v>
          </cell>
          <cell r="AA80">
            <v>3.3320099346436649E-3</v>
          </cell>
          <cell r="AB80">
            <v>-4.8753634632077159E-3</v>
          </cell>
          <cell r="AC80">
            <v>0.10852941338324973</v>
          </cell>
          <cell r="AD80">
            <v>-9.7055603557959169E-2</v>
          </cell>
          <cell r="AE80">
            <v>-6.5864211217567803E-3</v>
          </cell>
          <cell r="AF80">
            <v>-4.8753634632077159E-3</v>
          </cell>
        </row>
        <row r="82">
          <cell r="C82" t="str">
            <v>Average total access lines</v>
          </cell>
          <cell r="G82">
            <v>3589152.7624487402</v>
          </cell>
          <cell r="H82">
            <v>3449975.5</v>
          </cell>
          <cell r="I82">
            <v>3306215</v>
          </cell>
          <cell r="J82">
            <v>3156306.3781249998</v>
          </cell>
          <cell r="K82">
            <v>3022599.7819979996</v>
          </cell>
          <cell r="L82">
            <v>2886511.6354160877</v>
          </cell>
          <cell r="M82">
            <v>2762326.7033386161</v>
          </cell>
          <cell r="N82">
            <v>2649012.055324235</v>
          </cell>
          <cell r="O82">
            <v>2545646.5236960733</v>
          </cell>
          <cell r="R82">
            <v>3621614.7114462927</v>
          </cell>
          <cell r="S82">
            <v>3591972.191946188</v>
          </cell>
          <cell r="T82">
            <v>3556690.8134511877</v>
          </cell>
          <cell r="U82">
            <v>3522165.3830186711</v>
          </cell>
          <cell r="V82">
            <v>3488721</v>
          </cell>
          <cell r="W82">
            <v>3450826.5</v>
          </cell>
          <cell r="X82">
            <v>3411230</v>
          </cell>
          <cell r="Y82">
            <v>3378575.5</v>
          </cell>
          <cell r="Z82">
            <v>3347188</v>
          </cell>
          <cell r="AA82">
            <v>3307892.5</v>
          </cell>
          <cell r="AB82">
            <v>3265242</v>
          </cell>
          <cell r="AC82">
            <v>3228615.5</v>
          </cell>
          <cell r="AD82">
            <v>3196750</v>
          </cell>
          <cell r="AE82">
            <v>3158584.6692500003</v>
          </cell>
          <cell r="AF82">
            <v>3115862.7562499996</v>
          </cell>
        </row>
        <row r="83">
          <cell r="C83" t="str">
            <v xml:space="preserve">  % y/y growth</v>
          </cell>
          <cell r="H83">
            <v>-3.8777191069957362E-2</v>
          </cell>
          <cell r="I83">
            <v>-4.1670006062361931E-2</v>
          </cell>
          <cell r="J83">
            <v>-4.5341462026819213E-2</v>
          </cell>
          <cell r="K83">
            <v>-4.2361729220478428E-2</v>
          </cell>
          <cell r="L83">
            <v>-4.5023541453428906E-2</v>
          </cell>
          <cell r="M83">
            <v>-4.302249488752552E-2</v>
          </cell>
          <cell r="N83">
            <v>-4.1021450459652775E-2</v>
          </cell>
          <cell r="O83">
            <v>-3.9020408163265241E-2</v>
          </cell>
          <cell r="V83">
            <v>-3.6694602279551014E-2</v>
          </cell>
          <cell r="W83">
            <v>-3.9294761875568129E-2</v>
          </cell>
          <cell r="X83">
            <v>-4.0897795473551879E-2</v>
          </cell>
          <cell r="Y83">
            <v>-4.0767501637191006E-2</v>
          </cell>
          <cell r="Z83">
            <v>-4.0568735648393806E-2</v>
          </cell>
          <cell r="AA83">
            <v>-4.1420222083028535E-2</v>
          </cell>
          <cell r="AB83">
            <v>-4.2796293419089304E-2</v>
          </cell>
          <cell r="AC83">
            <v>-4.4385570190750512E-2</v>
          </cell>
          <cell r="AD83">
            <v>-4.4944592296578545E-2</v>
          </cell>
          <cell r="AE83">
            <v>-4.5136844909560936E-2</v>
          </cell>
          <cell r="AF83">
            <v>-4.5748291780517425E-2</v>
          </cell>
        </row>
        <row r="85">
          <cell r="A85" t="str">
            <v xml:space="preserve">  Wireline: Long Distance Revenue</v>
          </cell>
        </row>
        <row r="87">
          <cell r="C87" t="str">
            <v>Long Distance Revenue</v>
          </cell>
          <cell r="H87">
            <v>215594.72231105439</v>
          </cell>
          <cell r="I87">
            <v>240999</v>
          </cell>
          <cell r="J87">
            <v>250279.53133899614</v>
          </cell>
          <cell r="K87">
            <v>256540.35987162162</v>
          </cell>
          <cell r="L87">
            <v>261186.64285236638</v>
          </cell>
          <cell r="M87">
            <v>265998.24454102037</v>
          </cell>
          <cell r="N87">
            <v>271018.42189005209</v>
          </cell>
          <cell r="O87">
            <v>276289.08396080596</v>
          </cell>
          <cell r="U87">
            <v>53769</v>
          </cell>
          <cell r="V87">
            <v>52986</v>
          </cell>
          <cell r="W87">
            <v>53914.515048048721</v>
          </cell>
          <cell r="X87">
            <v>54925.207263005672</v>
          </cell>
          <cell r="Y87">
            <v>56481</v>
          </cell>
          <cell r="Z87">
            <v>58225</v>
          </cell>
          <cell r="AA87">
            <v>59454</v>
          </cell>
          <cell r="AB87">
            <v>66839</v>
          </cell>
          <cell r="AC87">
            <v>62000</v>
          </cell>
          <cell r="AD87">
            <v>67930.75743278912</v>
          </cell>
          <cell r="AE87">
            <v>59921.481000479122</v>
          </cell>
          <cell r="AF87">
            <v>60427.292905727896</v>
          </cell>
        </row>
        <row r="88">
          <cell r="C88" t="str">
            <v>% growth</v>
          </cell>
          <cell r="I88">
            <v>0.11783348598066778</v>
          </cell>
          <cell r="J88">
            <v>3.8508588579189595E-2</v>
          </cell>
          <cell r="K88">
            <v>2.501534384026538E-2</v>
          </cell>
          <cell r="L88">
            <v>1.8111313880863955E-2</v>
          </cell>
          <cell r="M88">
            <v>1.8422081757732522E-2</v>
          </cell>
          <cell r="N88">
            <v>1.8872971728418841E-2</v>
          </cell>
          <cell r="O88">
            <v>1.9447615531065665E-2</v>
          </cell>
        </row>
        <row r="90">
          <cell r="C90" t="str">
            <v>LD subscribers</v>
          </cell>
          <cell r="H90">
            <v>1982793</v>
          </cell>
          <cell r="I90">
            <v>1990950</v>
          </cell>
          <cell r="J90">
            <v>2012345.2511605178</v>
          </cell>
          <cell r="K90">
            <v>2008320.6713070141</v>
          </cell>
          <cell r="L90">
            <v>2004601.9581945909</v>
          </cell>
          <cell r="M90">
            <v>2001500.8817256498</v>
          </cell>
          <cell r="N90">
            <v>1999289.3640008464</v>
          </cell>
          <cell r="O90">
            <v>1998206.6420463561</v>
          </cell>
          <cell r="U90">
            <v>2015943</v>
          </cell>
          <cell r="V90">
            <v>2007160</v>
          </cell>
          <cell r="W90">
            <v>1986599</v>
          </cell>
          <cell r="X90">
            <v>1982793</v>
          </cell>
          <cell r="Y90">
            <v>1987596</v>
          </cell>
          <cell r="Z90">
            <v>2001714</v>
          </cell>
          <cell r="AA90">
            <v>2006899</v>
          </cell>
          <cell r="AB90">
            <v>1990950</v>
          </cell>
          <cell r="AC90">
            <v>1981500</v>
          </cell>
          <cell r="AD90">
            <v>1996537.6</v>
          </cell>
          <cell r="AE90">
            <v>2003593.42263225</v>
          </cell>
          <cell r="AF90">
            <v>2012345.2511605178</v>
          </cell>
        </row>
        <row r="91">
          <cell r="C91" t="str">
            <v xml:space="preserve">  % y/y growth</v>
          </cell>
          <cell r="I91">
            <v>4.1138938860485474E-3</v>
          </cell>
          <cell r="J91">
            <v>1.0746252372243248E-2</v>
          </cell>
          <cell r="K91">
            <v>-1.9999450149932319E-3</v>
          </cell>
          <cell r="L91">
            <v>-1.8516530579765211E-3</v>
          </cell>
          <cell r="M91">
            <v>-1.5469786688894205E-3</v>
          </cell>
          <cell r="N91">
            <v>-1.1049296780207829E-3</v>
          </cell>
          <cell r="O91">
            <v>-5.4155340091621706E-4</v>
          </cell>
          <cell r="Y91">
            <v>-1.4061409474375064E-2</v>
          </cell>
          <cell r="Z91">
            <v>-2.7132864345642549E-3</v>
          </cell>
          <cell r="AA91">
            <v>1.0218468850532902E-2</v>
          </cell>
          <cell r="AB91">
            <v>4.1138938860485474E-3</v>
          </cell>
          <cell r="AC91">
            <v>-3.0670216683873486E-3</v>
          </cell>
          <cell r="AD91">
            <v>-2.5859838118731382E-3</v>
          </cell>
          <cell r="AE91">
            <v>-1.647106988318825E-3</v>
          </cell>
          <cell r="AF91">
            <v>1.0746252372243248E-2</v>
          </cell>
        </row>
        <row r="92">
          <cell r="C92" t="str">
            <v xml:space="preserve">  % Penetration of total lines</v>
          </cell>
          <cell r="H92">
            <v>0.58472099880654915</v>
          </cell>
          <cell r="I92">
            <v>0.61393535662645926</v>
          </cell>
          <cell r="J92">
            <v>0.65045373260902561</v>
          </cell>
          <cell r="K92">
            <v>0.68045373260902564</v>
          </cell>
          <cell r="L92">
            <v>0.71045373260902567</v>
          </cell>
          <cell r="M92">
            <v>0.74045373260902569</v>
          </cell>
          <cell r="N92">
            <v>0.77045373260902572</v>
          </cell>
          <cell r="O92">
            <v>0.80045373260902575</v>
          </cell>
          <cell r="V92">
            <v>0.57839893954238952</v>
          </cell>
          <cell r="W92">
            <v>0.57893813495332735</v>
          </cell>
          <cell r="X92">
            <v>0.58472099880654915</v>
          </cell>
          <cell r="Y92">
            <v>0.59046671800136896</v>
          </cell>
          <cell r="Z92">
            <v>0.60143463556627064</v>
          </cell>
          <cell r="AA92">
            <v>0.61045373260902558</v>
          </cell>
          <cell r="AB92">
            <v>0.61393535662645926</v>
          </cell>
          <cell r="AC92">
            <v>0.61646392682699191</v>
          </cell>
          <cell r="AD92">
            <v>0.628</v>
          </cell>
          <cell r="AE92">
            <v>0.63849999999999996</v>
          </cell>
          <cell r="AF92">
            <v>0.65045373260902561</v>
          </cell>
        </row>
        <row r="93">
          <cell r="C93" t="str">
            <v xml:space="preserve">  LD sub net adds</v>
          </cell>
          <cell r="I93">
            <v>8157</v>
          </cell>
          <cell r="J93">
            <v>21395.251160517801</v>
          </cell>
          <cell r="K93">
            <v>-4024.579853503732</v>
          </cell>
          <cell r="L93">
            <v>-3718.7131124231964</v>
          </cell>
          <cell r="M93">
            <v>-3101.0764689410571</v>
          </cell>
          <cell r="N93">
            <v>-2211.5177248034161</v>
          </cell>
          <cell r="O93">
            <v>-1082.721954490291</v>
          </cell>
          <cell r="V93">
            <v>-8783</v>
          </cell>
          <cell r="W93">
            <v>-20561</v>
          </cell>
          <cell r="X93">
            <v>-3806</v>
          </cell>
          <cell r="Y93">
            <v>4803</v>
          </cell>
          <cell r="Z93">
            <v>14118</v>
          </cell>
          <cell r="AA93">
            <v>5185</v>
          </cell>
          <cell r="AB93">
            <v>-15949</v>
          </cell>
          <cell r="AC93">
            <v>-9450</v>
          </cell>
          <cell r="AD93">
            <v>15037.600000000093</v>
          </cell>
          <cell r="AE93">
            <v>7055.8226322499104</v>
          </cell>
          <cell r="AF93">
            <v>8751.8285282677971</v>
          </cell>
        </row>
        <row r="94">
          <cell r="C94" t="str">
            <v xml:space="preserve">  % y/y growth</v>
          </cell>
          <cell r="K94">
            <v>-1.188106221483886</v>
          </cell>
          <cell r="L94">
            <v>-7.5999670080903803E-2</v>
          </cell>
          <cell r="M94">
            <v>-0.16608881212664284</v>
          </cell>
          <cell r="N94">
            <v>-0.28685482381587446</v>
          </cell>
          <cell r="O94">
            <v>-0.51041678646887845</v>
          </cell>
          <cell r="Z94">
            <v>-2.6074234316292841</v>
          </cell>
          <cell r="AA94">
            <v>-1.252176450561743</v>
          </cell>
          <cell r="AB94">
            <v>3.1904887020493957</v>
          </cell>
          <cell r="AC94">
            <v>-2.9675202998126169</v>
          </cell>
          <cell r="AD94">
            <v>6.5136704915716992E-2</v>
          </cell>
          <cell r="AE94">
            <v>0.36081439387654979</v>
          </cell>
          <cell r="AF94">
            <v>-1.5487383866241018</v>
          </cell>
        </row>
        <row r="95">
          <cell r="C95" t="str">
            <v xml:space="preserve">  Average LD subs</v>
          </cell>
          <cell r="H95">
            <v>1998123.75</v>
          </cell>
          <cell r="I95">
            <v>1996789.75</v>
          </cell>
          <cell r="J95">
            <v>1998494.068448192</v>
          </cell>
          <cell r="K95">
            <v>2010332.9612337658</v>
          </cell>
          <cell r="L95">
            <v>2006461.3147508025</v>
          </cell>
          <cell r="M95">
            <v>2003051.4199601202</v>
          </cell>
          <cell r="N95">
            <v>2000395.122863248</v>
          </cell>
          <cell r="O95">
            <v>1998748.0030236011</v>
          </cell>
          <cell r="V95">
            <v>2011551.5</v>
          </cell>
          <cell r="W95">
            <v>1996879.5</v>
          </cell>
          <cell r="X95">
            <v>1984696</v>
          </cell>
          <cell r="Y95">
            <v>1985194.5</v>
          </cell>
          <cell r="Z95">
            <v>1994655</v>
          </cell>
          <cell r="AA95">
            <v>2004306.5</v>
          </cell>
          <cell r="AB95">
            <v>1998924.5</v>
          </cell>
          <cell r="AC95">
            <v>1986225</v>
          </cell>
          <cell r="AD95">
            <v>1989018.8</v>
          </cell>
          <cell r="AE95">
            <v>2000065.511316125</v>
          </cell>
          <cell r="AF95">
            <v>2007969.3368963839</v>
          </cell>
        </row>
        <row r="96">
          <cell r="C96" t="str">
            <v xml:space="preserve">  LD ARPU</v>
          </cell>
          <cell r="H96">
            <v>8.9915486261822046</v>
          </cell>
          <cell r="I96">
            <v>10.05776897642829</v>
          </cell>
          <cell r="J96">
            <v>10.436171886053156</v>
          </cell>
          <cell r="K96">
            <v>10.64489532377422</v>
          </cell>
          <cell r="L96">
            <v>10.857793230249705</v>
          </cell>
          <cell r="M96">
            <v>11.074949094854698</v>
          </cell>
          <cell r="N96">
            <v>11.296448076751792</v>
          </cell>
          <cell r="O96">
            <v>11.522377038286828</v>
          </cell>
          <cell r="V96">
            <v>8.7802872558818397</v>
          </cell>
          <cell r="W96">
            <v>8.9997944372788847</v>
          </cell>
          <cell r="X96">
            <v>9.2247892982108564</v>
          </cell>
          <cell r="Y96">
            <v>9.4837055008967628</v>
          </cell>
          <cell r="Z96">
            <v>9.7301705474547386</v>
          </cell>
          <cell r="AA96">
            <v>9.8877092899713688</v>
          </cell>
          <cell r="AB96">
            <v>11.145827001803553</v>
          </cell>
          <cell r="AC96">
            <v>10.404997755373468</v>
          </cell>
          <cell r="AD96">
            <v>11.384299540522044</v>
          </cell>
          <cell r="AE96">
            <v>9.9865863828710832</v>
          </cell>
          <cell r="AF96">
            <v>10.031244301623198</v>
          </cell>
        </row>
        <row r="97">
          <cell r="C97" t="str">
            <v xml:space="preserve">  % y/y growth</v>
          </cell>
          <cell r="I97">
            <v>0.11858027961294604</v>
          </cell>
          <cell r="J97">
            <v>3.7622947048366662E-2</v>
          </cell>
          <cell r="K97">
            <v>0.02</v>
          </cell>
          <cell r="L97">
            <v>0.02</v>
          </cell>
          <cell r="M97">
            <v>0.02</v>
          </cell>
          <cell r="N97">
            <v>0.02</v>
          </cell>
          <cell r="O97">
            <v>0.02</v>
          </cell>
          <cell r="Z97">
            <v>0.1081836235980298</v>
          </cell>
          <cell r="AA97">
            <v>9.865945926659947E-2</v>
          </cell>
          <cell r="AB97">
            <v>0.20824732592703032</v>
          </cell>
          <cell r="AC97">
            <v>9.7144755748646006E-2</v>
          </cell>
          <cell r="AD97">
            <v>0.17</v>
          </cell>
          <cell r="AE97">
            <v>0.01</v>
          </cell>
          <cell r="AF97">
            <v>-0.1</v>
          </cell>
        </row>
        <row r="100">
          <cell r="A100" t="str">
            <v xml:space="preserve">  Wireline: Network Access Revenue</v>
          </cell>
        </row>
        <row r="102">
          <cell r="C102" t="str">
            <v>Network access revenue (reported)</v>
          </cell>
          <cell r="H102">
            <v>1291231.5431093606</v>
          </cell>
          <cell r="I102">
            <v>1281978</v>
          </cell>
          <cell r="J102">
            <v>1259421.4924650593</v>
          </cell>
          <cell r="K102">
            <v>1246693.729925982</v>
          </cell>
          <cell r="L102">
            <v>1234203.8403200107</v>
          </cell>
          <cell r="M102">
            <v>1229668.6374304406</v>
          </cell>
          <cell r="N102">
            <v>1230197.4562397709</v>
          </cell>
          <cell r="O102">
            <v>1239726.7879662905</v>
          </cell>
          <cell r="U102">
            <v>325754</v>
          </cell>
          <cell r="V102">
            <v>322531</v>
          </cell>
          <cell r="W102">
            <v>321967.32592626294</v>
          </cell>
          <cell r="X102">
            <v>320979.21718309767</v>
          </cell>
          <cell r="Y102">
            <v>317735</v>
          </cell>
          <cell r="Z102">
            <v>318852</v>
          </cell>
          <cell r="AA102">
            <v>317487</v>
          </cell>
          <cell r="AB102">
            <v>327904</v>
          </cell>
          <cell r="AC102">
            <v>307900</v>
          </cell>
          <cell r="AD102">
            <v>311124.05223043525</v>
          </cell>
          <cell r="AE102">
            <v>314770.59929720743</v>
          </cell>
          <cell r="AF102">
            <v>325626.84093741677</v>
          </cell>
        </row>
        <row r="103">
          <cell r="AD103">
            <v>-2.4236786250563691E-2</v>
          </cell>
          <cell r="AE103">
            <v>-8.5559430867800934E-3</v>
          </cell>
          <cell r="AF103">
            <v>-6.9445906807579227E-3</v>
          </cell>
        </row>
        <row r="104">
          <cell r="C104" t="str">
            <v>DSL revenue (calculated)</v>
          </cell>
          <cell r="H104">
            <v>208222.26898008632</v>
          </cell>
          <cell r="I104">
            <v>298146.45484233828</v>
          </cell>
          <cell r="J104">
            <v>409877.65430940001</v>
          </cell>
          <cell r="K104">
            <v>504612.61165794521</v>
          </cell>
          <cell r="L104">
            <v>578571.17548482993</v>
          </cell>
          <cell r="M104">
            <v>643857.32016579481</v>
          </cell>
          <cell r="N104">
            <v>700913.77591419732</v>
          </cell>
          <cell r="O104">
            <v>756223.29526949639</v>
          </cell>
          <cell r="Q104">
            <v>25155.721287575343</v>
          </cell>
          <cell r="R104">
            <v>28130.890548208834</v>
          </cell>
          <cell r="S104">
            <v>31895.305689871999</v>
          </cell>
          <cell r="T104">
            <v>36398.16153547859</v>
          </cell>
          <cell r="U104">
            <v>42964.180520342154</v>
          </cell>
          <cell r="V104">
            <v>49010.143892461783</v>
          </cell>
          <cell r="W104">
            <v>55284.491221413169</v>
          </cell>
          <cell r="X104">
            <v>60963.453345869195</v>
          </cell>
          <cell r="Y104">
            <v>66589.037835502735</v>
          </cell>
          <cell r="Z104">
            <v>72372.152659350511</v>
          </cell>
          <cell r="AA104">
            <v>76018.617987664751</v>
          </cell>
          <cell r="AB104">
            <v>83166.646359820268</v>
          </cell>
          <cell r="AC104">
            <v>91034.108999999997</v>
          </cell>
          <cell r="AD104">
            <v>98287.376512500006</v>
          </cell>
          <cell r="AE104">
            <v>106261.35088199997</v>
          </cell>
          <cell r="AF104">
            <v>114294.81791489999</v>
          </cell>
        </row>
        <row r="105">
          <cell r="C105" t="str">
            <v xml:space="preserve">    % y/y growth</v>
          </cell>
        </row>
        <row r="106">
          <cell r="C106" t="str">
            <v>DSL subscribers</v>
          </cell>
          <cell r="H106">
            <v>450455</v>
          </cell>
          <cell r="I106">
            <v>656132</v>
          </cell>
          <cell r="J106">
            <v>874721.4</v>
          </cell>
          <cell r="K106">
            <v>1032528.1750315157</v>
          </cell>
          <cell r="L106">
            <v>1176346.2400988697</v>
          </cell>
          <cell r="M106">
            <v>1306607.7654851137</v>
          </cell>
          <cell r="N106">
            <v>1423680.0959308411</v>
          </cell>
          <cell r="O106">
            <v>1551811.3045646169</v>
          </cell>
          <cell r="Q106">
            <v>184511.6224465837</v>
          </cell>
          <cell r="R106">
            <v>206561.88943799565</v>
          </cell>
          <cell r="S106">
            <v>233400.57306590257</v>
          </cell>
          <cell r="T106">
            <v>266210.6258495361</v>
          </cell>
          <cell r="U106">
            <v>314334</v>
          </cell>
          <cell r="V106">
            <v>359459</v>
          </cell>
          <cell r="W106">
            <v>407284</v>
          </cell>
          <cell r="X106">
            <v>450455</v>
          </cell>
          <cell r="Y106">
            <v>502421</v>
          </cell>
          <cell r="Z106">
            <v>547902</v>
          </cell>
          <cell r="AA106">
            <v>603114</v>
          </cell>
          <cell r="AB106">
            <v>656132</v>
          </cell>
          <cell r="AC106">
            <v>715380</v>
          </cell>
          <cell r="AD106">
            <v>765409.1</v>
          </cell>
          <cell r="AE106">
            <v>821173.22</v>
          </cell>
          <cell r="AF106">
            <v>874721.4</v>
          </cell>
        </row>
        <row r="107">
          <cell r="C107" t="str">
            <v xml:space="preserve">    % y/y growth</v>
          </cell>
          <cell r="I107">
            <v>0.45659832835688352</v>
          </cell>
          <cell r="J107">
            <v>0.33314851279925395</v>
          </cell>
          <cell r="K107">
            <v>0.18040804195657678</v>
          </cell>
          <cell r="L107">
            <v>0.13928730328638661</v>
          </cell>
          <cell r="M107">
            <v>0.11073400070994044</v>
          </cell>
          <cell r="N107">
            <v>8.9600210207124498E-2</v>
          </cell>
          <cell r="O107">
            <v>0.09</v>
          </cell>
          <cell r="U107">
            <v>0.7036</v>
          </cell>
          <cell r="V107">
            <v>0.74019999999999997</v>
          </cell>
          <cell r="W107">
            <v>0.745</v>
          </cell>
          <cell r="X107">
            <v>0.69210000000000005</v>
          </cell>
          <cell r="Y107">
            <v>0.59836670547888549</v>
          </cell>
          <cell r="Z107">
            <v>0.52424059489399344</v>
          </cell>
          <cell r="AA107">
            <v>0.48081928089490389</v>
          </cell>
          <cell r="AB107">
            <v>0.45659832835688352</v>
          </cell>
          <cell r="AC107">
            <v>0.4238656425587306</v>
          </cell>
          <cell r="AD107">
            <v>2.5242</v>
          </cell>
          <cell r="AE107">
            <v>3.5242</v>
          </cell>
          <cell r="AF107">
            <v>4.5242000000000004</v>
          </cell>
        </row>
        <row r="108">
          <cell r="C108" t="str">
            <v>DSL net adds</v>
          </cell>
          <cell r="H108">
            <v>184244.3741504639</v>
          </cell>
          <cell r="I108">
            <v>205677</v>
          </cell>
          <cell r="J108">
            <v>218589.4</v>
          </cell>
          <cell r="K108">
            <v>157806.77503151563</v>
          </cell>
          <cell r="L108">
            <v>143818.06506735401</v>
          </cell>
          <cell r="M108">
            <v>130261.52538624406</v>
          </cell>
          <cell r="N108">
            <v>117072.33044572733</v>
          </cell>
          <cell r="O108">
            <v>128131.20863377582</v>
          </cell>
          <cell r="R108">
            <v>22050.266991411947</v>
          </cell>
          <cell r="S108">
            <v>26838.683627906925</v>
          </cell>
          <cell r="T108">
            <v>32810.052783633524</v>
          </cell>
          <cell r="U108">
            <v>48123.374150463904</v>
          </cell>
          <cell r="V108">
            <v>45125</v>
          </cell>
          <cell r="W108">
            <v>47825</v>
          </cell>
          <cell r="X108">
            <v>43171</v>
          </cell>
          <cell r="Y108">
            <v>51966</v>
          </cell>
          <cell r="Z108">
            <v>45481</v>
          </cell>
          <cell r="AA108">
            <v>55212</v>
          </cell>
          <cell r="AB108">
            <v>53018</v>
          </cell>
          <cell r="AC108">
            <v>59248</v>
          </cell>
          <cell r="AD108">
            <v>50029.100000000006</v>
          </cell>
          <cell r="AE108">
            <v>55764.12</v>
          </cell>
          <cell r="AF108">
            <v>53548.18</v>
          </cell>
        </row>
        <row r="109">
          <cell r="C109" t="str">
            <v xml:space="preserve">    % y/y growth</v>
          </cell>
          <cell r="I109">
            <v>0.11632716574582114</v>
          </cell>
          <cell r="J109">
            <v>6.2779989984295792E-2</v>
          </cell>
          <cell r="K109">
            <v>-0.27806757769811508</v>
          </cell>
          <cell r="L109">
            <v>-8.8644546226661847E-2</v>
          </cell>
          <cell r="M109">
            <v>-9.4261730435331925E-2</v>
          </cell>
          <cell r="N109">
            <v>-0.10125165432700778</v>
          </cell>
          <cell r="O109">
            <v>9.4461929184669113E-2</v>
          </cell>
          <cell r="V109">
            <v>1.0464604812982587</v>
          </cell>
          <cell r="W109">
            <v>0.78194283531370568</v>
          </cell>
          <cell r="X109">
            <v>0.31578575275973875</v>
          </cell>
          <cell r="Y109">
            <v>7.9849468524830325E-2</v>
          </cell>
          <cell r="Z109">
            <v>7.8891966759002674E-3</v>
          </cell>
          <cell r="AA109">
            <v>0.15445896497647671</v>
          </cell>
          <cell r="AB109">
            <v>0.22809293275578524</v>
          </cell>
          <cell r="AC109">
            <v>0.14013008505561331</v>
          </cell>
          <cell r="AD109">
            <v>0.1</v>
          </cell>
          <cell r="AE109">
            <v>0.01</v>
          </cell>
          <cell r="AF109">
            <v>0.01</v>
          </cell>
        </row>
        <row r="110">
          <cell r="C110" t="str">
            <v>Average DSL subscribers</v>
          </cell>
          <cell r="H110">
            <v>359852.45323119202</v>
          </cell>
          <cell r="I110">
            <v>551682.625</v>
          </cell>
          <cell r="J110">
            <v>766847.255</v>
          </cell>
          <cell r="K110">
            <v>953624.78751575784</v>
          </cell>
          <cell r="L110">
            <v>1104437.2075651926</v>
          </cell>
          <cell r="M110">
            <v>1241477.0027919917</v>
          </cell>
          <cell r="N110">
            <v>1365143.9307079774</v>
          </cell>
          <cell r="O110">
            <v>1487745.700247729</v>
          </cell>
          <cell r="R110">
            <v>195536.75594228966</v>
          </cell>
          <cell r="S110">
            <v>219981.2312519491</v>
          </cell>
          <cell r="T110">
            <v>249805.59945771933</v>
          </cell>
          <cell r="U110">
            <v>290272.31292476808</v>
          </cell>
          <cell r="V110">
            <v>336896.5</v>
          </cell>
          <cell r="W110">
            <v>383371.5</v>
          </cell>
          <cell r="X110">
            <v>428869.5</v>
          </cell>
          <cell r="Y110">
            <v>476438</v>
          </cell>
          <cell r="Z110">
            <v>525161.5</v>
          </cell>
          <cell r="AA110">
            <v>575508</v>
          </cell>
          <cell r="AB110">
            <v>629623</v>
          </cell>
          <cell r="AC110">
            <v>685756</v>
          </cell>
          <cell r="AD110">
            <v>740394.55</v>
          </cell>
          <cell r="AE110">
            <v>793291.15999999992</v>
          </cell>
          <cell r="AF110">
            <v>847947.31</v>
          </cell>
        </row>
        <row r="111">
          <cell r="C111" t="str">
            <v>Blended ARPU (assumed)</v>
          </cell>
          <cell r="H111">
            <v>48.219362109482674</v>
          </cell>
          <cell r="I111">
            <v>45.035926051737064</v>
          </cell>
          <cell r="J111">
            <v>44.541427213493776</v>
          </cell>
          <cell r="K111">
            <v>44.096012941358836</v>
          </cell>
          <cell r="L111">
            <v>43.655052811945247</v>
          </cell>
          <cell r="M111">
            <v>43.218502283825792</v>
          </cell>
          <cell r="N111">
            <v>42.786317260987531</v>
          </cell>
          <cell r="O111">
            <v>42.358454088377655</v>
          </cell>
          <cell r="Q111">
            <v>45.445594797798265</v>
          </cell>
          <cell r="R111">
            <v>45.395418978699475</v>
          </cell>
          <cell r="S111">
            <v>45.55159579787621</v>
          </cell>
          <cell r="T111">
            <v>45.575643245298878</v>
          </cell>
          <cell r="U111">
            <v>45.561070411666314</v>
          </cell>
          <cell r="V111">
            <v>45.448061199804691</v>
          </cell>
          <cell r="W111">
            <v>45.246471112224043</v>
          </cell>
          <cell r="X111">
            <v>45.112499839694827</v>
          </cell>
          <cell r="Y111">
            <v>44.178778246067694</v>
          </cell>
          <cell r="Z111">
            <v>44.029864622597046</v>
          </cell>
          <cell r="AA111">
            <v>44.029864622597046</v>
          </cell>
          <cell r="AB111">
            <v>44.029864622597046</v>
          </cell>
          <cell r="AC111">
            <v>44.25</v>
          </cell>
          <cell r="AD111">
            <v>44.25</v>
          </cell>
          <cell r="AE111">
            <v>44.65</v>
          </cell>
          <cell r="AF111">
            <v>44.93</v>
          </cell>
        </row>
        <row r="113">
          <cell r="C113" t="str">
            <v xml:space="preserve">  DSL penetration (as % of total access lines)</v>
          </cell>
          <cell r="H113">
            <v>0.13283812153734864</v>
          </cell>
          <cell r="I113">
            <v>0.20232684568373488</v>
          </cell>
          <cell r="J113">
            <v>0.28273766606146256</v>
          </cell>
          <cell r="K113">
            <v>0.34983838027566411</v>
          </cell>
          <cell r="L113">
            <v>0.41691048624512422</v>
          </cell>
          <cell r="M113">
            <v>0.48337855148744618</v>
          </cell>
          <cell r="N113">
            <v>0.54863476178160064</v>
          </cell>
          <cell r="O113">
            <v>0.62163398164443329</v>
          </cell>
          <cell r="Q113">
            <v>5.0751662467038001E-2</v>
          </cell>
          <cell r="R113">
            <v>5.7256608106278604E-2</v>
          </cell>
          <cell r="S113">
            <v>6.5263271814223756E-2</v>
          </cell>
          <cell r="T113">
            <v>7.5262636438659741E-2</v>
          </cell>
          <cell r="U113">
            <v>8.9624268869955365E-2</v>
          </cell>
          <cell r="V113">
            <v>0.10358451962422915</v>
          </cell>
          <cell r="W113">
            <v>0.11869141148079254</v>
          </cell>
          <cell r="X113">
            <v>0.13283812153734864</v>
          </cell>
          <cell r="Y113">
            <v>0.14925713219636474</v>
          </cell>
          <cell r="Z113">
            <v>0.1646225383326643</v>
          </cell>
          <cell r="AA113">
            <v>0.18345377245629196</v>
          </cell>
          <cell r="AB113">
            <v>0.20232684568373488</v>
          </cell>
          <cell r="AC113">
            <v>0.22256167750365555</v>
          </cell>
          <cell r="AD113">
            <v>0.24075525289380975</v>
          </cell>
          <cell r="AE113">
            <v>0.26168937023219419</v>
          </cell>
          <cell r="AF113">
            <v>0.28273766606146256</v>
          </cell>
        </row>
        <row r="115">
          <cell r="C115" t="str">
            <v>Other network access revenue</v>
          </cell>
          <cell r="H115">
            <v>1083009.2741292743</v>
          </cell>
          <cell r="I115">
            <v>983831.54515766178</v>
          </cell>
          <cell r="J115">
            <v>849543.83815565961</v>
          </cell>
          <cell r="K115">
            <v>742081.11826803675</v>
          </cell>
          <cell r="L115">
            <v>655632.66483518085</v>
          </cell>
          <cell r="M115">
            <v>585811.31726464583</v>
          </cell>
          <cell r="N115">
            <v>529283.68032557354</v>
          </cell>
          <cell r="O115">
            <v>483503.49269679404</v>
          </cell>
          <cell r="U115">
            <v>282789.81947965786</v>
          </cell>
          <cell r="V115">
            <v>273520.85610753822</v>
          </cell>
          <cell r="W115">
            <v>266682.83470484975</v>
          </cell>
          <cell r="X115">
            <v>260015.7638372285</v>
          </cell>
          <cell r="Y115">
            <v>251145.96216449726</v>
          </cell>
          <cell r="Z115">
            <v>246479.84734064949</v>
          </cell>
          <cell r="AA115">
            <v>241468.38201233523</v>
          </cell>
          <cell r="AB115">
            <v>244737.35364017973</v>
          </cell>
          <cell r="AC115">
            <v>216865.891</v>
          </cell>
          <cell r="AD115">
            <v>212836.67571793523</v>
          </cell>
          <cell r="AE115">
            <v>208509.24841520746</v>
          </cell>
          <cell r="AF115">
            <v>211332.02302251681</v>
          </cell>
        </row>
        <row r="116">
          <cell r="C116" t="str">
            <v xml:space="preserve">   % growth</v>
          </cell>
          <cell r="I116">
            <v>-9.1576066189599459E-2</v>
          </cell>
          <cell r="J116">
            <v>-0.13649461400476048</v>
          </cell>
          <cell r="K116">
            <v>-0.12649461400476048</v>
          </cell>
          <cell r="L116">
            <v>-0.11649461400476048</v>
          </cell>
          <cell r="M116">
            <v>-0.10649461400476049</v>
          </cell>
          <cell r="N116">
            <v>-9.649461400476049E-2</v>
          </cell>
          <cell r="O116">
            <v>-8.6494614004760495E-2</v>
          </cell>
          <cell r="Y116">
            <v>-0.1118988560952664</v>
          </cell>
          <cell r="Z116">
            <v>-9.8862694244629012E-2</v>
          </cell>
          <cell r="AA116">
            <v>-9.454846510995174E-2</v>
          </cell>
          <cell r="AB116">
            <v>-5.8759553542350407E-2</v>
          </cell>
          <cell r="AC116">
            <v>-0.13649461400476059</v>
          </cell>
          <cell r="AD116">
            <v>-0.13649461400476059</v>
          </cell>
          <cell r="AE116">
            <v>-0.13649461400476059</v>
          </cell>
          <cell r="AF116">
            <v>-0.13649461400476059</v>
          </cell>
        </row>
        <row r="118">
          <cell r="A118" t="str">
            <v xml:space="preserve">  Wireline: Switched Access &amp; USF Revenue</v>
          </cell>
        </row>
        <row r="120">
          <cell r="C120" t="str">
            <v>Switched Access &amp; USF Revenue</v>
          </cell>
          <cell r="H120">
            <v>0</v>
          </cell>
          <cell r="I120">
            <v>0</v>
          </cell>
          <cell r="J120">
            <v>0</v>
          </cell>
          <cell r="K120">
            <v>0</v>
          </cell>
          <cell r="L120">
            <v>0</v>
          </cell>
          <cell r="M120">
            <v>0</v>
          </cell>
          <cell r="N120">
            <v>0</v>
          </cell>
          <cell r="O120">
            <v>0</v>
          </cell>
        </row>
        <row r="121">
          <cell r="C121" t="str">
            <v xml:space="preserve">    % y/y growth</v>
          </cell>
        </row>
        <row r="122">
          <cell r="C122" t="str">
            <v xml:space="preserve">   per avg access line per month</v>
          </cell>
          <cell r="H122">
            <v>0</v>
          </cell>
          <cell r="I122">
            <v>0</v>
          </cell>
          <cell r="J122">
            <v>0</v>
          </cell>
          <cell r="K122">
            <v>0</v>
          </cell>
          <cell r="L122">
            <v>0</v>
          </cell>
          <cell r="M122">
            <v>0</v>
          </cell>
          <cell r="N122">
            <v>0</v>
          </cell>
          <cell r="O122">
            <v>0</v>
          </cell>
        </row>
        <row r="123">
          <cell r="C123" t="str">
            <v xml:space="preserve">    % y/y growth</v>
          </cell>
          <cell r="K123">
            <v>-0.03</v>
          </cell>
          <cell r="L123">
            <v>-2.9099999999999997E-2</v>
          </cell>
          <cell r="M123">
            <v>-2.8226999999999995E-2</v>
          </cell>
          <cell r="N123">
            <v>-2.7380189999999995E-2</v>
          </cell>
          <cell r="O123">
            <v>-2.6558784299999996E-2</v>
          </cell>
        </row>
        <row r="125">
          <cell r="A125" t="str">
            <v xml:space="preserve">  Wireline: Miscellaneous Revenue</v>
          </cell>
        </row>
        <row r="126">
          <cell r="C126" t="str">
            <v>Miscellaneous revenue</v>
          </cell>
          <cell r="H126">
            <v>317364.88294011005</v>
          </cell>
          <cell r="I126">
            <v>333700</v>
          </cell>
          <cell r="J126">
            <v>335749.61000000004</v>
          </cell>
          <cell r="K126">
            <v>337476.05924571515</v>
          </cell>
          <cell r="L126">
            <v>338873.90996147791</v>
          </cell>
          <cell r="M126">
            <v>339938.67676799191</v>
          </cell>
          <cell r="N126">
            <v>340666.8504735374</v>
          </cell>
          <cell r="O126">
            <v>341055.91713036684</v>
          </cell>
          <cell r="U126">
            <v>66235</v>
          </cell>
          <cell r="V126">
            <v>77759</v>
          </cell>
          <cell r="W126">
            <v>83225.754077651189</v>
          </cell>
          <cell r="X126">
            <v>90145.128862458863</v>
          </cell>
          <cell r="Y126">
            <v>69606</v>
          </cell>
          <cell r="Z126">
            <v>81379</v>
          </cell>
          <cell r="AA126">
            <v>83398</v>
          </cell>
          <cell r="AB126">
            <v>99317</v>
          </cell>
          <cell r="AC126">
            <v>66300</v>
          </cell>
          <cell r="AD126">
            <v>89516.900000000009</v>
          </cell>
          <cell r="AE126">
            <v>87567.900000000009</v>
          </cell>
          <cell r="AF126">
            <v>92364.81</v>
          </cell>
        </row>
        <row r="127">
          <cell r="C127" t="str">
            <v xml:space="preserve">  % y/y growth</v>
          </cell>
          <cell r="I127">
            <v>5.1471091913381395E-2</v>
          </cell>
          <cell r="J127">
            <v>6.1420737189092911E-3</v>
          </cell>
          <cell r="K127">
            <v>5.1420737189092911E-3</v>
          </cell>
          <cell r="L127">
            <v>4.1420737189092911E-3</v>
          </cell>
          <cell r="M127">
            <v>3.142073718909291E-3</v>
          </cell>
          <cell r="N127">
            <v>2.142073718909291E-3</v>
          </cell>
          <cell r="O127">
            <v>1.142073718909291E-3</v>
          </cell>
          <cell r="Y127">
            <v>5.0894542160489165E-2</v>
          </cell>
          <cell r="Z127">
            <v>4.6554096631901132E-2</v>
          </cell>
          <cell r="AA127">
            <v>2.069622850014774E-3</v>
          </cell>
          <cell r="AB127">
            <v>0.10174561014312089</v>
          </cell>
          <cell r="AC127">
            <v>-4.749590552538574E-2</v>
          </cell>
          <cell r="AD127">
            <v>0.1</v>
          </cell>
          <cell r="AE127">
            <v>0.05</v>
          </cell>
          <cell r="AF127">
            <v>-7.0000000000000007E-2</v>
          </cell>
        </row>
        <row r="130">
          <cell r="A130" t="str">
            <v>Access Lines</v>
          </cell>
        </row>
        <row r="132">
          <cell r="C132" t="str">
            <v>Total access lines</v>
          </cell>
          <cell r="G132">
            <v>3537088.7660373421</v>
          </cell>
          <cell r="H132">
            <v>3391007</v>
          </cell>
          <cell r="I132">
            <v>3242931</v>
          </cell>
          <cell r="J132">
            <v>3093756.1739999996</v>
          </cell>
          <cell r="K132">
            <v>2951443.3899959996</v>
          </cell>
          <cell r="L132">
            <v>2821579.8808361758</v>
          </cell>
          <cell r="M132">
            <v>2703073.5258410564</v>
          </cell>
          <cell r="N132">
            <v>2594950.5848074141</v>
          </cell>
          <cell r="O132">
            <v>2496342.4625847321</v>
          </cell>
          <cell r="Q132">
            <v>3635577.8998652431</v>
          </cell>
          <cell r="R132">
            <v>3607651.5230273418</v>
          </cell>
          <cell r="S132">
            <v>3576292.8608650337</v>
          </cell>
          <cell r="T132">
            <v>3537088.7660373421</v>
          </cell>
          <cell r="U132">
            <v>3507242</v>
          </cell>
          <cell r="V132">
            <v>3470200</v>
          </cell>
          <cell r="W132">
            <v>3431453</v>
          </cell>
          <cell r="X132">
            <v>3391007</v>
          </cell>
          <cell r="Y132">
            <v>3366144</v>
          </cell>
          <cell r="Z132">
            <v>3328232</v>
          </cell>
          <cell r="AA132">
            <v>3287553</v>
          </cell>
          <cell r="AB132">
            <v>3242931</v>
          </cell>
          <cell r="AC132">
            <v>3214300</v>
          </cell>
          <cell r="AD132">
            <v>3179200</v>
          </cell>
          <cell r="AE132">
            <v>3137969.3385000001</v>
          </cell>
          <cell r="AF132">
            <v>3093756.1739999996</v>
          </cell>
        </row>
        <row r="133">
          <cell r="C133" t="str">
            <v xml:space="preserve">  % y/y growth</v>
          </cell>
          <cell r="H133">
            <v>-4.1300000000000003E-2</v>
          </cell>
          <cell r="I133">
            <v>-4.3667264620804391E-2</v>
          </cell>
          <cell r="J133">
            <v>-4.6000000000000152E-2</v>
          </cell>
          <cell r="K133">
            <v>-4.6000000000000041E-2</v>
          </cell>
          <cell r="L133">
            <v>-4.4000000000000039E-2</v>
          </cell>
          <cell r="M133">
            <v>-4.2000000000000037E-2</v>
          </cell>
          <cell r="N133">
            <v>-4.0000000000000036E-2</v>
          </cell>
          <cell r="O133">
            <v>-3.8000000000000034E-2</v>
          </cell>
          <cell r="U133">
            <v>-3.5299999999999998E-2</v>
          </cell>
          <cell r="V133">
            <v>-3.8100000000000002E-2</v>
          </cell>
          <cell r="W133">
            <v>-4.0500000000000001E-2</v>
          </cell>
          <cell r="X133">
            <v>-4.1300000000000003E-2</v>
          </cell>
          <cell r="Y133">
            <v>-4.0230471692572101E-2</v>
          </cell>
          <cell r="Z133">
            <v>-4.091061033946175E-2</v>
          </cell>
          <cell r="AA133">
            <v>-4.1935588218751652E-2</v>
          </cell>
          <cell r="AB133">
            <v>-4.3667264620804391E-2</v>
          </cell>
          <cell r="AC133">
            <v>-4.5109181306563273E-2</v>
          </cell>
          <cell r="AD133">
            <v>-4.4778128447776511E-2</v>
          </cell>
          <cell r="AE133">
            <v>-4.5499999999999999E-2</v>
          </cell>
          <cell r="AF133">
            <v>-4.5999999999999999E-2</v>
          </cell>
        </row>
        <row r="134">
          <cell r="C134" t="str">
            <v xml:space="preserve">  incremental access lines</v>
          </cell>
          <cell r="H134">
            <v>-146081.76603734214</v>
          </cell>
          <cell r="I134">
            <v>-148076</v>
          </cell>
          <cell r="J134">
            <v>-149174.82600000035</v>
          </cell>
          <cell r="K134">
            <v>-142312.78400400002</v>
          </cell>
          <cell r="L134">
            <v>-129863.50915982388</v>
          </cell>
          <cell r="M134">
            <v>-118506.35499511939</v>
          </cell>
          <cell r="N134">
            <v>-108122.94103364227</v>
          </cell>
          <cell r="O134">
            <v>-98608.122222681995</v>
          </cell>
          <cell r="R134">
            <v>-27926.376837901305</v>
          </cell>
          <cell r="S134">
            <v>-31358.662162308116</v>
          </cell>
          <cell r="T134">
            <v>-39204.094827691559</v>
          </cell>
          <cell r="U134">
            <v>-29846.766037342139</v>
          </cell>
          <cell r="V134">
            <v>-37042</v>
          </cell>
          <cell r="W134">
            <v>-38747</v>
          </cell>
          <cell r="X134">
            <v>-40446</v>
          </cell>
          <cell r="Y134">
            <v>-24863</v>
          </cell>
          <cell r="Z134">
            <v>-37912</v>
          </cell>
          <cell r="AA134">
            <v>-40679</v>
          </cell>
          <cell r="AB134">
            <v>-44622</v>
          </cell>
          <cell r="AC134">
            <v>-28631</v>
          </cell>
          <cell r="AD134">
            <v>-35100</v>
          </cell>
          <cell r="AE134">
            <v>-41230.661499999929</v>
          </cell>
          <cell r="AF134">
            <v>-44213.164500000421</v>
          </cell>
        </row>
        <row r="135">
          <cell r="C135" t="str">
            <v xml:space="preserve">  Average total access lines</v>
          </cell>
          <cell r="G135">
            <v>3589152.7624487402</v>
          </cell>
          <cell r="H135">
            <v>3449975.5</v>
          </cell>
          <cell r="I135">
            <v>3306215</v>
          </cell>
          <cell r="J135">
            <v>3156306.3781249998</v>
          </cell>
          <cell r="K135">
            <v>3022599.7819979996</v>
          </cell>
          <cell r="L135">
            <v>2886511.6354160877</v>
          </cell>
          <cell r="M135">
            <v>2762326.7033386161</v>
          </cell>
          <cell r="N135">
            <v>2649012.055324235</v>
          </cell>
          <cell r="O135">
            <v>2545646.5236960733</v>
          </cell>
          <cell r="R135">
            <v>3621614.7114462927</v>
          </cell>
          <cell r="S135">
            <v>3591972.191946188</v>
          </cell>
          <cell r="T135">
            <v>3556690.8134511877</v>
          </cell>
          <cell r="U135">
            <v>3522165.3830186711</v>
          </cell>
          <cell r="V135">
            <v>3488721</v>
          </cell>
          <cell r="W135">
            <v>3450826.5</v>
          </cell>
          <cell r="X135">
            <v>3411230</v>
          </cell>
          <cell r="Y135">
            <v>3378575.5</v>
          </cell>
          <cell r="Z135">
            <v>3347188</v>
          </cell>
          <cell r="AA135">
            <v>3307892.5</v>
          </cell>
          <cell r="AB135">
            <v>3265242</v>
          </cell>
          <cell r="AC135">
            <v>3228615.5</v>
          </cell>
          <cell r="AD135">
            <v>3196750</v>
          </cell>
          <cell r="AE135">
            <v>3158584.6692500003</v>
          </cell>
          <cell r="AF135">
            <v>3115862.7562499996</v>
          </cell>
        </row>
        <row r="137">
          <cell r="A137" t="str">
            <v>Depreciation by Segment</v>
          </cell>
        </row>
        <row r="139">
          <cell r="B139" t="str">
            <v>Depreciation forecast</v>
          </cell>
          <cell r="J139">
            <v>507500</v>
          </cell>
          <cell r="K139">
            <v>494500</v>
          </cell>
          <cell r="L139">
            <v>537800</v>
          </cell>
          <cell r="M139">
            <v>693600</v>
          </cell>
          <cell r="N139">
            <v>847500</v>
          </cell>
          <cell r="O139">
            <v>1297600</v>
          </cell>
          <cell r="AA139">
            <v>281200</v>
          </cell>
          <cell r="AB139">
            <v>123924</v>
          </cell>
          <cell r="AC139">
            <v>125100</v>
          </cell>
          <cell r="AD139">
            <v>126900</v>
          </cell>
          <cell r="AE139">
            <v>132700</v>
          </cell>
          <cell r="AF139">
            <v>122800</v>
          </cell>
        </row>
        <row r="141">
          <cell r="B141" t="str">
            <v>Pro forma depreciation</v>
          </cell>
          <cell r="I141">
            <v>510391</v>
          </cell>
          <cell r="J141">
            <v>507100</v>
          </cell>
          <cell r="K141">
            <v>494500</v>
          </cell>
          <cell r="L141">
            <v>537800</v>
          </cell>
          <cell r="M141">
            <v>693600</v>
          </cell>
          <cell r="N141">
            <v>847500</v>
          </cell>
          <cell r="O141">
            <v>1297600</v>
          </cell>
          <cell r="U141">
            <v>150862</v>
          </cell>
          <cell r="V141">
            <v>149934</v>
          </cell>
          <cell r="W141">
            <v>145704</v>
          </cell>
          <cell r="X141">
            <v>134839</v>
          </cell>
          <cell r="Y141">
            <v>129440</v>
          </cell>
          <cell r="Z141">
            <v>126709</v>
          </cell>
          <cell r="AA141">
            <v>130319</v>
          </cell>
          <cell r="AB141">
            <v>123923</v>
          </cell>
          <cell r="AC141">
            <v>124700</v>
          </cell>
          <cell r="AD141">
            <v>126900</v>
          </cell>
          <cell r="AE141">
            <v>132700</v>
          </cell>
          <cell r="AF141">
            <v>122800</v>
          </cell>
        </row>
        <row r="142">
          <cell r="C142" t="str">
            <v>Wireline</v>
          </cell>
          <cell r="K142">
            <v>0.46</v>
          </cell>
          <cell r="L142">
            <v>0.46</v>
          </cell>
          <cell r="M142">
            <v>0.46</v>
          </cell>
          <cell r="N142">
            <v>0.46</v>
          </cell>
          <cell r="O142">
            <v>0.46</v>
          </cell>
          <cell r="U142">
            <v>0.99301348252044919</v>
          </cell>
          <cell r="V142">
            <v>0.99297690984032971</v>
          </cell>
          <cell r="W142">
            <v>0.99366523911491789</v>
          </cell>
          <cell r="X142">
            <v>0.99316221567943996</v>
          </cell>
          <cell r="Y142">
            <v>0.99249845488257105</v>
          </cell>
          <cell r="Z142">
            <v>0.99251828993994118</v>
          </cell>
          <cell r="AA142">
            <v>0.99550334179973754</v>
          </cell>
          <cell r="AB142">
            <v>0.9915108575486391</v>
          </cell>
          <cell r="AC142">
            <v>0.99839615076182842</v>
          </cell>
          <cell r="AD142">
            <v>0.99839615076182842</v>
          </cell>
          <cell r="AE142">
            <v>0.99839615076182842</v>
          </cell>
          <cell r="AF142">
            <v>0.99839615076182842</v>
          </cell>
        </row>
        <row r="143">
          <cell r="C143" t="str">
            <v>Other</v>
          </cell>
          <cell r="K143">
            <v>0.54</v>
          </cell>
          <cell r="L143">
            <v>0.54</v>
          </cell>
          <cell r="M143">
            <v>0.54</v>
          </cell>
          <cell r="N143">
            <v>0.54</v>
          </cell>
          <cell r="O143">
            <v>0.54</v>
          </cell>
          <cell r="U143">
            <v>6.9865174795508134E-3</v>
          </cell>
          <cell r="V143">
            <v>7.0230901596702866E-3</v>
          </cell>
          <cell r="W143">
            <v>6.3347608850821135E-3</v>
          </cell>
          <cell r="X143">
            <v>6.8377843205600364E-3</v>
          </cell>
          <cell r="Y143">
            <v>7.5015451174289538E-3</v>
          </cell>
          <cell r="Z143">
            <v>7.4817100600588216E-3</v>
          </cell>
          <cell r="AA143">
            <v>4.49665820026246E-3</v>
          </cell>
          <cell r="AB143">
            <v>8.4891424513608982E-3</v>
          </cell>
          <cell r="AC143">
            <v>1.6038492381715841E-3</v>
          </cell>
          <cell r="AD143">
            <v>1.6038492381715841E-3</v>
          </cell>
          <cell r="AE143">
            <v>1.6038492381715841E-3</v>
          </cell>
          <cell r="AF143">
            <v>1.6038492381715841E-3</v>
          </cell>
        </row>
        <row r="146">
          <cell r="A146" t="str">
            <v>Impact of Split-off of Directory Publishing Business</v>
          </cell>
        </row>
        <row r="148">
          <cell r="B148" t="str">
            <v>Revenue</v>
          </cell>
        </row>
        <row r="149">
          <cell r="C149" t="str">
            <v>Pro-forma</v>
          </cell>
          <cell r="U149">
            <v>755400</v>
          </cell>
          <cell r="V149">
            <v>760200</v>
          </cell>
          <cell r="W149">
            <v>764000</v>
          </cell>
          <cell r="X149">
            <v>754600</v>
          </cell>
          <cell r="Y149">
            <v>746600</v>
          </cell>
          <cell r="Z149">
            <v>749500</v>
          </cell>
          <cell r="AA149">
            <v>762800</v>
          </cell>
          <cell r="AB149">
            <v>781500</v>
          </cell>
          <cell r="AC149">
            <v>760800</v>
          </cell>
          <cell r="AD149">
            <v>769600</v>
          </cell>
          <cell r="AE149">
            <v>768547.07438691845</v>
          </cell>
          <cell r="AF149">
            <v>814702.25770268601</v>
          </cell>
        </row>
        <row r="150">
          <cell r="C150" t="str">
            <v>With directory</v>
          </cell>
          <cell r="U150">
            <v>784217</v>
          </cell>
          <cell r="V150">
            <v>806592</v>
          </cell>
          <cell r="W150">
            <v>796963</v>
          </cell>
          <cell r="X150">
            <v>802830</v>
          </cell>
          <cell r="Y150">
            <v>773535</v>
          </cell>
          <cell r="Z150">
            <v>796418</v>
          </cell>
          <cell r="AA150">
            <v>794766</v>
          </cell>
          <cell r="AB150">
            <v>827608</v>
          </cell>
          <cell r="AC150">
            <v>783700</v>
          </cell>
          <cell r="AD150">
            <v>813233.74</v>
          </cell>
          <cell r="AE150">
            <v>798275.45438691846</v>
          </cell>
          <cell r="AF150">
            <v>857582.69770268595</v>
          </cell>
        </row>
        <row r="151">
          <cell r="C151" t="str">
            <v>Difference</v>
          </cell>
          <cell r="U151">
            <v>-28817</v>
          </cell>
          <cell r="V151">
            <v>-46392</v>
          </cell>
          <cell r="W151">
            <v>-32963</v>
          </cell>
          <cell r="X151">
            <v>-48230</v>
          </cell>
          <cell r="Y151">
            <v>-26935</v>
          </cell>
          <cell r="Z151">
            <v>-46918</v>
          </cell>
          <cell r="AA151">
            <v>-31966</v>
          </cell>
          <cell r="AB151">
            <v>-46108</v>
          </cell>
          <cell r="AC151">
            <v>-22900</v>
          </cell>
          <cell r="AD151">
            <v>-43633.74</v>
          </cell>
          <cell r="AE151">
            <v>-29728.379999999997</v>
          </cell>
          <cell r="AF151">
            <v>-42880.439999999995</v>
          </cell>
        </row>
        <row r="152">
          <cell r="C152" t="str">
            <v xml:space="preserve"> % y/y growth</v>
          </cell>
          <cell r="Y152">
            <v>-6.5308671964465437E-2</v>
          </cell>
          <cell r="Z152">
            <v>1.1338161752026288E-2</v>
          </cell>
          <cell r="AA152">
            <v>-3.0246033431423069E-2</v>
          </cell>
          <cell r="AB152">
            <v>-4.3997511922040267E-2</v>
          </cell>
          <cell r="AC152">
            <v>-0.14980508631891587</v>
          </cell>
          <cell r="AD152">
            <v>-7.0000000000000007E-2</v>
          </cell>
          <cell r="AE152">
            <v>-7.0000000000000007E-2</v>
          </cell>
          <cell r="AF152">
            <v>-7.0000000000000007E-2</v>
          </cell>
        </row>
        <row r="153">
          <cell r="B153" t="str">
            <v>Cash opex</v>
          </cell>
          <cell r="U153">
            <v>6300</v>
          </cell>
          <cell r="V153">
            <v>20300</v>
          </cell>
          <cell r="W153">
            <v>12300</v>
          </cell>
          <cell r="X153">
            <v>26100</v>
          </cell>
          <cell r="Y153">
            <v>5900</v>
          </cell>
          <cell r="Z153">
            <v>19000</v>
          </cell>
          <cell r="AA153">
            <v>12700</v>
          </cell>
          <cell r="AB153">
            <v>27000</v>
          </cell>
          <cell r="AC153">
            <v>4900</v>
          </cell>
          <cell r="AD153">
            <v>17670</v>
          </cell>
          <cell r="AE153">
            <v>11811</v>
          </cell>
          <cell r="AF153">
            <v>25109.999999999996</v>
          </cell>
        </row>
        <row r="154">
          <cell r="C154" t="str">
            <v xml:space="preserve"> % Directory revenue</v>
          </cell>
          <cell r="U154">
            <v>0.21862095290974079</v>
          </cell>
          <cell r="V154">
            <v>0.43757544404207621</v>
          </cell>
          <cell r="W154">
            <v>0.37314564815095713</v>
          </cell>
          <cell r="X154">
            <v>0.5411569562512959</v>
          </cell>
          <cell r="Y154">
            <v>0.21904585112307406</v>
          </cell>
          <cell r="Z154">
            <v>0.40496184833113091</v>
          </cell>
          <cell r="AA154">
            <v>0.39729712819871116</v>
          </cell>
          <cell r="AB154">
            <v>0.58558167779994796</v>
          </cell>
          <cell r="AC154">
            <v>0.21397379912663755</v>
          </cell>
          <cell r="AD154">
            <v>0.40496184833113091</v>
          </cell>
          <cell r="AE154">
            <v>0.39729712819871116</v>
          </cell>
          <cell r="AF154">
            <v>0.58558167779994796</v>
          </cell>
        </row>
        <row r="155">
          <cell r="C155" t="str">
            <v>COS % total cash opex</v>
          </cell>
          <cell r="U155" t="e">
            <v>#REF!</v>
          </cell>
          <cell r="V155" t="e">
            <v>#REF!</v>
          </cell>
          <cell r="W155" t="e">
            <v>#REF!</v>
          </cell>
          <cell r="X155" t="e">
            <v>#REF!</v>
          </cell>
          <cell r="Y155" t="e">
            <v>#REF!</v>
          </cell>
          <cell r="Z155" t="e">
            <v>#REF!</v>
          </cell>
          <cell r="AA155" t="e">
            <v>#REF!</v>
          </cell>
          <cell r="AB155" t="e">
            <v>#REF!</v>
          </cell>
          <cell r="AC155" t="e">
            <v>#REF!</v>
          </cell>
          <cell r="AD155" t="e">
            <v>#REF!</v>
          </cell>
          <cell r="AE155" t="e">
            <v>#REF!</v>
          </cell>
          <cell r="AF155" t="e">
            <v>#REF!</v>
          </cell>
        </row>
        <row r="156">
          <cell r="C156" t="str">
            <v>SG&amp;A % total cash opex</v>
          </cell>
          <cell r="U156" t="e">
            <v>#REF!</v>
          </cell>
          <cell r="V156" t="e">
            <v>#REF!</v>
          </cell>
          <cell r="W156" t="e">
            <v>#REF!</v>
          </cell>
          <cell r="X156" t="e">
            <v>#REF!</v>
          </cell>
          <cell r="Y156" t="e">
            <v>#REF!</v>
          </cell>
          <cell r="Z156" t="e">
            <v>#REF!</v>
          </cell>
          <cell r="AA156" t="e">
            <v>#REF!</v>
          </cell>
          <cell r="AB156" t="e">
            <v>#REF!</v>
          </cell>
          <cell r="AC156" t="e">
            <v>#REF!</v>
          </cell>
          <cell r="AD156" t="e">
            <v>#REF!</v>
          </cell>
          <cell r="AE156" t="e">
            <v>#REF!</v>
          </cell>
          <cell r="AF156" t="e">
            <v>#REF!</v>
          </cell>
        </row>
        <row r="157">
          <cell r="C157" t="str">
            <v>COS</v>
          </cell>
          <cell r="U157" t="e">
            <v>#REF!</v>
          </cell>
          <cell r="V157" t="e">
            <v>#REF!</v>
          </cell>
          <cell r="W157" t="e">
            <v>#REF!</v>
          </cell>
          <cell r="X157" t="e">
            <v>#REF!</v>
          </cell>
          <cell r="Y157" t="e">
            <v>#REF!</v>
          </cell>
          <cell r="Z157" t="e">
            <v>#REF!</v>
          </cell>
          <cell r="AA157" t="e">
            <v>#REF!</v>
          </cell>
          <cell r="AB157" t="e">
            <v>#REF!</v>
          </cell>
          <cell r="AC157" t="e">
            <v>#REF!</v>
          </cell>
          <cell r="AD157" t="e">
            <v>#REF!</v>
          </cell>
          <cell r="AE157" t="e">
            <v>#REF!</v>
          </cell>
          <cell r="AF157" t="e">
            <v>#REF!</v>
          </cell>
        </row>
        <row r="158">
          <cell r="C158" t="str">
            <v>SG&amp;A</v>
          </cell>
          <cell r="U158" t="e">
            <v>#REF!</v>
          </cell>
          <cell r="V158" t="e">
            <v>#REF!</v>
          </cell>
          <cell r="W158" t="e">
            <v>#REF!</v>
          </cell>
          <cell r="X158" t="e">
            <v>#REF!</v>
          </cell>
          <cell r="Y158" t="e">
            <v>#REF!</v>
          </cell>
          <cell r="Z158" t="e">
            <v>#REF!</v>
          </cell>
          <cell r="AA158" t="e">
            <v>#REF!</v>
          </cell>
          <cell r="AB158" t="e">
            <v>#REF!</v>
          </cell>
          <cell r="AC158" t="e">
            <v>#REF!</v>
          </cell>
          <cell r="AD158" t="e">
            <v>#REF!</v>
          </cell>
          <cell r="AE158" t="e">
            <v>#REF!</v>
          </cell>
          <cell r="AF158" t="e">
            <v>#REF!</v>
          </cell>
        </row>
        <row r="160">
          <cell r="B160" t="str">
            <v>D&amp;A</v>
          </cell>
          <cell r="U160">
            <v>400</v>
          </cell>
          <cell r="V160">
            <v>400</v>
          </cell>
          <cell r="W160">
            <v>400</v>
          </cell>
          <cell r="X160">
            <v>400</v>
          </cell>
          <cell r="Y160">
            <v>400</v>
          </cell>
          <cell r="Z160">
            <v>400</v>
          </cell>
          <cell r="AA160">
            <v>400</v>
          </cell>
          <cell r="AB160">
            <v>400</v>
          </cell>
          <cell r="AC160">
            <v>400</v>
          </cell>
        </row>
      </sheetData>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heetVisibilityStatus"/>
      <sheetName val="CircularReferenceAlert"/>
      <sheetName val="FMV - 2009 Current"/>
      <sheetName val=" FMV - 2009 Target"/>
      <sheetName val="__FDSCACHE__"/>
      <sheetName val="FMV - 2008 Current"/>
      <sheetName val="MW-Cache"/>
      <sheetName val=" FMV - 2008 Target"/>
      <sheetName val="FMV Summary"/>
      <sheetName val="Derivative &amp; Investment Details"/>
      <sheetName val="Capital Group GAAP Financials"/>
      <sheetName val="Revenue and OCF"/>
      <sheetName val="MWA RR"/>
      <sheetName val="LCAPA.O"/>
      <sheetName val="ModPubIndexInternal"/>
      <sheetName val="#REF"/>
      <sheetName val="FMV - 2010 Current"/>
      <sheetName val=" FMV - 2010 Target"/>
      <sheetName val="LCAPA_Liquidation"/>
      <sheetName val="Exchangeables_tax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1">
          <cell r="A1" t="str">
            <v>Liberty Capital Group</v>
          </cell>
        </row>
        <row r="2">
          <cell r="A2" t="str">
            <v>Estimated Equity Value</v>
          </cell>
        </row>
        <row r="4">
          <cell r="A4" t="str">
            <v>($ Millions Except Per Share Data)</v>
          </cell>
        </row>
        <row r="7">
          <cell r="B7" t="str">
            <v>2008E</v>
          </cell>
          <cell r="C7" t="str">
            <v>2009E</v>
          </cell>
          <cell r="D7" t="str">
            <v>2010E</v>
          </cell>
        </row>
        <row r="8">
          <cell r="A8" t="str">
            <v>Consolidated</v>
          </cell>
        </row>
        <row r="9">
          <cell r="A9" t="str">
            <v>Consolidated Businesses</v>
          </cell>
        </row>
        <row r="10">
          <cell r="A10" t="str">
            <v>Atlanta Braves</v>
          </cell>
          <cell r="B10">
            <v>500</v>
          </cell>
          <cell r="C10">
            <v>500</v>
          </cell>
          <cell r="D10">
            <v>500</v>
          </cell>
        </row>
        <row r="11">
          <cell r="A11" t="str">
            <v>IDT Entertainment/ Starz Media</v>
          </cell>
          <cell r="B11">
            <v>350</v>
          </cell>
          <cell r="C11">
            <v>350</v>
          </cell>
          <cell r="D11">
            <v>350</v>
          </cell>
        </row>
        <row r="12">
          <cell r="A12" t="str">
            <v>TruePosition</v>
          </cell>
          <cell r="B12">
            <v>250</v>
          </cell>
          <cell r="C12">
            <v>250</v>
          </cell>
          <cell r="D12">
            <v>250</v>
          </cell>
        </row>
        <row r="13">
          <cell r="A13" t="str">
            <v>CBS Green Bay Station</v>
          </cell>
          <cell r="B13">
            <v>50</v>
          </cell>
          <cell r="C13">
            <v>50</v>
          </cell>
          <cell r="D13">
            <v>50</v>
          </cell>
        </row>
        <row r="14">
          <cell r="A14" t="str">
            <v>Total Consolidated Assets</v>
          </cell>
          <cell r="B14">
            <v>1150</v>
          </cell>
          <cell r="C14">
            <v>1150</v>
          </cell>
          <cell r="D14">
            <v>1150</v>
          </cell>
        </row>
        <row r="16">
          <cell r="A16" t="str">
            <v>Unconsolidated Investments</v>
          </cell>
        </row>
        <row r="17">
          <cell r="A17" t="str">
            <v xml:space="preserve">Time Warner  </v>
          </cell>
          <cell r="B17">
            <v>1540.2750000000001</v>
          </cell>
          <cell r="C17">
            <v>1540.2750000000001</v>
          </cell>
          <cell r="D17">
            <v>1540.2750000000001</v>
          </cell>
        </row>
        <row r="18">
          <cell r="A18" t="str">
            <v>Sprint and Related Derivatives</v>
          </cell>
          <cell r="B18">
            <v>2484.1157894736839</v>
          </cell>
          <cell r="C18">
            <v>2484.1157894736839</v>
          </cell>
          <cell r="D18">
            <v>2484.1157894736839</v>
          </cell>
        </row>
        <row r="19">
          <cell r="A19" t="str">
            <v>Embarq</v>
          </cell>
          <cell r="B19">
            <v>132.82735426008969</v>
          </cell>
          <cell r="C19">
            <v>132.82735426008969</v>
          </cell>
          <cell r="D19">
            <v>132.82735426008969</v>
          </cell>
        </row>
        <row r="20">
          <cell r="A20" t="str">
            <v xml:space="preserve">Motorola </v>
          </cell>
          <cell r="B20">
            <v>373.7</v>
          </cell>
          <cell r="C20">
            <v>373.7</v>
          </cell>
          <cell r="D20">
            <v>373.7</v>
          </cell>
        </row>
        <row r="21">
          <cell r="A21" t="str">
            <v xml:space="preserve">Viacom  </v>
          </cell>
          <cell r="B21">
            <v>148.33785070000002</v>
          </cell>
          <cell r="C21">
            <v>148.33785070000002</v>
          </cell>
          <cell r="D21">
            <v>148.33785070000002</v>
          </cell>
        </row>
        <row r="22">
          <cell r="A22" t="str">
            <v>Crown Media Holdings</v>
          </cell>
          <cell r="B22">
            <v>45.120000000000012</v>
          </cell>
          <cell r="C22">
            <v>45.120000000000012</v>
          </cell>
          <cell r="D22">
            <v>45.120000000000012</v>
          </cell>
        </row>
        <row r="23">
          <cell r="A23" t="str">
            <v xml:space="preserve">Priceline.com </v>
          </cell>
          <cell r="B23">
            <v>19.704000000000001</v>
          </cell>
          <cell r="C23">
            <v>19.704000000000001</v>
          </cell>
          <cell r="D23">
            <v>19.704000000000001</v>
          </cell>
        </row>
        <row r="24">
          <cell r="A24" t="str">
            <v>LodgeNet</v>
          </cell>
          <cell r="B24">
            <v>2.3984999999999999</v>
          </cell>
          <cell r="C24">
            <v>2.3984999999999999</v>
          </cell>
          <cell r="D24">
            <v>2.3984999999999999</v>
          </cell>
        </row>
        <row r="25">
          <cell r="A25" t="str">
            <v>CNBC Retransmission Agreement</v>
          </cell>
          <cell r="B25">
            <v>252</v>
          </cell>
          <cell r="C25">
            <v>252</v>
          </cell>
          <cell r="D25">
            <v>252</v>
          </cell>
        </row>
        <row r="26">
          <cell r="A26" t="str">
            <v>TMT Mezzanine Debt SPE</v>
          </cell>
          <cell r="B26">
            <v>750</v>
          </cell>
          <cell r="C26">
            <v>750</v>
          </cell>
          <cell r="D26">
            <v>750</v>
          </cell>
        </row>
        <row r="27">
          <cell r="A27" t="str">
            <v>Current Comm./Net2Phone/Wildblue Comm.</v>
          </cell>
          <cell r="B27">
            <v>70</v>
          </cell>
          <cell r="C27">
            <v>70</v>
          </cell>
          <cell r="D27">
            <v>70</v>
          </cell>
        </row>
        <row r="28">
          <cell r="A28" t="str">
            <v>Total Unconsolidated Assets</v>
          </cell>
          <cell r="B28">
            <v>5818.4784944337734</v>
          </cell>
          <cell r="C28">
            <v>5818.4784944337734</v>
          </cell>
          <cell r="D28">
            <v>5818.4784944337734</v>
          </cell>
        </row>
        <row r="30">
          <cell r="A30" t="str">
            <v>Total Estimated Asset Value</v>
          </cell>
          <cell r="B30">
            <v>6968.4784944337734</v>
          </cell>
          <cell r="C30">
            <v>6968.4784944337734</v>
          </cell>
          <cell r="D30">
            <v>6968.4784944337734</v>
          </cell>
        </row>
        <row r="32">
          <cell r="A32" t="str">
            <v>Less:</v>
          </cell>
        </row>
        <row r="33">
          <cell r="A33" t="str">
            <v>Debt at Par Value:</v>
          </cell>
          <cell r="B33">
            <v>4724</v>
          </cell>
          <cell r="C33">
            <v>4724</v>
          </cell>
          <cell r="D33">
            <v>4724</v>
          </cell>
        </row>
        <row r="34">
          <cell r="A34" t="str">
            <v>Borrowed Shares</v>
          </cell>
          <cell r="B34">
            <v>505.82960214077696</v>
          </cell>
          <cell r="C34">
            <v>505.82960214077696</v>
          </cell>
          <cell r="D34">
            <v>505.82960214077696</v>
          </cell>
        </row>
        <row r="35">
          <cell r="A35" t="str">
            <v>Total Debt and Derivative Liability</v>
          </cell>
          <cell r="B35">
            <v>5229.8296021407768</v>
          </cell>
          <cell r="C35">
            <v>5229.8296021407768</v>
          </cell>
          <cell r="D35">
            <v>5229.8296021407768</v>
          </cell>
        </row>
        <row r="36">
          <cell r="A36" t="str">
            <v>Minority Interests</v>
          </cell>
          <cell r="B36">
            <v>0</v>
          </cell>
          <cell r="C36">
            <v>0</v>
          </cell>
          <cell r="D36">
            <v>0</v>
          </cell>
        </row>
        <row r="38">
          <cell r="A38" t="str">
            <v>Plus:</v>
          </cell>
        </row>
        <row r="39">
          <cell r="A39" t="str">
            <v>Consolidated Cash</v>
          </cell>
          <cell r="B39">
            <v>993.26819148339155</v>
          </cell>
          <cell r="C39">
            <v>834.44224902370468</v>
          </cell>
          <cell r="D39">
            <v>677.08726440853195</v>
          </cell>
        </row>
        <row r="40">
          <cell r="A40" t="str">
            <v>Cash - Stock Options</v>
          </cell>
          <cell r="B40">
            <v>0</v>
          </cell>
          <cell r="C40">
            <v>0</v>
          </cell>
          <cell r="D40">
            <v>0</v>
          </cell>
        </row>
        <row r="41">
          <cell r="A41" t="str">
            <v>Total Estimated Equity Value</v>
          </cell>
          <cell r="B41">
            <v>2731.9170837763882</v>
          </cell>
          <cell r="C41">
            <v>2573.0911413167014</v>
          </cell>
          <cell r="D41">
            <v>2415.7361567015287</v>
          </cell>
        </row>
        <row r="43">
          <cell r="A43" t="str">
            <v>LCAPA Class A Shares</v>
          </cell>
          <cell r="B43">
            <v>87.643999708284667</v>
          </cell>
          <cell r="C43">
            <v>87.920497881453642</v>
          </cell>
          <cell r="D43">
            <v>88.203663119154001</v>
          </cell>
        </row>
        <row r="44">
          <cell r="A44" t="str">
            <v>LCAPA Class B Shares</v>
          </cell>
          <cell r="B44">
            <v>5.9392969999999998</v>
          </cell>
          <cell r="C44">
            <v>5.9392969999999998</v>
          </cell>
          <cell r="D44">
            <v>5.9392969999999998</v>
          </cell>
        </row>
        <row r="45">
          <cell r="A45" t="str">
            <v xml:space="preserve">Stock Options </v>
          </cell>
          <cell r="B45">
            <v>1.75</v>
          </cell>
          <cell r="C45">
            <v>1.75</v>
          </cell>
          <cell r="D45">
            <v>1.75</v>
          </cell>
        </row>
        <row r="46">
          <cell r="A46" t="str">
            <v xml:space="preserve">  Total Shares Outstanding</v>
          </cell>
          <cell r="B46">
            <v>95.333296708284664</v>
          </cell>
          <cell r="C46">
            <v>95.609794881453638</v>
          </cell>
          <cell r="D46">
            <v>95.892960119153997</v>
          </cell>
        </row>
        <row r="48">
          <cell r="A48" t="str">
            <v>Total Estimted Equity Value Per Share</v>
          </cell>
          <cell r="B48">
            <v>28.656483915959857</v>
          </cell>
          <cell r="C48">
            <v>26.912421938642073</v>
          </cell>
          <cell r="D48">
            <v>25.192007355908089</v>
          </cell>
        </row>
        <row r="49">
          <cell r="A49" t="str">
            <v>Upside from Last Close</v>
          </cell>
          <cell r="B49">
            <v>0.87174943931808335</v>
          </cell>
          <cell r="C49">
            <v>0.75783291565264999</v>
          </cell>
          <cell r="D49">
            <v>0.64546096380849693</v>
          </cell>
        </row>
        <row r="50">
          <cell r="A50" t="str">
            <v>Last Close</v>
          </cell>
          <cell r="B50">
            <v>15.31</v>
          </cell>
          <cell r="C50">
            <v>15.31</v>
          </cell>
          <cell r="D50">
            <v>15.31</v>
          </cell>
        </row>
      </sheetData>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mportantDisclosures"/>
      <sheetName val="SheetVisibilityStatus"/>
      <sheetName val="CircularReferenceAlert"/>
      <sheetName val="FCF Valuation"/>
      <sheetName val="FMV Summary"/>
      <sheetName val=" FMV 2008"/>
      <sheetName val="Multiples"/>
      <sheetName val="MWA RR"/>
      <sheetName val="MWA ROE"/>
      <sheetName val="Interactive Group GAAP Financ."/>
      <sheetName val="MW-Cache"/>
      <sheetName val="Revenue and OCF"/>
      <sheetName val="Geographic Breakdown"/>
      <sheetName val="Domestic"/>
      <sheetName val="UK"/>
      <sheetName val="QVC Germany"/>
      <sheetName val="Italy"/>
      <sheetName val="Japan"/>
      <sheetName val="QVC Valuation"/>
      <sheetName val="Provide"/>
      <sheetName val="Latest Ownership"/>
      <sheetName val="LINTA.O"/>
      <sheetName val="ModPubIndexInternal"/>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row r="2">
          <cell r="A2" t="str">
            <v>QVC - Geographic Breakdown</v>
          </cell>
          <cell r="Z2" t="str">
            <v>QVC - Geographic Breakdown</v>
          </cell>
        </row>
        <row r="4">
          <cell r="AA4">
            <v>1996</v>
          </cell>
          <cell r="AF4">
            <v>1997</v>
          </cell>
          <cell r="AK4">
            <v>1998</v>
          </cell>
          <cell r="AP4">
            <v>1999</v>
          </cell>
          <cell r="AU4">
            <v>2000</v>
          </cell>
          <cell r="AZ4">
            <v>2001</v>
          </cell>
          <cell r="BE4">
            <v>2002</v>
          </cell>
          <cell r="BJ4">
            <v>2003</v>
          </cell>
          <cell r="BO4">
            <v>2004</v>
          </cell>
          <cell r="BT4">
            <v>2005</v>
          </cell>
          <cell r="BY4">
            <v>2006</v>
          </cell>
          <cell r="CD4">
            <v>2007</v>
          </cell>
          <cell r="CI4" t="str">
            <v>2008E</v>
          </cell>
        </row>
        <row r="5">
          <cell r="A5" t="str">
            <v>($ Millions)</v>
          </cell>
          <cell r="B5">
            <v>1996</v>
          </cell>
          <cell r="C5">
            <v>1997</v>
          </cell>
          <cell r="D5">
            <v>1998</v>
          </cell>
          <cell r="E5">
            <v>1999</v>
          </cell>
          <cell r="F5">
            <v>2000</v>
          </cell>
          <cell r="G5">
            <v>2001</v>
          </cell>
          <cell r="H5">
            <v>2002</v>
          </cell>
          <cell r="I5">
            <v>2003</v>
          </cell>
          <cell r="J5">
            <v>2004</v>
          </cell>
          <cell r="K5">
            <v>2005</v>
          </cell>
          <cell r="L5">
            <v>2006</v>
          </cell>
          <cell r="M5">
            <v>2007</v>
          </cell>
          <cell r="N5">
            <v>2008</v>
          </cell>
          <cell r="O5">
            <v>2009</v>
          </cell>
          <cell r="P5">
            <v>2010</v>
          </cell>
          <cell r="Q5">
            <v>2011</v>
          </cell>
          <cell r="R5">
            <v>2012</v>
          </cell>
          <cell r="S5">
            <v>2013</v>
          </cell>
          <cell r="T5">
            <v>2014</v>
          </cell>
          <cell r="U5">
            <v>2015</v>
          </cell>
          <cell r="V5">
            <v>2016</v>
          </cell>
          <cell r="W5">
            <v>2017</v>
          </cell>
          <cell r="X5">
            <v>2018</v>
          </cell>
          <cell r="Z5" t="str">
            <v>($ Millions)</v>
          </cell>
          <cell r="AA5" t="str">
            <v>Q1</v>
          </cell>
          <cell r="AB5" t="str">
            <v>Q2</v>
          </cell>
          <cell r="AC5" t="str">
            <v>Q3</v>
          </cell>
          <cell r="AD5" t="str">
            <v>Q4</v>
          </cell>
          <cell r="AF5" t="str">
            <v>Q1</v>
          </cell>
          <cell r="AG5" t="str">
            <v>Q2</v>
          </cell>
          <cell r="AH5" t="str">
            <v>Q3</v>
          </cell>
          <cell r="AI5" t="str">
            <v>Q4</v>
          </cell>
          <cell r="AK5" t="str">
            <v>Q1</v>
          </cell>
          <cell r="AL5" t="str">
            <v>Q2</v>
          </cell>
          <cell r="AM5" t="str">
            <v>Q3</v>
          </cell>
          <cell r="AN5" t="str">
            <v>Q4</v>
          </cell>
          <cell r="AP5" t="str">
            <v>Q1</v>
          </cell>
          <cell r="AQ5" t="str">
            <v>Q2</v>
          </cell>
          <cell r="AR5" t="str">
            <v>Q3</v>
          </cell>
          <cell r="AS5" t="str">
            <v>Q4</v>
          </cell>
          <cell r="AU5" t="str">
            <v>Q1</v>
          </cell>
          <cell r="AV5" t="str">
            <v>Q2</v>
          </cell>
          <cell r="AW5" t="str">
            <v>Q3</v>
          </cell>
          <cell r="AX5" t="str">
            <v>Q4</v>
          </cell>
          <cell r="AZ5" t="str">
            <v>Q1</v>
          </cell>
          <cell r="BA5" t="str">
            <v>Q2</v>
          </cell>
          <cell r="BB5" t="str">
            <v>Q3</v>
          </cell>
          <cell r="BC5" t="str">
            <v>Q4</v>
          </cell>
          <cell r="BE5" t="str">
            <v>Q1</v>
          </cell>
          <cell r="BF5" t="str">
            <v>Q2</v>
          </cell>
          <cell r="BG5" t="str">
            <v>Q3</v>
          </cell>
          <cell r="BH5" t="str">
            <v>Q4</v>
          </cell>
          <cell r="BJ5" t="str">
            <v>Q1</v>
          </cell>
          <cell r="BK5" t="str">
            <v>Q2</v>
          </cell>
          <cell r="BL5" t="str">
            <v>Q3</v>
          </cell>
          <cell r="BM5" t="str">
            <v>Q4</v>
          </cell>
          <cell r="BO5" t="str">
            <v>Q1</v>
          </cell>
          <cell r="BP5" t="str">
            <v>Q2</v>
          </cell>
          <cell r="BQ5" t="str">
            <v>Q3</v>
          </cell>
          <cell r="BR5" t="str">
            <v>Q4</v>
          </cell>
          <cell r="BT5" t="str">
            <v>Q1</v>
          </cell>
          <cell r="BU5" t="str">
            <v>Q2</v>
          </cell>
          <cell r="BV5" t="str">
            <v>Q3</v>
          </cell>
          <cell r="BW5" t="str">
            <v>Q4</v>
          </cell>
          <cell r="BY5" t="str">
            <v>1Q</v>
          </cell>
          <cell r="BZ5" t="str">
            <v>2Q</v>
          </cell>
          <cell r="CA5" t="str">
            <v>3Q</v>
          </cell>
          <cell r="CB5" t="str">
            <v>4Q</v>
          </cell>
          <cell r="CD5" t="str">
            <v>1Q</v>
          </cell>
          <cell r="CE5" t="str">
            <v>2Q</v>
          </cell>
          <cell r="CF5" t="str">
            <v>3Q</v>
          </cell>
          <cell r="CG5" t="str">
            <v>4Q</v>
          </cell>
          <cell r="CI5" t="str">
            <v>1Q</v>
          </cell>
          <cell r="CJ5" t="str">
            <v>2Q</v>
          </cell>
          <cell r="CK5" t="str">
            <v>3Q</v>
          </cell>
          <cell r="CL5" t="str">
            <v>4QE</v>
          </cell>
        </row>
        <row r="6">
          <cell r="A6" t="str">
            <v>Revenues</v>
          </cell>
          <cell r="Z6" t="str">
            <v>Revenues</v>
          </cell>
        </row>
        <row r="7">
          <cell r="A7" t="str">
            <v xml:space="preserve">  Domestic</v>
          </cell>
          <cell r="B7">
            <v>1737.1690000000001</v>
          </cell>
          <cell r="C7">
            <v>1904.761</v>
          </cell>
          <cell r="D7">
            <v>2343.4</v>
          </cell>
          <cell r="E7">
            <v>2695.4</v>
          </cell>
          <cell r="F7">
            <v>3050.8</v>
          </cell>
          <cell r="G7">
            <v>3373.1000000000004</v>
          </cell>
          <cell r="H7">
            <v>3672.3999999999996</v>
          </cell>
          <cell r="I7">
            <v>3845</v>
          </cell>
          <cell r="J7">
            <v>4141</v>
          </cell>
          <cell r="K7">
            <v>4640</v>
          </cell>
          <cell r="L7">
            <v>4983</v>
          </cell>
          <cell r="M7">
            <v>5208</v>
          </cell>
          <cell r="N7">
            <v>4931.385904077164</v>
          </cell>
          <cell r="O7">
            <v>4709.7957081675477</v>
          </cell>
          <cell r="P7">
            <v>4762.16859251592</v>
          </cell>
          <cell r="Q7">
            <v>4937.363943518083</v>
          </cell>
          <cell r="R7">
            <v>5125.835063808393</v>
          </cell>
          <cell r="S7">
            <v>5323.3697980529114</v>
          </cell>
          <cell r="T7">
            <v>5523.5804870878083</v>
          </cell>
          <cell r="U7">
            <v>5723.3467287725016</v>
          </cell>
          <cell r="V7">
            <v>5926.7929051440324</v>
          </cell>
          <cell r="W7">
            <v>6131.6495596120321</v>
          </cell>
          <cell r="X7">
            <v>6348.8217747257786</v>
          </cell>
          <cell r="Z7" t="str">
            <v xml:space="preserve">  Domestic</v>
          </cell>
          <cell r="AA7">
            <v>428.87799999999999</v>
          </cell>
          <cell r="AB7">
            <v>385.76799999999997</v>
          </cell>
          <cell r="AC7">
            <v>409.02300000000002</v>
          </cell>
          <cell r="AD7">
            <v>513.5</v>
          </cell>
          <cell r="AF7">
            <v>445.81099999999998</v>
          </cell>
          <cell r="AG7">
            <v>429.95</v>
          </cell>
          <cell r="AH7">
            <v>447.7</v>
          </cell>
          <cell r="AI7">
            <v>581.29999999999995</v>
          </cell>
          <cell r="AK7">
            <v>536.95491444866923</v>
          </cell>
          <cell r="AL7">
            <v>513.56546577946779</v>
          </cell>
          <cell r="AM7">
            <v>559.45333650190116</v>
          </cell>
          <cell r="AN7">
            <v>733.42628326996203</v>
          </cell>
          <cell r="AP7">
            <v>615.20000000000005</v>
          </cell>
          <cell r="AQ7">
            <v>596.29999999999995</v>
          </cell>
          <cell r="AR7">
            <v>641.9</v>
          </cell>
          <cell r="AS7">
            <v>842</v>
          </cell>
          <cell r="AU7">
            <v>696.7</v>
          </cell>
          <cell r="AV7">
            <v>657.9</v>
          </cell>
          <cell r="AW7">
            <v>710.5</v>
          </cell>
          <cell r="AX7">
            <v>985.7</v>
          </cell>
          <cell r="AZ7">
            <v>755.1</v>
          </cell>
          <cell r="BA7">
            <v>756.8</v>
          </cell>
          <cell r="BB7">
            <v>773.2</v>
          </cell>
          <cell r="BC7">
            <v>1088</v>
          </cell>
          <cell r="BE7">
            <v>841.9</v>
          </cell>
          <cell r="BF7">
            <v>837.3</v>
          </cell>
          <cell r="BG7">
            <v>840.2</v>
          </cell>
          <cell r="BH7">
            <v>1153</v>
          </cell>
          <cell r="BJ7">
            <v>848</v>
          </cell>
          <cell r="BK7">
            <v>862</v>
          </cell>
          <cell r="BL7">
            <v>901</v>
          </cell>
          <cell r="BM7">
            <v>1234</v>
          </cell>
          <cell r="BN7">
            <v>0</v>
          </cell>
          <cell r="BO7">
            <v>932</v>
          </cell>
          <cell r="BP7">
            <v>930</v>
          </cell>
          <cell r="BQ7">
            <v>932</v>
          </cell>
          <cell r="BR7">
            <v>1347</v>
          </cell>
          <cell r="BS7">
            <v>0</v>
          </cell>
          <cell r="BT7">
            <v>1025</v>
          </cell>
          <cell r="BU7">
            <v>1034</v>
          </cell>
          <cell r="BV7">
            <v>1039</v>
          </cell>
          <cell r="BW7">
            <v>1542</v>
          </cell>
          <cell r="BX7">
            <v>0</v>
          </cell>
          <cell r="BY7">
            <v>1088</v>
          </cell>
          <cell r="BZ7">
            <v>1140</v>
          </cell>
          <cell r="CA7">
            <v>1151</v>
          </cell>
          <cell r="CB7">
            <v>1604</v>
          </cell>
          <cell r="CC7">
            <v>0</v>
          </cell>
          <cell r="CD7">
            <v>1174</v>
          </cell>
          <cell r="CE7">
            <v>1184</v>
          </cell>
          <cell r="CF7">
            <v>1174</v>
          </cell>
          <cell r="CG7">
            <v>1676</v>
          </cell>
          <cell r="CH7">
            <v>0</v>
          </cell>
          <cell r="CI7">
            <v>1176</v>
          </cell>
          <cell r="CJ7">
            <v>1181</v>
          </cell>
          <cell r="CK7">
            <v>1073</v>
          </cell>
          <cell r="CL7">
            <v>1501.385904077164</v>
          </cell>
          <cell r="CM7">
            <v>0</v>
          </cell>
        </row>
        <row r="8">
          <cell r="A8" t="str">
            <v xml:space="preserve">  United Kingdom</v>
          </cell>
          <cell r="B8">
            <v>98.2</v>
          </cell>
          <cell r="C8">
            <v>166</v>
          </cell>
          <cell r="D8">
            <v>267.3</v>
          </cell>
          <cell r="E8">
            <v>327.7</v>
          </cell>
          <cell r="F8">
            <v>300.8</v>
          </cell>
          <cell r="G8">
            <v>271.7</v>
          </cell>
          <cell r="H8">
            <v>296.5</v>
          </cell>
          <cell r="I8">
            <v>370</v>
          </cell>
          <cell r="J8">
            <v>487.00000000000006</v>
          </cell>
          <cell r="K8">
            <v>554</v>
          </cell>
          <cell r="L8">
            <v>612</v>
          </cell>
          <cell r="M8">
            <v>707</v>
          </cell>
          <cell r="N8">
            <v>697.13017326870499</v>
          </cell>
          <cell r="O8">
            <v>587.60435165216597</v>
          </cell>
          <cell r="P8">
            <v>601.38551751187504</v>
          </cell>
          <cell r="Q8">
            <v>612.76201225273826</v>
          </cell>
          <cell r="R8">
            <v>629.88621414113379</v>
          </cell>
          <cell r="S8">
            <v>645.6705835617538</v>
          </cell>
          <cell r="T8">
            <v>653.41863056449483</v>
          </cell>
          <cell r="U8">
            <v>661.2596541312688</v>
          </cell>
          <cell r="V8">
            <v>669.19476998084394</v>
          </cell>
          <cell r="W8">
            <v>677.22510722061418</v>
          </cell>
          <cell r="X8">
            <v>685.35180850726147</v>
          </cell>
          <cell r="Z8" t="str">
            <v xml:space="preserve">  United Kingdom</v>
          </cell>
          <cell r="AA8">
            <v>21.2</v>
          </cell>
          <cell r="AB8">
            <v>20</v>
          </cell>
          <cell r="AC8">
            <v>22</v>
          </cell>
          <cell r="AD8">
            <v>35</v>
          </cell>
          <cell r="AF8">
            <v>33</v>
          </cell>
          <cell r="AG8">
            <v>36</v>
          </cell>
          <cell r="AH8">
            <v>40</v>
          </cell>
          <cell r="AI8">
            <v>57</v>
          </cell>
          <cell r="AK8">
            <v>56.133000000000003</v>
          </cell>
          <cell r="AL8">
            <v>62.14725</v>
          </cell>
          <cell r="AM8">
            <v>63.595125000000003</v>
          </cell>
          <cell r="AN8">
            <v>85.424625000000006</v>
          </cell>
          <cell r="AP8">
            <v>74.900000000000006</v>
          </cell>
          <cell r="AQ8">
            <v>75.099999999999994</v>
          </cell>
          <cell r="AR8">
            <v>76.2</v>
          </cell>
          <cell r="AS8">
            <v>101.5</v>
          </cell>
          <cell r="AU8">
            <v>79</v>
          </cell>
          <cell r="AV8">
            <v>71.5</v>
          </cell>
          <cell r="AW8">
            <v>66</v>
          </cell>
          <cell r="AX8">
            <v>84.3</v>
          </cell>
          <cell r="AZ8">
            <v>68.7</v>
          </cell>
          <cell r="BA8">
            <v>64</v>
          </cell>
          <cell r="BB8">
            <v>59.3</v>
          </cell>
          <cell r="BC8">
            <v>79.7</v>
          </cell>
          <cell r="BE8">
            <v>67.599999999999994</v>
          </cell>
          <cell r="BF8">
            <v>66.099999999999994</v>
          </cell>
          <cell r="BG8">
            <v>68.8</v>
          </cell>
          <cell r="BH8">
            <v>94</v>
          </cell>
          <cell r="BJ8">
            <v>79</v>
          </cell>
          <cell r="BK8">
            <v>83</v>
          </cell>
          <cell r="BL8">
            <v>85</v>
          </cell>
          <cell r="BM8">
            <v>123</v>
          </cell>
          <cell r="BN8">
            <v>0</v>
          </cell>
          <cell r="BO8">
            <v>112</v>
          </cell>
          <cell r="BP8">
            <v>109</v>
          </cell>
          <cell r="BQ8">
            <v>112</v>
          </cell>
          <cell r="BR8">
            <v>154</v>
          </cell>
          <cell r="BS8">
            <v>0</v>
          </cell>
          <cell r="BT8">
            <v>130</v>
          </cell>
          <cell r="BU8">
            <v>129</v>
          </cell>
          <cell r="BV8">
            <v>129</v>
          </cell>
          <cell r="BW8">
            <v>166</v>
          </cell>
          <cell r="BX8">
            <v>0</v>
          </cell>
          <cell r="BY8">
            <v>134</v>
          </cell>
          <cell r="BZ8">
            <v>137</v>
          </cell>
          <cell r="CA8">
            <v>144</v>
          </cell>
          <cell r="CB8">
            <v>197</v>
          </cell>
          <cell r="CC8">
            <v>0</v>
          </cell>
          <cell r="CD8">
            <v>152</v>
          </cell>
          <cell r="CE8">
            <v>160</v>
          </cell>
          <cell r="CF8">
            <v>169</v>
          </cell>
          <cell r="CG8">
            <v>226</v>
          </cell>
          <cell r="CH8">
            <v>0</v>
          </cell>
          <cell r="CI8">
            <v>172</v>
          </cell>
          <cell r="CJ8">
            <v>163</v>
          </cell>
          <cell r="CK8">
            <v>160</v>
          </cell>
          <cell r="CL8">
            <v>202.13017326870499</v>
          </cell>
          <cell r="CM8">
            <v>0</v>
          </cell>
        </row>
        <row r="9">
          <cell r="A9" t="str">
            <v xml:space="preserve">  Germany</v>
          </cell>
          <cell r="B9">
            <v>0.5</v>
          </cell>
          <cell r="C9">
            <v>11.739000000000001</v>
          </cell>
          <cell r="D9">
            <v>43.3</v>
          </cell>
          <cell r="E9">
            <v>102.10000000000001</v>
          </cell>
          <cell r="F9">
            <v>137.6</v>
          </cell>
          <cell r="G9">
            <v>197.79999999999998</v>
          </cell>
          <cell r="H9">
            <v>275.5</v>
          </cell>
          <cell r="I9">
            <v>429</v>
          </cell>
          <cell r="J9">
            <v>643</v>
          </cell>
          <cell r="K9">
            <v>781</v>
          </cell>
          <cell r="L9">
            <v>848</v>
          </cell>
          <cell r="M9">
            <v>870</v>
          </cell>
          <cell r="N9">
            <v>982.18485467816868</v>
          </cell>
          <cell r="O9">
            <v>849.44646140942268</v>
          </cell>
          <cell r="P9">
            <v>862.18815833056408</v>
          </cell>
          <cell r="Q9">
            <v>875.12098070552224</v>
          </cell>
          <cell r="R9">
            <v>888.24779541610508</v>
          </cell>
          <cell r="S9">
            <v>901.57151234734658</v>
          </cell>
          <cell r="T9">
            <v>915.09508503255677</v>
          </cell>
          <cell r="U9">
            <v>928.82151130804493</v>
          </cell>
          <cell r="V9">
            <v>942.75383397766552</v>
          </cell>
          <cell r="W9">
            <v>956.89514148733042</v>
          </cell>
          <cell r="X9">
            <v>971.24856860964019</v>
          </cell>
          <cell r="Z9" t="str">
            <v xml:space="preserve">  Germany</v>
          </cell>
          <cell r="AA9">
            <v>0</v>
          </cell>
          <cell r="AB9">
            <v>0</v>
          </cell>
          <cell r="AC9">
            <v>0</v>
          </cell>
          <cell r="AD9">
            <v>0.5</v>
          </cell>
          <cell r="AF9">
            <v>0.88900000000000001</v>
          </cell>
          <cell r="AG9">
            <v>1.75</v>
          </cell>
          <cell r="AH9">
            <v>2.9</v>
          </cell>
          <cell r="AI9">
            <v>6.2</v>
          </cell>
          <cell r="AK9">
            <v>8.3483290488431887</v>
          </cell>
          <cell r="AL9">
            <v>7.9030848329048835</v>
          </cell>
          <cell r="AM9">
            <v>10.240616966580975</v>
          </cell>
          <cell r="AN9">
            <v>16.80796915167095</v>
          </cell>
          <cell r="AP9">
            <v>21.8</v>
          </cell>
          <cell r="AQ9">
            <v>22.1</v>
          </cell>
          <cell r="AR9">
            <v>24</v>
          </cell>
          <cell r="AS9">
            <v>34.200000000000003</v>
          </cell>
          <cell r="AU9">
            <v>34.6</v>
          </cell>
          <cell r="AV9">
            <v>29.7</v>
          </cell>
          <cell r="AW9">
            <v>33.9</v>
          </cell>
          <cell r="AX9">
            <v>39.4</v>
          </cell>
          <cell r="AZ9">
            <v>46.1</v>
          </cell>
          <cell r="BA9">
            <v>41.8</v>
          </cell>
          <cell r="BB9">
            <v>45.8</v>
          </cell>
          <cell r="BC9">
            <v>64.099999999999994</v>
          </cell>
          <cell r="BE9">
            <v>60.5</v>
          </cell>
          <cell r="BF9">
            <v>62.5</v>
          </cell>
          <cell r="BG9">
            <v>65.5</v>
          </cell>
          <cell r="BH9">
            <v>87</v>
          </cell>
          <cell r="BJ9">
            <v>95</v>
          </cell>
          <cell r="BK9">
            <v>100</v>
          </cell>
          <cell r="BL9">
            <v>103</v>
          </cell>
          <cell r="BM9">
            <v>131</v>
          </cell>
          <cell r="BN9">
            <v>0</v>
          </cell>
          <cell r="BO9">
            <v>155</v>
          </cell>
          <cell r="BP9">
            <v>152</v>
          </cell>
          <cell r="BQ9">
            <v>145</v>
          </cell>
          <cell r="BR9">
            <v>191</v>
          </cell>
          <cell r="BS9">
            <v>0</v>
          </cell>
          <cell r="BT9">
            <v>194</v>
          </cell>
          <cell r="BU9">
            <v>185</v>
          </cell>
          <cell r="BV9">
            <v>178</v>
          </cell>
          <cell r="BW9">
            <v>224</v>
          </cell>
          <cell r="BX9">
            <v>0</v>
          </cell>
          <cell r="BY9">
            <v>195</v>
          </cell>
          <cell r="BZ9">
            <v>190</v>
          </cell>
          <cell r="CA9">
            <v>202</v>
          </cell>
          <cell r="CB9">
            <v>261</v>
          </cell>
          <cell r="CC9">
            <v>0</v>
          </cell>
          <cell r="CD9">
            <v>215</v>
          </cell>
          <cell r="CE9">
            <v>198</v>
          </cell>
          <cell r="CF9">
            <v>194</v>
          </cell>
          <cell r="CG9">
            <v>263</v>
          </cell>
          <cell r="CH9">
            <v>0</v>
          </cell>
          <cell r="CI9">
            <v>249</v>
          </cell>
          <cell r="CJ9">
            <v>224</v>
          </cell>
          <cell r="CK9">
            <v>229</v>
          </cell>
          <cell r="CL9">
            <v>280.18485467816868</v>
          </cell>
          <cell r="CM9">
            <v>0</v>
          </cell>
        </row>
        <row r="10">
          <cell r="A10" t="str">
            <v xml:space="preserve">  Italy</v>
          </cell>
          <cell r="K10">
            <v>0</v>
          </cell>
          <cell r="L10">
            <v>0</v>
          </cell>
          <cell r="M10">
            <v>0</v>
          </cell>
          <cell r="N10">
            <v>0</v>
          </cell>
          <cell r="O10">
            <v>0</v>
          </cell>
          <cell r="P10">
            <v>35.75</v>
          </cell>
          <cell r="Q10">
            <v>151.6515</v>
          </cell>
          <cell r="R10">
            <v>170.15298300000003</v>
          </cell>
          <cell r="S10">
            <v>186.57274585950003</v>
          </cell>
          <cell r="T10">
            <v>201.00881207037884</v>
          </cell>
          <cell r="U10">
            <v>213.67864875618994</v>
          </cell>
          <cell r="V10">
            <v>224.84836624703112</v>
          </cell>
          <cell r="W10">
            <v>236.2256935791309</v>
          </cell>
          <cell r="X10">
            <v>248.17871367423487</v>
          </cell>
          <cell r="Z10" t="str">
            <v xml:space="preserve">  Italy</v>
          </cell>
          <cell r="CD10">
            <v>0</v>
          </cell>
          <cell r="CE10">
            <v>0</v>
          </cell>
          <cell r="CF10">
            <v>0</v>
          </cell>
          <cell r="CG10">
            <v>0</v>
          </cell>
          <cell r="CI10">
            <v>0</v>
          </cell>
          <cell r="CJ10">
            <v>0</v>
          </cell>
          <cell r="CK10">
            <v>0</v>
          </cell>
          <cell r="CL10">
            <v>0</v>
          </cell>
          <cell r="CM10">
            <v>0</v>
          </cell>
        </row>
        <row r="11">
          <cell r="A11" t="str">
            <v xml:space="preserve">  Japan</v>
          </cell>
          <cell r="B11">
            <v>0</v>
          </cell>
          <cell r="C11">
            <v>0</v>
          </cell>
          <cell r="D11">
            <v>21.9</v>
          </cell>
          <cell r="E11">
            <v>42.2</v>
          </cell>
          <cell r="F11">
            <v>46.7</v>
          </cell>
          <cell r="G11">
            <v>74.699999999999989</v>
          </cell>
          <cell r="H11">
            <v>136.4</v>
          </cell>
          <cell r="I11">
            <v>245</v>
          </cell>
          <cell r="J11">
            <v>416</v>
          </cell>
          <cell r="K11">
            <v>526</v>
          </cell>
          <cell r="L11">
            <v>631</v>
          </cell>
          <cell r="M11">
            <v>612</v>
          </cell>
          <cell r="N11">
            <v>748.4411416518094</v>
          </cell>
          <cell r="O11">
            <v>824.98511209969297</v>
          </cell>
          <cell r="P11">
            <v>889.46421165064271</v>
          </cell>
          <cell r="Q11">
            <v>948.66340648415451</v>
          </cell>
          <cell r="R11">
            <v>1002.1951272786174</v>
          </cell>
          <cell r="S11">
            <v>1051.6137145892526</v>
          </cell>
          <cell r="T11">
            <v>1098.6132102133536</v>
          </cell>
          <cell r="U11">
            <v>1142.9971839059729</v>
          </cell>
          <cell r="V11">
            <v>1184.5607178661899</v>
          </cell>
          <cell r="W11">
            <v>1223.0901138473112</v>
          </cell>
          <cell r="X11">
            <v>1258.3625913073099</v>
          </cell>
          <cell r="Z11" t="str">
            <v xml:space="preserve">  Japan</v>
          </cell>
          <cell r="AA11">
            <v>0</v>
          </cell>
          <cell r="AB11">
            <v>0</v>
          </cell>
          <cell r="AC11">
            <v>0</v>
          </cell>
          <cell r="AD11">
            <v>0</v>
          </cell>
          <cell r="AF11">
            <v>0</v>
          </cell>
          <cell r="AG11">
            <v>0</v>
          </cell>
          <cell r="AH11">
            <v>0</v>
          </cell>
          <cell r="AI11">
            <v>0</v>
          </cell>
          <cell r="AK11">
            <v>4.5</v>
          </cell>
          <cell r="AL11">
            <v>6</v>
          </cell>
          <cell r="AM11">
            <v>5.3</v>
          </cell>
          <cell r="AN11">
            <v>3.9</v>
          </cell>
          <cell r="AP11">
            <v>10.4</v>
          </cell>
          <cell r="AQ11">
            <v>9.6</v>
          </cell>
          <cell r="AR11">
            <v>9.1999999999999993</v>
          </cell>
          <cell r="AS11">
            <v>13</v>
          </cell>
          <cell r="AU11">
            <v>10.7</v>
          </cell>
          <cell r="AV11">
            <v>11.5</v>
          </cell>
          <cell r="AW11">
            <v>9.9</v>
          </cell>
          <cell r="AX11">
            <v>14.6</v>
          </cell>
          <cell r="AZ11">
            <v>14.1</v>
          </cell>
          <cell r="BA11">
            <v>13.4</v>
          </cell>
          <cell r="BB11">
            <v>16.8</v>
          </cell>
          <cell r="BC11">
            <v>30.4</v>
          </cell>
          <cell r="BE11">
            <v>23.5</v>
          </cell>
          <cell r="BF11">
            <v>28.6</v>
          </cell>
          <cell r="BG11">
            <v>37.299999999999997</v>
          </cell>
          <cell r="BH11">
            <v>47</v>
          </cell>
          <cell r="BJ11">
            <v>40</v>
          </cell>
          <cell r="BK11">
            <v>56</v>
          </cell>
          <cell r="BL11">
            <v>64</v>
          </cell>
          <cell r="BM11">
            <v>85</v>
          </cell>
          <cell r="BN11">
            <v>0</v>
          </cell>
          <cell r="BO11">
            <v>84</v>
          </cell>
          <cell r="BP11">
            <v>98</v>
          </cell>
          <cell r="BQ11">
            <v>103</v>
          </cell>
          <cell r="BR11">
            <v>131</v>
          </cell>
          <cell r="BS11">
            <v>0</v>
          </cell>
          <cell r="BT11">
            <v>115</v>
          </cell>
          <cell r="BU11">
            <v>131</v>
          </cell>
          <cell r="BV11">
            <v>129</v>
          </cell>
          <cell r="BW11">
            <v>151</v>
          </cell>
          <cell r="BX11">
            <v>0</v>
          </cell>
          <cell r="BY11">
            <v>138</v>
          </cell>
          <cell r="BZ11">
            <v>163</v>
          </cell>
          <cell r="CA11">
            <v>156</v>
          </cell>
          <cell r="CB11">
            <v>174</v>
          </cell>
          <cell r="CC11">
            <v>0</v>
          </cell>
          <cell r="CD11">
            <v>143</v>
          </cell>
          <cell r="CE11">
            <v>151</v>
          </cell>
          <cell r="CF11">
            <v>149</v>
          </cell>
          <cell r="CG11">
            <v>169</v>
          </cell>
          <cell r="CH11">
            <v>0</v>
          </cell>
          <cell r="CI11">
            <v>168</v>
          </cell>
          <cell r="CJ11">
            <v>193</v>
          </cell>
          <cell r="CK11">
            <v>179</v>
          </cell>
          <cell r="CL11">
            <v>208.44114165180946</v>
          </cell>
          <cell r="CM11">
            <v>0</v>
          </cell>
        </row>
        <row r="12">
          <cell r="A12" t="str">
            <v>Total Revenue</v>
          </cell>
          <cell r="B12">
            <v>1835.8690000000001</v>
          </cell>
          <cell r="C12">
            <v>2082.5</v>
          </cell>
          <cell r="D12">
            <v>2675.9</v>
          </cell>
          <cell r="E12">
            <v>3167.4</v>
          </cell>
          <cell r="F12">
            <v>3535.9</v>
          </cell>
          <cell r="G12">
            <v>3917.3</v>
          </cell>
          <cell r="H12">
            <v>4380.7999999999993</v>
          </cell>
          <cell r="I12">
            <v>4889</v>
          </cell>
          <cell r="J12">
            <v>5687</v>
          </cell>
          <cell r="K12">
            <v>6501</v>
          </cell>
          <cell r="L12">
            <v>7074</v>
          </cell>
          <cell r="M12">
            <v>7397</v>
          </cell>
          <cell r="N12">
            <v>7359.1420736758473</v>
          </cell>
          <cell r="O12">
            <v>6971.8316333288285</v>
          </cell>
          <cell r="P12">
            <v>7150.956480009002</v>
          </cell>
          <cell r="Q12">
            <v>7525.5618429604983</v>
          </cell>
          <cell r="R12">
            <v>7816.3171836442489</v>
          </cell>
          <cell r="S12">
            <v>8108.7983544107647</v>
          </cell>
          <cell r="T12">
            <v>8391.7162249685935</v>
          </cell>
          <cell r="U12">
            <v>8670.1037268739783</v>
          </cell>
          <cell r="V12">
            <v>8948.1505932157634</v>
          </cell>
          <cell r="W12">
            <v>9225.0856157464204</v>
          </cell>
          <cell r="X12">
            <v>9511.9634568242254</v>
          </cell>
          <cell r="Z12" t="str">
            <v>Total Revenue</v>
          </cell>
          <cell r="AA12">
            <v>450.07799999999997</v>
          </cell>
          <cell r="AB12">
            <v>405.76799999999997</v>
          </cell>
          <cell r="AC12">
            <v>431.02300000000002</v>
          </cell>
          <cell r="AD12">
            <v>549</v>
          </cell>
          <cell r="AF12">
            <v>479.7</v>
          </cell>
          <cell r="AG12">
            <v>467.7</v>
          </cell>
          <cell r="AH12">
            <v>490.59999999999997</v>
          </cell>
          <cell r="AI12">
            <v>644.5</v>
          </cell>
          <cell r="AK12">
            <v>605.93624349751246</v>
          </cell>
          <cell r="AL12">
            <v>589.61580061237271</v>
          </cell>
          <cell r="AM12">
            <v>638.58907846848206</v>
          </cell>
          <cell r="AN12">
            <v>839.55887742163293</v>
          </cell>
          <cell r="AP12">
            <v>722.30000000000007</v>
          </cell>
          <cell r="AQ12">
            <v>703.1</v>
          </cell>
          <cell r="AR12">
            <v>751.30000000000007</v>
          </cell>
          <cell r="AS12">
            <v>990.7</v>
          </cell>
          <cell r="AU12">
            <v>821.00000000000011</v>
          </cell>
          <cell r="AV12">
            <v>770.6</v>
          </cell>
          <cell r="AW12">
            <v>820.3</v>
          </cell>
          <cell r="AX12">
            <v>1124</v>
          </cell>
          <cell r="AZ12">
            <v>884.00000000000011</v>
          </cell>
          <cell r="BA12">
            <v>875.99999999999989</v>
          </cell>
          <cell r="BB12">
            <v>895.1</v>
          </cell>
          <cell r="BC12">
            <v>1262.2</v>
          </cell>
          <cell r="BE12">
            <v>993.5</v>
          </cell>
          <cell r="BF12">
            <v>994.5</v>
          </cell>
          <cell r="BG12">
            <v>1011.8</v>
          </cell>
          <cell r="BH12">
            <v>1381</v>
          </cell>
          <cell r="BJ12">
            <v>1062</v>
          </cell>
          <cell r="BK12">
            <v>1101</v>
          </cell>
          <cell r="BL12">
            <v>1153</v>
          </cell>
          <cell r="BM12">
            <v>1573</v>
          </cell>
          <cell r="BN12">
            <v>0</v>
          </cell>
          <cell r="BO12">
            <v>1283</v>
          </cell>
          <cell r="BP12">
            <v>1289</v>
          </cell>
          <cell r="BQ12">
            <v>1292</v>
          </cell>
          <cell r="BR12">
            <v>1823</v>
          </cell>
          <cell r="BT12">
            <v>1464</v>
          </cell>
          <cell r="BU12">
            <v>1479</v>
          </cell>
          <cell r="BV12">
            <v>1475</v>
          </cell>
          <cell r="BW12">
            <v>2083</v>
          </cell>
          <cell r="BX12">
            <v>0</v>
          </cell>
          <cell r="BY12">
            <v>1555</v>
          </cell>
          <cell r="BZ12">
            <v>1630</v>
          </cell>
          <cell r="CA12">
            <v>1653</v>
          </cell>
          <cell r="CB12">
            <v>2236</v>
          </cell>
          <cell r="CC12">
            <v>0</v>
          </cell>
          <cell r="CD12">
            <v>1684</v>
          </cell>
          <cell r="CE12">
            <v>1693</v>
          </cell>
          <cell r="CF12">
            <v>1686</v>
          </cell>
          <cell r="CG12">
            <v>2334</v>
          </cell>
          <cell r="CH12">
            <v>0</v>
          </cell>
          <cell r="CI12">
            <v>1765</v>
          </cell>
          <cell r="CJ12">
            <v>1761</v>
          </cell>
          <cell r="CK12">
            <v>1641</v>
          </cell>
          <cell r="CL12">
            <v>2192.1420736758473</v>
          </cell>
          <cell r="CM12">
            <v>0</v>
          </cell>
        </row>
        <row r="13">
          <cell r="AN13">
            <v>2.1999999999998181</v>
          </cell>
          <cell r="AS13" t="str">
            <v/>
          </cell>
          <cell r="AX13" t="str">
            <v/>
          </cell>
          <cell r="BC13" t="str">
            <v/>
          </cell>
        </row>
        <row r="14">
          <cell r="A14" t="str">
            <v>Revenue Breakdown</v>
          </cell>
          <cell r="Z14" t="str">
            <v>Revenue Breakdown</v>
          </cell>
        </row>
        <row r="15">
          <cell r="A15" t="str">
            <v xml:space="preserve">  Domestic</v>
          </cell>
          <cell r="B15">
            <v>0.9462379941052439</v>
          </cell>
          <cell r="C15">
            <v>0.91465114045618245</v>
          </cell>
          <cell r="D15">
            <v>0.87574274076011804</v>
          </cell>
          <cell r="E15">
            <v>0.85098187788091184</v>
          </cell>
          <cell r="F15">
            <v>0.86280720608614503</v>
          </cell>
          <cell r="G15">
            <v>0.86107778316697736</v>
          </cell>
          <cell r="H15">
            <v>0.83829437545653762</v>
          </cell>
          <cell r="I15">
            <v>0.78645939865003067</v>
          </cell>
          <cell r="J15">
            <v>0.7281519254439951</v>
          </cell>
          <cell r="K15">
            <v>0.71373634825411481</v>
          </cell>
          <cell r="L15">
            <v>0.70441051738761662</v>
          </cell>
          <cell r="M15">
            <v>0.70406921725023663</v>
          </cell>
          <cell r="N15">
            <v>0.67010337002693121</v>
          </cell>
          <cell r="O15">
            <v>0.67554639237878</v>
          </cell>
          <cell r="P15">
            <v>0.66594847917602273</v>
          </cell>
          <cell r="Q15">
            <v>0.65607911363276528</v>
          </cell>
          <cell r="R15">
            <v>0.65578647122128986</v>
          </cell>
          <cell r="S15">
            <v>0.65649305425843707</v>
          </cell>
          <cell r="T15">
            <v>0.65821821651368828</v>
          </cell>
          <cell r="U15">
            <v>0.66012436633627969</v>
          </cell>
          <cell r="V15">
            <v>0.66234836387728657</v>
          </cell>
          <cell r="W15">
            <v>0.66467129032882233</v>
          </cell>
          <cell r="X15">
            <v>0.66745649345098201</v>
          </cell>
          <cell r="Z15" t="str">
            <v xml:space="preserve">  Domestic</v>
          </cell>
          <cell r="AA15">
            <v>0.95289705339963293</v>
          </cell>
          <cell r="AB15">
            <v>0.95071075097099822</v>
          </cell>
          <cell r="AC15">
            <v>0.94895864025817644</v>
          </cell>
          <cell r="AD15">
            <v>0.93533697632058288</v>
          </cell>
          <cell r="AF15">
            <v>0.92935376276839687</v>
          </cell>
          <cell r="AG15">
            <v>0.91928586700876636</v>
          </cell>
          <cell r="AH15">
            <v>0.91255605381165927</v>
          </cell>
          <cell r="AI15">
            <v>0.90193948797517454</v>
          </cell>
          <cell r="AK15">
            <v>0.88615744677909103</v>
          </cell>
          <cell r="AL15">
            <v>0.87101713564338112</v>
          </cell>
          <cell r="AM15">
            <v>0.8760772073390749</v>
          </cell>
          <cell r="AN15">
            <v>0.87358528745760577</v>
          </cell>
          <cell r="AP15">
            <v>0.85172366052886606</v>
          </cell>
          <cell r="AQ15">
            <v>0.84810126582278467</v>
          </cell>
          <cell r="AR15">
            <v>0.8543857313989085</v>
          </cell>
          <cell r="AS15">
            <v>0.84990410820631868</v>
          </cell>
          <cell r="AU15">
            <v>0.84859926918392203</v>
          </cell>
          <cell r="AV15">
            <v>0.85375032442252785</v>
          </cell>
          <cell r="AW15">
            <v>0.86614653175667444</v>
          </cell>
          <cell r="AX15">
            <v>0.87695729537366551</v>
          </cell>
          <cell r="AZ15">
            <v>0.85418552036199091</v>
          </cell>
          <cell r="BA15">
            <v>0.86392694063926945</v>
          </cell>
          <cell r="BB15">
            <v>0.86381409898335382</v>
          </cell>
          <cell r="BC15">
            <v>0.86198700681350016</v>
          </cell>
          <cell r="BE15">
            <v>0.84740815299446404</v>
          </cell>
          <cell r="BF15">
            <v>0.84193061840120664</v>
          </cell>
          <cell r="BG15">
            <v>0.83040126507214873</v>
          </cell>
          <cell r="BH15">
            <v>0.83490224475018104</v>
          </cell>
          <cell r="BJ15">
            <v>0.79849340866290019</v>
          </cell>
          <cell r="BK15">
            <v>0.7829246139872843</v>
          </cell>
          <cell r="BL15">
            <v>0.78143972246313964</v>
          </cell>
          <cell r="BM15">
            <v>0.78448823903369358</v>
          </cell>
        </row>
        <row r="16">
          <cell r="A16" t="str">
            <v xml:space="preserve">  United Kingdom</v>
          </cell>
          <cell r="B16">
            <v>5.3489655307649944E-2</v>
          </cell>
          <cell r="C16">
            <v>7.9711884753901563E-2</v>
          </cell>
          <cell r="D16">
            <v>9.989162524758026E-2</v>
          </cell>
          <cell r="E16">
            <v>0.10346025131022289</v>
          </cell>
          <cell r="F16">
            <v>8.5070279136853416E-2</v>
          </cell>
          <cell r="G16">
            <v>6.935899726852679E-2</v>
          </cell>
          <cell r="H16">
            <v>6.7681701972242519E-2</v>
          </cell>
          <cell r="I16">
            <v>7.5680098179586833E-2</v>
          </cell>
          <cell r="J16">
            <v>8.5633901881484092E-2</v>
          </cell>
          <cell r="K16">
            <v>8.5217658821719736E-2</v>
          </cell>
          <cell r="L16">
            <v>8.6513994910941472E-2</v>
          </cell>
          <cell r="M16">
            <v>9.5579288900905779E-2</v>
          </cell>
          <cell r="N16">
            <v>9.4729815824916214E-2</v>
          </cell>
          <cell r="O16">
            <v>8.4282636551795714E-2</v>
          </cell>
          <cell r="P16">
            <v>8.40986124294128E-2</v>
          </cell>
          <cell r="Q16">
            <v>8.1424088332477565E-2</v>
          </cell>
          <cell r="R16">
            <v>8.0586061100383619E-2</v>
          </cell>
          <cell r="S16">
            <v>7.9625926720762838E-2</v>
          </cell>
          <cell r="T16">
            <v>7.7864719569558649E-2</v>
          </cell>
          <cell r="U16">
            <v>7.6268943828390293E-2</v>
          </cell>
          <cell r="V16">
            <v>7.478581892533287E-2</v>
          </cell>
          <cell r="W16">
            <v>7.3411254423986022E-2</v>
          </cell>
          <cell r="X16">
            <v>7.205156029227229E-2</v>
          </cell>
          <cell r="Z16" t="str">
            <v xml:space="preserve">  United Kingdom</v>
          </cell>
          <cell r="AA16">
            <v>4.7102946600367047E-2</v>
          </cell>
          <cell r="AB16">
            <v>4.9289249029001794E-2</v>
          </cell>
          <cell r="AC16">
            <v>5.1041359741823521E-2</v>
          </cell>
          <cell r="AD16">
            <v>6.3752276867030971E-2</v>
          </cell>
          <cell r="AF16">
            <v>6.8792995622263917E-2</v>
          </cell>
          <cell r="AG16">
            <v>7.6972418216805644E-2</v>
          </cell>
          <cell r="AH16">
            <v>8.1532816958825929E-2</v>
          </cell>
          <cell r="AI16">
            <v>8.8440651667959655E-2</v>
          </cell>
          <cell r="AK16">
            <v>9.2638459247784619E-2</v>
          </cell>
          <cell r="AL16">
            <v>0.10540295890214289</v>
          </cell>
          <cell r="AM16">
            <v>9.95869286592235E-2</v>
          </cell>
          <cell r="AN16">
            <v>0.10174941543390899</v>
          </cell>
          <cell r="AP16">
            <v>0.1036965249896165</v>
          </cell>
          <cell r="AQ16">
            <v>0.10681268667330393</v>
          </cell>
          <cell r="AR16">
            <v>0.10142419805670171</v>
          </cell>
          <cell r="AS16">
            <v>0.1024528111436358</v>
          </cell>
          <cell r="AU16">
            <v>9.6224116930572465E-2</v>
          </cell>
          <cell r="AV16">
            <v>9.278484297949649E-2</v>
          </cell>
          <cell r="AW16">
            <v>8.0458368889430698E-2</v>
          </cell>
          <cell r="AX16">
            <v>7.4999999999999997E-2</v>
          </cell>
          <cell r="AZ16">
            <v>7.771493212669682E-2</v>
          </cell>
          <cell r="BA16">
            <v>7.3059360730593617E-2</v>
          </cell>
          <cell r="BB16">
            <v>6.6249581052396381E-2</v>
          </cell>
          <cell r="BC16">
            <v>6.3143717318966883E-2</v>
          </cell>
          <cell r="BE16">
            <v>6.8042274786109705E-2</v>
          </cell>
          <cell r="BF16">
            <v>6.6465560583207642E-2</v>
          </cell>
          <cell r="BG16">
            <v>6.7997627989721296E-2</v>
          </cell>
          <cell r="BH16">
            <v>6.8066618392469219E-2</v>
          </cell>
          <cell r="BJ16">
            <v>7.4387947269303201E-2</v>
          </cell>
          <cell r="BK16">
            <v>7.5386012715712991E-2</v>
          </cell>
          <cell r="BL16">
            <v>7.3720728534258456E-2</v>
          </cell>
          <cell r="BM16">
            <v>7.8194532739987291E-2</v>
          </cell>
        </row>
        <row r="17">
          <cell r="A17" t="str">
            <v xml:space="preserve">  Germany</v>
          </cell>
          <cell r="B17">
            <v>2.723505871061606E-4</v>
          </cell>
          <cell r="C17">
            <v>5.6369747899159672E-3</v>
          </cell>
          <cell r="D17">
            <v>1.6181471654396651E-2</v>
          </cell>
          <cell r="E17">
            <v>3.2234640399065484E-2</v>
          </cell>
          <cell r="F17">
            <v>3.891512769026273E-2</v>
          </cell>
          <cell r="G17">
            <v>5.0493962678375408E-2</v>
          </cell>
          <cell r="H17">
            <v>6.2888056975894821E-2</v>
          </cell>
          <cell r="I17">
            <v>8.7748005727142558E-2</v>
          </cell>
          <cell r="J17">
            <v>0.11306488482503957</v>
          </cell>
          <cell r="K17">
            <v>0.12013536379018612</v>
          </cell>
          <cell r="L17">
            <v>0.11987560079163133</v>
          </cell>
          <cell r="M17">
            <v>0.11761524942544274</v>
          </cell>
          <cell r="N17">
            <v>0.1334645866114626</v>
          </cell>
          <cell r="O17">
            <v>0.12183978416068532</v>
          </cell>
          <cell r="P17">
            <v>0.12056962739751965</v>
          </cell>
          <cell r="Q17">
            <v>0.11628646458126193</v>
          </cell>
          <cell r="R17">
            <v>0.11364019327091482</v>
          </cell>
          <cell r="S17">
            <v>0.11118435469010504</v>
          </cell>
          <cell r="T17">
            <v>0.10904742969141352</v>
          </cell>
          <cell r="U17">
            <v>0.10712922711974672</v>
          </cell>
          <cell r="V17">
            <v>0.1053573947104148</v>
          </cell>
          <cell r="W17">
            <v>0.10372750794355702</v>
          </cell>
          <cell r="X17">
            <v>0.10210810554710778</v>
          </cell>
          <cell r="Z17" t="str">
            <v xml:space="preserve">  Germany</v>
          </cell>
          <cell r="AA17">
            <v>0</v>
          </cell>
          <cell r="AB17">
            <v>0</v>
          </cell>
          <cell r="AC17">
            <v>0</v>
          </cell>
          <cell r="AD17">
            <v>9.1074681238615665E-4</v>
          </cell>
          <cell r="AF17">
            <v>1.8532416093391703E-3</v>
          </cell>
          <cell r="AG17">
            <v>3.7417147744280522E-3</v>
          </cell>
          <cell r="AH17">
            <v>5.9111292295148804E-3</v>
          </cell>
          <cell r="AI17">
            <v>9.6198603568657878E-3</v>
          </cell>
          <cell r="AK17">
            <v>1.3777570063569668E-2</v>
          </cell>
          <cell r="AL17">
            <v>1.340378738951156E-2</v>
          </cell>
          <cell r="AM17">
            <v>1.6036317112000854E-2</v>
          </cell>
          <cell r="AN17">
            <v>2.002000050703991E-2</v>
          </cell>
          <cell r="AP17">
            <v>3.0181365083760209E-2</v>
          </cell>
          <cell r="AQ17">
            <v>3.1432228701464941E-2</v>
          </cell>
          <cell r="AR17">
            <v>3.1944629309197385E-2</v>
          </cell>
          <cell r="AS17">
            <v>3.4521045725244781E-2</v>
          </cell>
          <cell r="AU17">
            <v>4.214372716199756E-2</v>
          </cell>
          <cell r="AV17">
            <v>3.8541396314560078E-2</v>
          </cell>
          <cell r="AW17">
            <v>4.1326344020480313E-2</v>
          </cell>
          <cell r="AX17">
            <v>3.5053380782918149E-2</v>
          </cell>
          <cell r="AZ17">
            <v>5.2149321266968321E-2</v>
          </cell>
          <cell r="BA17">
            <v>4.7716894977168953E-2</v>
          </cell>
          <cell r="BB17">
            <v>5.1167467322086914E-2</v>
          </cell>
          <cell r="BC17">
            <v>5.0784344794802719E-2</v>
          </cell>
          <cell r="BE17">
            <v>6.089582284851535E-2</v>
          </cell>
          <cell r="BF17">
            <v>6.2845651080945197E-2</v>
          </cell>
          <cell r="BG17">
            <v>6.4736113856493374E-2</v>
          </cell>
          <cell r="BH17">
            <v>6.2997827661115127E-2</v>
          </cell>
          <cell r="BJ17">
            <v>8.9453860640301322E-2</v>
          </cell>
          <cell r="BK17">
            <v>9.0826521344232511E-2</v>
          </cell>
          <cell r="BL17">
            <v>8.9332176929748486E-2</v>
          </cell>
          <cell r="BM17">
            <v>8.3280356007628731E-2</v>
          </cell>
        </row>
        <row r="18">
          <cell r="A18" t="str">
            <v xml:space="preserve">  Italy</v>
          </cell>
          <cell r="K18">
            <v>0</v>
          </cell>
          <cell r="L18">
            <v>0</v>
          </cell>
          <cell r="M18">
            <v>0</v>
          </cell>
          <cell r="N18">
            <v>0</v>
          </cell>
          <cell r="O18">
            <v>0</v>
          </cell>
          <cell r="P18">
            <v>4.9993312223255201E-3</v>
          </cell>
          <cell r="Q18">
            <v>2.0151518672570163E-2</v>
          </cell>
          <cell r="R18">
            <v>2.1768945527958806E-2</v>
          </cell>
          <cell r="S18">
            <v>2.3008679918401741E-2</v>
          </cell>
          <cell r="T18">
            <v>2.3953242302486358E-2</v>
          </cell>
          <cell r="U18">
            <v>2.4645454712827544E-2</v>
          </cell>
          <cell r="V18">
            <v>2.5127914858463028E-2</v>
          </cell>
          <cell r="W18">
            <v>2.5606883601807896E-2</v>
          </cell>
          <cell r="X18">
            <v>2.609121815918905E-2</v>
          </cell>
          <cell r="Z18" t="str">
            <v xml:space="preserve">  Italy</v>
          </cell>
        </row>
        <row r="19">
          <cell r="A19" t="str">
            <v xml:space="preserve">  Japan</v>
          </cell>
          <cell r="B19">
            <v>0</v>
          </cell>
          <cell r="C19">
            <v>0</v>
          </cell>
          <cell r="D19">
            <v>8.1841623379050026E-3</v>
          </cell>
          <cell r="E19">
            <v>1.3323230409799837E-2</v>
          </cell>
          <cell r="F19">
            <v>1.3207387086738879E-2</v>
          </cell>
          <cell r="G19">
            <v>1.9069256886120538E-2</v>
          </cell>
          <cell r="H19">
            <v>3.1135865595325062E-2</v>
          </cell>
          <cell r="I19">
            <v>5.011249744323993E-2</v>
          </cell>
          <cell r="J19">
            <v>7.314928784948127E-2</v>
          </cell>
          <cell r="K19">
            <v>8.0910629133979381E-2</v>
          </cell>
          <cell r="L19">
            <v>8.919988690981058E-2</v>
          </cell>
          <cell r="M19">
            <v>8.2736244423414901E-2</v>
          </cell>
          <cell r="N19">
            <v>0.10170222753668996</v>
          </cell>
          <cell r="O19">
            <v>0.11833118690873903</v>
          </cell>
          <cell r="P19">
            <v>0.12438394977471923</v>
          </cell>
          <cell r="Q19">
            <v>0.12605881478092507</v>
          </cell>
          <cell r="R19">
            <v>0.12821832887945292</v>
          </cell>
          <cell r="S19">
            <v>0.12968798441229326</v>
          </cell>
          <cell r="T19">
            <v>0.13091639192285309</v>
          </cell>
          <cell r="U19">
            <v>0.13183200800275577</v>
          </cell>
          <cell r="V19">
            <v>0.13238050762850265</v>
          </cell>
          <cell r="W19">
            <v>0.13258306370182651</v>
          </cell>
          <cell r="X19">
            <v>0.13229262255044885</v>
          </cell>
          <cell r="Z19" t="str">
            <v xml:space="preserve">  Japan</v>
          </cell>
          <cell r="AA19">
            <v>0</v>
          </cell>
          <cell r="AB19">
            <v>0</v>
          </cell>
          <cell r="AC19">
            <v>0</v>
          </cell>
          <cell r="AD19">
            <v>0</v>
          </cell>
          <cell r="AF19">
            <v>0</v>
          </cell>
          <cell r="AG19">
            <v>0</v>
          </cell>
          <cell r="AH19">
            <v>0</v>
          </cell>
          <cell r="AI19">
            <v>0</v>
          </cell>
          <cell r="AK19">
            <v>7.4265239095546425E-3</v>
          </cell>
          <cell r="AL19">
            <v>1.0176118064964377E-2</v>
          </cell>
          <cell r="AM19">
            <v>8.2995468897008144E-3</v>
          </cell>
          <cell r="AN19">
            <v>4.6452966014453685E-3</v>
          </cell>
          <cell r="AP19">
            <v>1.4398449397757163E-2</v>
          </cell>
          <cell r="AQ19">
            <v>1.3653818802446309E-2</v>
          </cell>
          <cell r="AR19">
            <v>1.2245441235192332E-2</v>
          </cell>
          <cell r="AS19">
            <v>1.3122034924800645E-2</v>
          </cell>
          <cell r="AU19">
            <v>1.3032886723507914E-2</v>
          </cell>
          <cell r="AV19">
            <v>1.492343628341552E-2</v>
          </cell>
          <cell r="AW19">
            <v>1.2068755333414605E-2</v>
          </cell>
          <cell r="AX19">
            <v>1.298932384341637E-2</v>
          </cell>
          <cell r="AZ19">
            <v>1.595022624434389E-2</v>
          </cell>
          <cell r="BA19">
            <v>1.5296803652968038E-2</v>
          </cell>
          <cell r="BB19">
            <v>1.8768852642162888E-2</v>
          </cell>
          <cell r="BC19">
            <v>2.4084931072730152E-2</v>
          </cell>
          <cell r="BE19">
            <v>2.3653749370910922E-2</v>
          </cell>
          <cell r="BF19">
            <v>2.8758169934640525E-2</v>
          </cell>
          <cell r="BG19">
            <v>3.6864993081636689E-2</v>
          </cell>
          <cell r="BH19">
            <v>3.403330919623461E-2</v>
          </cell>
          <cell r="BJ19">
            <v>3.7664783427495289E-2</v>
          </cell>
          <cell r="BK19">
            <v>5.0862851952770211E-2</v>
          </cell>
          <cell r="BL19">
            <v>5.5507372072853424E-2</v>
          </cell>
          <cell r="BM19">
            <v>5.4036872218690399E-2</v>
          </cell>
        </row>
        <row r="20">
          <cell r="A20" t="str">
            <v>Total Revenue</v>
          </cell>
          <cell r="B20">
            <v>1</v>
          </cell>
          <cell r="C20">
            <v>1</v>
          </cell>
          <cell r="D20">
            <v>0.99999999999999989</v>
          </cell>
          <cell r="E20">
            <v>1</v>
          </cell>
          <cell r="F20">
            <v>1</v>
          </cell>
          <cell r="G20">
            <v>1.0000000000000002</v>
          </cell>
          <cell r="H20">
            <v>1</v>
          </cell>
          <cell r="I20">
            <v>1</v>
          </cell>
          <cell r="J20">
            <v>1</v>
          </cell>
          <cell r="K20">
            <v>1</v>
          </cell>
          <cell r="L20">
            <v>1</v>
          </cell>
          <cell r="M20">
            <v>1</v>
          </cell>
          <cell r="N20">
            <v>1</v>
          </cell>
          <cell r="O20">
            <v>1.0000000000000002</v>
          </cell>
          <cell r="P20">
            <v>0.99500066877767446</v>
          </cell>
          <cell r="Q20">
            <v>0.97984848132742985</v>
          </cell>
          <cell r="R20">
            <v>0.97823105447204117</v>
          </cell>
          <cell r="S20">
            <v>0.97699132008159817</v>
          </cell>
          <cell r="T20">
            <v>0.97604675769751359</v>
          </cell>
          <cell r="U20">
            <v>0.97535454528717247</v>
          </cell>
          <cell r="V20">
            <v>0.97487208514153689</v>
          </cell>
          <cell r="W20">
            <v>0.97439311639819193</v>
          </cell>
          <cell r="X20">
            <v>0.97390878184081098</v>
          </cell>
          <cell r="Z20" t="str">
            <v>Total Revenue</v>
          </cell>
          <cell r="AA20">
            <v>1</v>
          </cell>
          <cell r="AB20">
            <v>1</v>
          </cell>
          <cell r="AC20">
            <v>1</v>
          </cell>
          <cell r="AD20">
            <v>1</v>
          </cell>
          <cell r="AF20">
            <v>1</v>
          </cell>
          <cell r="AG20">
            <v>1</v>
          </cell>
          <cell r="AH20">
            <v>1</v>
          </cell>
          <cell r="AI20">
            <v>1</v>
          </cell>
          <cell r="AK20">
            <v>0.99257347609044533</v>
          </cell>
          <cell r="AL20">
            <v>0.98982388193503557</v>
          </cell>
          <cell r="AM20">
            <v>0.99170045311029931</v>
          </cell>
          <cell r="AN20">
            <v>0.9953547033985547</v>
          </cell>
          <cell r="AP20">
            <v>0.99999999999999989</v>
          </cell>
          <cell r="AQ20">
            <v>0.99999999999999989</v>
          </cell>
          <cell r="AR20">
            <v>0.99999999999999989</v>
          </cell>
          <cell r="AS20">
            <v>1</v>
          </cell>
          <cell r="AU20">
            <v>1</v>
          </cell>
          <cell r="AV20">
            <v>0.99999999999999989</v>
          </cell>
          <cell r="AW20">
            <v>1</v>
          </cell>
          <cell r="AX20">
            <v>1</v>
          </cell>
          <cell r="AZ20">
            <v>1</v>
          </cell>
          <cell r="BA20">
            <v>1</v>
          </cell>
          <cell r="BB20">
            <v>1</v>
          </cell>
          <cell r="BC20">
            <v>0.99999999999999989</v>
          </cell>
          <cell r="BE20">
            <v>1</v>
          </cell>
          <cell r="BF20">
            <v>1</v>
          </cell>
          <cell r="BG20">
            <v>1</v>
          </cell>
          <cell r="BH20">
            <v>1</v>
          </cell>
          <cell r="BJ20">
            <v>1</v>
          </cell>
          <cell r="BK20">
            <v>1</v>
          </cell>
          <cell r="BL20">
            <v>1</v>
          </cell>
          <cell r="BM20">
            <v>1</v>
          </cell>
        </row>
        <row r="22">
          <cell r="A22" t="str">
            <v>Revenue Growth</v>
          </cell>
          <cell r="Z22" t="str">
            <v>Revenue Growth</v>
          </cell>
        </row>
        <row r="23">
          <cell r="A23" t="str">
            <v xml:space="preserve">  Domestic</v>
          </cell>
          <cell r="B23" t="str">
            <v>-</v>
          </cell>
          <cell r="C23">
            <v>9.6474206021406106E-2</v>
          </cell>
          <cell r="D23">
            <v>0.23028558438565261</v>
          </cell>
          <cell r="E23">
            <v>0.15020909789195191</v>
          </cell>
          <cell r="F23">
            <v>0.13185427023818352</v>
          </cell>
          <cell r="G23">
            <v>0.10564442113543993</v>
          </cell>
          <cell r="H23">
            <v>8.8731433992469633E-2</v>
          </cell>
          <cell r="I23">
            <v>4.6999237555821916E-2</v>
          </cell>
          <cell r="J23">
            <v>7.6983094928478435E-2</v>
          </cell>
          <cell r="K23">
            <v>0.12050229413185232</v>
          </cell>
          <cell r="L23">
            <v>7.3922413793103381E-2</v>
          </cell>
          <cell r="M23">
            <v>4.5153521974714117E-2</v>
          </cell>
          <cell r="N23">
            <v>-5.3113305668747279E-2</v>
          </cell>
          <cell r="O23">
            <v>-4.4934669526960014E-2</v>
          </cell>
          <cell r="P23">
            <v>1.1119990673385205E-2</v>
          </cell>
          <cell r="Q23">
            <v>3.678898543774678E-2</v>
          </cell>
          <cell r="R23">
            <v>3.8172418004093212E-2</v>
          </cell>
          <cell r="S23">
            <v>3.8537083574779363E-2</v>
          </cell>
          <cell r="T23">
            <v>3.7609765361054981E-2</v>
          </cell>
          <cell r="U23">
            <v>3.616607780979697E-2</v>
          </cell>
          <cell r="V23">
            <v>3.554671523721642E-2</v>
          </cell>
          <cell r="W23">
            <v>3.4564503559791904E-2</v>
          </cell>
          <cell r="X23">
            <v>3.5418236642912104E-2</v>
          </cell>
          <cell r="Z23" t="str">
            <v xml:space="preserve">  Domestic</v>
          </cell>
          <cell r="AF23">
            <v>3.9482090477944709E-2</v>
          </cell>
          <cell r="AG23">
            <v>0.11452997656622643</v>
          </cell>
          <cell r="AH23">
            <v>9.4559474650569575E-2</v>
          </cell>
          <cell r="AI23">
            <v>0.13203505355404088</v>
          </cell>
          <cell r="AK23">
            <v>0.20444518966259073</v>
          </cell>
          <cell r="AL23">
            <v>0.19447718520634449</v>
          </cell>
          <cell r="AM23">
            <v>0.24961656578490321</v>
          </cell>
          <cell r="AN23">
            <v>0.26170012604500625</v>
          </cell>
          <cell r="AP23">
            <v>0.1457200287135294</v>
          </cell>
          <cell r="AQ23">
            <v>0.16109832092187348</v>
          </cell>
          <cell r="AR23">
            <v>0.14737004521880914</v>
          </cell>
          <cell r="AS23">
            <v>0.1480363046794082</v>
          </cell>
          <cell r="AU23">
            <v>0.13247724317295195</v>
          </cell>
          <cell r="AV23">
            <v>0.10330370618816032</v>
          </cell>
          <cell r="AW23">
            <v>0.10687022900763354</v>
          </cell>
          <cell r="AX23">
            <v>0.17066508313539197</v>
          </cell>
          <cell r="AZ23">
            <v>8.3823740490885479E-2</v>
          </cell>
          <cell r="BA23">
            <v>0.15032679738562083</v>
          </cell>
          <cell r="BB23">
            <v>8.8247712878254836E-2</v>
          </cell>
          <cell r="BC23">
            <v>0.10378411281322908</v>
          </cell>
          <cell r="BE23">
            <v>0.11495166203151896</v>
          </cell>
          <cell r="BF23">
            <v>0.10636892177589852</v>
          </cell>
          <cell r="BG23">
            <v>8.6652871184687008E-2</v>
          </cell>
          <cell r="BH23">
            <v>5.9742647058823595E-2</v>
          </cell>
          <cell r="BJ23">
            <v>7.2455160945481545E-3</v>
          </cell>
          <cell r="BK23">
            <v>2.9499581989729018E-2</v>
          </cell>
          <cell r="BL23">
            <v>7.2363722923113549E-2</v>
          </cell>
          <cell r="BM23">
            <v>7.0251517779705175E-2</v>
          </cell>
          <cell r="BO23">
            <v>9.9056603773584939E-2</v>
          </cell>
          <cell r="BP23">
            <v>7.8886310904872303E-2</v>
          </cell>
          <cell r="BQ23">
            <v>3.4406215316315159E-2</v>
          </cell>
          <cell r="BR23">
            <v>9.1572123176661302E-2</v>
          </cell>
          <cell r="BT23">
            <v>9.9785407725321962E-2</v>
          </cell>
          <cell r="BU23">
            <v>0.1118279569892473</v>
          </cell>
          <cell r="BV23">
            <v>0.11480686695278974</v>
          </cell>
          <cell r="BW23">
            <v>0.14476614699331858</v>
          </cell>
          <cell r="BY23">
            <v>6.1463414634146396E-2</v>
          </cell>
          <cell r="BZ23">
            <v>0.10251450676982587</v>
          </cell>
          <cell r="CA23">
            <v>0.10779595765158811</v>
          </cell>
          <cell r="CB23">
            <v>4.0207522697795151E-2</v>
          </cell>
          <cell r="CD23">
            <v>7.9044117647058876E-2</v>
          </cell>
          <cell r="CE23">
            <v>3.8596491228070073E-2</v>
          </cell>
          <cell r="CF23">
            <v>1.9982623805386623E-2</v>
          </cell>
          <cell r="CG23">
            <v>4.488778054862852E-2</v>
          </cell>
          <cell r="CI23">
            <v>1.7035775127767216E-3</v>
          </cell>
          <cell r="CJ23">
            <v>-2.5337837837837718E-3</v>
          </cell>
          <cell r="CK23">
            <v>-8.6030664395229994E-2</v>
          </cell>
          <cell r="CL23">
            <v>-0.10418502143367303</v>
          </cell>
        </row>
        <row r="24">
          <cell r="A24" t="str">
            <v xml:space="preserve">  United Kingdom</v>
          </cell>
          <cell r="B24" t="str">
            <v>-</v>
          </cell>
          <cell r="C24">
            <v>0.69042769857433806</v>
          </cell>
          <cell r="D24">
            <v>0.61024096385542181</v>
          </cell>
          <cell r="E24">
            <v>0.22596333707444805</v>
          </cell>
          <cell r="F24">
            <v>-8.2087274946597399E-2</v>
          </cell>
          <cell r="G24">
            <v>-9.6742021276595813E-2</v>
          </cell>
          <cell r="H24">
            <v>9.1277143908722991E-2</v>
          </cell>
          <cell r="I24">
            <v>0.24789207419898829</v>
          </cell>
          <cell r="J24">
            <v>0.31621621621621632</v>
          </cell>
          <cell r="K24">
            <v>0.13757700205338796</v>
          </cell>
          <cell r="L24">
            <v>0.10469314079422376</v>
          </cell>
          <cell r="M24">
            <v>0.15522875816993453</v>
          </cell>
          <cell r="N24">
            <v>-1.3960150963642115E-2</v>
          </cell>
          <cell r="O24">
            <v>-0.15710956979956003</v>
          </cell>
          <cell r="P24">
            <v>2.3453137848554961E-2</v>
          </cell>
          <cell r="Q24">
            <v>1.8917141184130015E-2</v>
          </cell>
          <cell r="R24">
            <v>2.7945926062617144E-2</v>
          </cell>
          <cell r="S24">
            <v>2.5059080618461183E-2</v>
          </cell>
          <cell r="T24">
            <v>1.2000000000000011E-2</v>
          </cell>
          <cell r="U24">
            <v>1.2000000000000011E-2</v>
          </cell>
          <cell r="V24">
            <v>1.1999999999999789E-2</v>
          </cell>
          <cell r="W24">
            <v>1.2000000000000233E-2</v>
          </cell>
          <cell r="X24">
            <v>1.1999999999999789E-2</v>
          </cell>
          <cell r="Z24" t="str">
            <v xml:space="preserve">  United Kingdom</v>
          </cell>
          <cell r="AF24">
            <v>0.55660377358490565</v>
          </cell>
          <cell r="AG24">
            <v>0.8</v>
          </cell>
          <cell r="AH24">
            <v>0.81818181818181812</v>
          </cell>
          <cell r="AI24">
            <v>0.62857142857142856</v>
          </cell>
          <cell r="AK24">
            <v>0.70100000000000007</v>
          </cell>
          <cell r="AL24">
            <v>0.72631249999999992</v>
          </cell>
          <cell r="AM24">
            <v>0.58987812500000003</v>
          </cell>
          <cell r="AN24">
            <v>0.4986776315789474</v>
          </cell>
          <cell r="AP24">
            <v>0.33433096396059359</v>
          </cell>
          <cell r="AQ24">
            <v>0.20842032431040791</v>
          </cell>
          <cell r="AR24">
            <v>0.19820505109471842</v>
          </cell>
          <cell r="AS24">
            <v>0.18818197914243107</v>
          </cell>
          <cell r="AU24">
            <v>5.4739652870493982E-2</v>
          </cell>
          <cell r="AV24">
            <v>-4.7936085219706936E-2</v>
          </cell>
          <cell r="AW24">
            <v>-0.13385826771653542</v>
          </cell>
          <cell r="AX24">
            <v>-0.16945812807881777</v>
          </cell>
          <cell r="AZ24">
            <v>-0.13037974683544296</v>
          </cell>
          <cell r="BA24">
            <v>-0.1048951048951049</v>
          </cell>
          <cell r="BB24">
            <v>-0.10151515151515156</v>
          </cell>
          <cell r="BC24">
            <v>-5.4567022538552723E-2</v>
          </cell>
          <cell r="BE24">
            <v>-1.6011644832605643E-2</v>
          </cell>
          <cell r="BF24">
            <v>3.2812499999999911E-2</v>
          </cell>
          <cell r="BG24">
            <v>0.16020236087689721</v>
          </cell>
          <cell r="BH24">
            <v>0.17942283563362604</v>
          </cell>
          <cell r="BJ24">
            <v>0.16863905325443795</v>
          </cell>
          <cell r="BK24">
            <v>0.25567322239031776</v>
          </cell>
          <cell r="BL24">
            <v>0.23546511627906974</v>
          </cell>
          <cell r="BM24">
            <v>0.3085106382978724</v>
          </cell>
          <cell r="BO24">
            <v>0.41772151898734178</v>
          </cell>
          <cell r="BP24">
            <v>0.31325301204819267</v>
          </cell>
          <cell r="BQ24">
            <v>0.31764705882352939</v>
          </cell>
          <cell r="BR24">
            <v>0.25203252032520318</v>
          </cell>
          <cell r="BT24">
            <v>0.16071428571428581</v>
          </cell>
          <cell r="BU24">
            <v>0.1834862385321101</v>
          </cell>
          <cell r="BV24">
            <v>0.15178571428571419</v>
          </cell>
          <cell r="BW24">
            <v>7.7922077922077948E-2</v>
          </cell>
          <cell r="BY24">
            <v>3.076923076923066E-2</v>
          </cell>
          <cell r="BZ24">
            <v>6.2015503875969102E-2</v>
          </cell>
          <cell r="CA24">
            <v>0.11627906976744184</v>
          </cell>
          <cell r="CB24">
            <v>0.18674698795180733</v>
          </cell>
          <cell r="CD24">
            <v>0.13432835820895517</v>
          </cell>
          <cell r="CE24">
            <v>0.16788321167883202</v>
          </cell>
          <cell r="CF24">
            <v>0.17361111111111116</v>
          </cell>
          <cell r="CG24">
            <v>0.14720812182741128</v>
          </cell>
          <cell r="CI24">
            <v>0.13157894736842102</v>
          </cell>
          <cell r="CJ24">
            <v>1.8750000000000044E-2</v>
          </cell>
          <cell r="CK24">
            <v>-5.3254437869822535E-2</v>
          </cell>
          <cell r="CL24">
            <v>-0.1056187023508629</v>
          </cell>
        </row>
        <row r="25">
          <cell r="A25" t="str">
            <v xml:space="preserve">  Germany</v>
          </cell>
          <cell r="B25" t="str">
            <v>-</v>
          </cell>
          <cell r="C25">
            <v>22.478000000000002</v>
          </cell>
          <cell r="D25">
            <v>2.6885595025129905</v>
          </cell>
          <cell r="E25">
            <v>1.35796766743649</v>
          </cell>
          <cell r="F25">
            <v>0.34769833496571967</v>
          </cell>
          <cell r="G25">
            <v>0.4375</v>
          </cell>
          <cell r="H25">
            <v>0.39282103134479285</v>
          </cell>
          <cell r="I25">
            <v>0.55716878402903802</v>
          </cell>
          <cell r="J25">
            <v>0.49883449883449882</v>
          </cell>
          <cell r="K25">
            <v>0.21461897356143078</v>
          </cell>
          <cell r="L25">
            <v>8.578745198463511E-2</v>
          </cell>
          <cell r="M25">
            <v>2.5943396226415061E-2</v>
          </cell>
          <cell r="N25">
            <v>0.12894810882548113</v>
          </cell>
          <cell r="O25">
            <v>-0.13514603960396054</v>
          </cell>
          <cell r="P25">
            <v>1.5000000000000124E-2</v>
          </cell>
          <cell r="Q25">
            <v>1.499999999999968E-2</v>
          </cell>
          <cell r="R25">
            <v>1.4999999999999902E-2</v>
          </cell>
          <cell r="S25">
            <v>1.4999999999999902E-2</v>
          </cell>
          <cell r="T25">
            <v>1.4999999999999902E-2</v>
          </cell>
          <cell r="U25">
            <v>1.4999999999999902E-2</v>
          </cell>
          <cell r="V25">
            <v>1.4999999999999902E-2</v>
          </cell>
          <cell r="W25">
            <v>1.4999999999999902E-2</v>
          </cell>
          <cell r="X25">
            <v>1.4999999999999902E-2</v>
          </cell>
          <cell r="Z25" t="str">
            <v xml:space="preserve">  Germany</v>
          </cell>
          <cell r="AF25" t="str">
            <v>NA</v>
          </cell>
          <cell r="AG25">
            <v>0.96850393700787407</v>
          </cell>
          <cell r="AH25">
            <v>0.65714285714285703</v>
          </cell>
          <cell r="AI25">
            <v>1.1379310344827589</v>
          </cell>
          <cell r="AK25" t="str">
            <v>NA</v>
          </cell>
          <cell r="AL25">
            <v>-5.3333333333333566E-2</v>
          </cell>
          <cell r="AM25">
            <v>0.29577464788732377</v>
          </cell>
          <cell r="AN25">
            <v>0.64130434782608714</v>
          </cell>
          <cell r="AP25" t="str">
            <v>NA</v>
          </cell>
          <cell r="AQ25">
            <v>1.3761467889908285E-2</v>
          </cell>
          <cell r="AR25">
            <v>8.5972850678732948E-2</v>
          </cell>
          <cell r="AS25">
            <v>0.42500000000000004</v>
          </cell>
          <cell r="AU25">
            <v>0.58715596330275233</v>
          </cell>
          <cell r="AV25">
            <v>0.34389140271493202</v>
          </cell>
          <cell r="AW25">
            <v>0.41249999999999987</v>
          </cell>
          <cell r="AX25">
            <v>0.15204678362573087</v>
          </cell>
          <cell r="AZ25">
            <v>0.33236994219653182</v>
          </cell>
          <cell r="BA25">
            <v>0.40740740740740744</v>
          </cell>
          <cell r="BB25">
            <v>0.35103244837758107</v>
          </cell>
          <cell r="BC25">
            <v>0.62690355329949221</v>
          </cell>
          <cell r="BE25">
            <v>0.31236442516268981</v>
          </cell>
          <cell r="BF25">
            <v>0.49521531100478478</v>
          </cell>
          <cell r="BG25">
            <v>0.43013100436681229</v>
          </cell>
          <cell r="BH25">
            <v>0.35725429017160693</v>
          </cell>
          <cell r="BJ25">
            <v>0.57024793388429762</v>
          </cell>
          <cell r="BK25">
            <v>0.60000000000000009</v>
          </cell>
          <cell r="BL25">
            <v>0.5725190839694656</v>
          </cell>
          <cell r="BM25">
            <v>0.50574712643678166</v>
          </cell>
          <cell r="BO25">
            <v>0.63157894736842102</v>
          </cell>
          <cell r="BP25">
            <v>0.52</v>
          </cell>
          <cell r="BQ25">
            <v>0.40776699029126218</v>
          </cell>
          <cell r="BR25">
            <v>0.45801526717557262</v>
          </cell>
          <cell r="BT25">
            <v>0.25161290322580654</v>
          </cell>
          <cell r="BU25">
            <v>0.21710526315789469</v>
          </cell>
          <cell r="BV25">
            <v>0.22758620689655173</v>
          </cell>
          <cell r="BW25">
            <v>0.17277486910994755</v>
          </cell>
          <cell r="BY25">
            <v>5.1546391752577136E-3</v>
          </cell>
          <cell r="BZ25">
            <v>2.7027027027026973E-2</v>
          </cell>
          <cell r="CA25">
            <v>0.13483146067415741</v>
          </cell>
          <cell r="CB25">
            <v>0.1651785714285714</v>
          </cell>
          <cell r="CD25">
            <v>0.10256410256410264</v>
          </cell>
          <cell r="CE25">
            <v>4.2105263157894646E-2</v>
          </cell>
          <cell r="CF25">
            <v>-3.9603960396039639E-2</v>
          </cell>
          <cell r="CG25">
            <v>7.6628352490422103E-3</v>
          </cell>
          <cell r="CI25">
            <v>0.1581395348837209</v>
          </cell>
          <cell r="CJ25">
            <v>0.13131313131313127</v>
          </cell>
          <cell r="CK25">
            <v>0.18041237113402064</v>
          </cell>
          <cell r="CL25">
            <v>6.5341652768702296E-2</v>
          </cell>
        </row>
        <row r="26">
          <cell r="A26" t="str">
            <v xml:space="preserve">  Italy</v>
          </cell>
          <cell r="K26" t="str">
            <v>--</v>
          </cell>
          <cell r="L26" t="str">
            <v>--</v>
          </cell>
          <cell r="M26" t="str">
            <v>--</v>
          </cell>
          <cell r="N26" t="str">
            <v>--</v>
          </cell>
          <cell r="O26" t="str">
            <v>--</v>
          </cell>
          <cell r="P26" t="str">
            <v>--</v>
          </cell>
          <cell r="Q26">
            <v>3.242</v>
          </cell>
          <cell r="R26">
            <v>0.12200000000000033</v>
          </cell>
          <cell r="S26">
            <v>9.650000000000003E-2</v>
          </cell>
          <cell r="T26">
            <v>7.7374999999999972E-2</v>
          </cell>
          <cell r="U26">
            <v>6.3031250000000094E-2</v>
          </cell>
          <cell r="V26">
            <v>5.2273437500000242E-2</v>
          </cell>
          <cell r="W26">
            <v>5.0599999999999978E-2</v>
          </cell>
          <cell r="X26">
            <v>5.0599999999999756E-2</v>
          </cell>
          <cell r="Z26" t="str">
            <v xml:space="preserve">  Italy</v>
          </cell>
          <cell r="CD26" t="str">
            <v>--</v>
          </cell>
          <cell r="CE26" t="str">
            <v>--</v>
          </cell>
          <cell r="CF26" t="str">
            <v>--</v>
          </cell>
          <cell r="CG26" t="str">
            <v>--</v>
          </cell>
          <cell r="CI26" t="str">
            <v>--</v>
          </cell>
          <cell r="CJ26" t="str">
            <v>--</v>
          </cell>
          <cell r="CL26" t="str">
            <v>--</v>
          </cell>
        </row>
        <row r="27">
          <cell r="A27" t="str">
            <v xml:space="preserve">  Japan</v>
          </cell>
          <cell r="B27" t="str">
            <v>-</v>
          </cell>
          <cell r="C27" t="str">
            <v>n.a.</v>
          </cell>
          <cell r="D27" t="str">
            <v>n.a.</v>
          </cell>
          <cell r="E27">
            <v>0.92694063926940662</v>
          </cell>
          <cell r="F27">
            <v>0.10663507109004744</v>
          </cell>
          <cell r="G27">
            <v>0.59957173447537437</v>
          </cell>
          <cell r="H27">
            <v>0.82597054886211541</v>
          </cell>
          <cell r="I27">
            <v>0.79618768328445744</v>
          </cell>
          <cell r="J27">
            <v>0.69795918367346932</v>
          </cell>
          <cell r="K27">
            <v>0.26442307692307687</v>
          </cell>
          <cell r="L27">
            <v>0.19961977186311786</v>
          </cell>
          <cell r="M27">
            <v>-3.0110935023771823E-2</v>
          </cell>
          <cell r="N27">
            <v>0.22294304191472114</v>
          </cell>
          <cell r="O27">
            <v>0.10227119567338461</v>
          </cell>
          <cell r="P27">
            <v>7.8157894736842204E-2</v>
          </cell>
          <cell r="Q27">
            <v>6.6556016597510537E-2</v>
          </cell>
          <cell r="R27">
            <v>5.6428571428571273E-2</v>
          </cell>
          <cell r="S27">
            <v>4.9310344827586228E-2</v>
          </cell>
          <cell r="T27">
            <v>4.4692737430167773E-2</v>
          </cell>
          <cell r="U27">
            <v>4.0399999999999769E-2</v>
          </cell>
          <cell r="V27">
            <v>3.6363636363636154E-2</v>
          </cell>
          <cell r="W27">
            <v>3.2526315789473736E-2</v>
          </cell>
          <cell r="X27">
            <v>2.8838821490468014E-2</v>
          </cell>
          <cell r="Z27" t="str">
            <v xml:space="preserve">  Japan</v>
          </cell>
          <cell r="AF27" t="str">
            <v>NA</v>
          </cell>
          <cell r="AG27" t="str">
            <v>NA</v>
          </cell>
          <cell r="AH27" t="str">
            <v>NA</v>
          </cell>
          <cell r="AI27" t="str">
            <v>NA</v>
          </cell>
          <cell r="AK27" t="str">
            <v>NA</v>
          </cell>
          <cell r="AL27">
            <v>0.33333333333333326</v>
          </cell>
          <cell r="AM27">
            <v>-0.1166666666666667</v>
          </cell>
          <cell r="AN27">
            <v>-0.26415094339622636</v>
          </cell>
          <cell r="AP27" t="str">
            <v>NA</v>
          </cell>
          <cell r="AQ27">
            <v>-7.6923076923076983E-2</v>
          </cell>
          <cell r="AR27">
            <v>-4.1666666666666741E-2</v>
          </cell>
          <cell r="AS27">
            <v>0.41304347826086962</v>
          </cell>
          <cell r="AU27">
            <v>2.8846153846153744E-2</v>
          </cell>
          <cell r="AV27">
            <v>0.19791666666666674</v>
          </cell>
          <cell r="AW27">
            <v>7.6086956521739246E-2</v>
          </cell>
          <cell r="AX27">
            <v>0.12307692307692308</v>
          </cell>
          <cell r="AZ27">
            <v>0.31775700934579443</v>
          </cell>
          <cell r="BA27">
            <v>0.16521739130434776</v>
          </cell>
          <cell r="BB27">
            <v>0.69696969696969702</v>
          </cell>
          <cell r="BC27">
            <v>1.0821917808219177</v>
          </cell>
          <cell r="BE27">
            <v>0.66666666666666674</v>
          </cell>
          <cell r="BF27">
            <v>1.1343283582089554</v>
          </cell>
          <cell r="BG27">
            <v>1.2202380952380949</v>
          </cell>
          <cell r="BH27">
            <v>0.54605263157894735</v>
          </cell>
          <cell r="BJ27">
            <v>0.7021276595744681</v>
          </cell>
          <cell r="BK27">
            <v>0.95804195804195791</v>
          </cell>
          <cell r="BL27">
            <v>0.71581769436997322</v>
          </cell>
          <cell r="BM27">
            <v>0.8085106382978724</v>
          </cell>
          <cell r="BO27">
            <v>1.1000000000000001</v>
          </cell>
          <cell r="BP27">
            <v>0.75</v>
          </cell>
          <cell r="BQ27">
            <v>0.609375</v>
          </cell>
          <cell r="BR27">
            <v>0.54117647058823537</v>
          </cell>
          <cell r="BT27">
            <v>0.36904761904761907</v>
          </cell>
          <cell r="BU27">
            <v>0.33673469387755106</v>
          </cell>
          <cell r="BV27">
            <v>0.25242718446601953</v>
          </cell>
          <cell r="BW27">
            <v>0.15267175572519087</v>
          </cell>
          <cell r="BY27">
            <v>0.19999999999999996</v>
          </cell>
          <cell r="BZ27">
            <v>0.24427480916030531</v>
          </cell>
          <cell r="CA27">
            <v>0.20930232558139528</v>
          </cell>
          <cell r="CB27">
            <v>0.15231788079470188</v>
          </cell>
          <cell r="CD27">
            <v>3.6231884057970953E-2</v>
          </cell>
          <cell r="CE27">
            <v>-7.361963190184051E-2</v>
          </cell>
          <cell r="CF27">
            <v>-4.4871794871794823E-2</v>
          </cell>
          <cell r="CG27">
            <v>-2.8735632183908066E-2</v>
          </cell>
          <cell r="CI27">
            <v>0.17482517482517479</v>
          </cell>
          <cell r="CJ27">
            <v>0.2781456953642385</v>
          </cell>
          <cell r="CK27">
            <v>0.20134228187919456</v>
          </cell>
          <cell r="CL27">
            <v>0.23337953640123943</v>
          </cell>
        </row>
        <row r="28">
          <cell r="A28" t="str">
            <v>Total Revenue</v>
          </cell>
          <cell r="B28" t="str">
            <v>-</v>
          </cell>
          <cell r="C28">
            <v>0.13434019529715902</v>
          </cell>
          <cell r="D28">
            <v>0.2849459783913566</v>
          </cell>
          <cell r="E28">
            <v>0.18367652004932911</v>
          </cell>
          <cell r="F28">
            <v>0.11634147881543222</v>
          </cell>
          <cell r="G28">
            <v>0.10786504143216713</v>
          </cell>
          <cell r="H28">
            <v>0.11832129272713332</v>
          </cell>
          <cell r="I28">
            <v>0.11600620891161451</v>
          </cell>
          <cell r="J28">
            <v>0.16322356310083852</v>
          </cell>
          <cell r="K28">
            <v>0.14313346228239854</v>
          </cell>
          <cell r="L28">
            <v>8.8140286109829269E-2</v>
          </cell>
          <cell r="M28">
            <v>4.5660163980774771E-2</v>
          </cell>
          <cell r="N28">
            <v>-5.1180108590175299E-3</v>
          </cell>
          <cell r="O28">
            <v>-5.2629835987601736E-2</v>
          </cell>
          <cell r="P28">
            <v>2.5692652390494786E-2</v>
          </cell>
          <cell r="Q28">
            <v>5.2385350686825038E-2</v>
          </cell>
          <cell r="R28">
            <v>3.8635698802439222E-2</v>
          </cell>
          <cell r="S28">
            <v>3.7419306803277763E-2</v>
          </cell>
          <cell r="T28">
            <v>3.4890233816695648E-2</v>
          </cell>
          <cell r="U28">
            <v>3.31740843520274E-2</v>
          </cell>
          <cell r="V28">
            <v>3.2069612440730921E-2</v>
          </cell>
          <cell r="W28">
            <v>3.0948855816152809E-2</v>
          </cell>
          <cell r="X28">
            <v>3.1097580339864761E-2</v>
          </cell>
          <cell r="Z28" t="str">
            <v>Total Revenue</v>
          </cell>
          <cell r="AF28">
            <v>6.5815258688494138E-2</v>
          </cell>
          <cell r="AG28">
            <v>0.15262908854320711</v>
          </cell>
          <cell r="AH28">
            <v>0.1382223222426644</v>
          </cell>
          <cell r="AI28">
            <v>0.17395264116575593</v>
          </cell>
          <cell r="AK28">
            <v>0.26315664685743689</v>
          </cell>
          <cell r="AL28">
            <v>0.26067094422145121</v>
          </cell>
          <cell r="AM28">
            <v>0.30164916116690188</v>
          </cell>
          <cell r="AN28">
            <v>0.30265147776824342</v>
          </cell>
          <cell r="AP28">
            <v>0.19203960441584855</v>
          </cell>
          <cell r="AQ28">
            <v>0.19247143524607568</v>
          </cell>
          <cell r="AR28">
            <v>0.17649992042117413</v>
          </cell>
          <cell r="AS28">
            <v>0.18002444693639141</v>
          </cell>
          <cell r="AU28">
            <v>0.13664682264986849</v>
          </cell>
          <cell r="AV28">
            <v>9.6003413454700537E-2</v>
          </cell>
          <cell r="AW28">
            <v>9.1840809263942447E-2</v>
          </cell>
          <cell r="AX28">
            <v>0.13455132734430197</v>
          </cell>
          <cell r="AZ28">
            <v>7.6735688185139983E-2</v>
          </cell>
          <cell r="BA28">
            <v>0.13677653776278209</v>
          </cell>
          <cell r="BB28">
            <v>9.1186151408021443E-2</v>
          </cell>
          <cell r="BC28">
            <v>0.12295373665480436</v>
          </cell>
          <cell r="BE28">
            <v>0.12386877828054277</v>
          </cell>
          <cell r="BF28">
            <v>0.13527397260273988</v>
          </cell>
          <cell r="BG28">
            <v>0.13037649424645292</v>
          </cell>
          <cell r="BH28">
            <v>9.4121375376327032E-2</v>
          </cell>
          <cell r="BJ28">
            <v>6.8948163059889378E-2</v>
          </cell>
          <cell r="BK28">
            <v>0.10708898944193068</v>
          </cell>
          <cell r="BL28">
            <v>0.13955327139750939</v>
          </cell>
          <cell r="BM28">
            <v>0.1390296886314264</v>
          </cell>
          <cell r="BO28">
            <v>0.20809792843691155</v>
          </cell>
          <cell r="BP28">
            <v>0.17075386012715721</v>
          </cell>
          <cell r="BQ28">
            <v>0.1205550737207286</v>
          </cell>
          <cell r="BR28">
            <v>0.15893197711379536</v>
          </cell>
          <cell r="BT28">
            <v>0.14107560405300079</v>
          </cell>
          <cell r="BU28">
            <v>0.14740108611326619</v>
          </cell>
          <cell r="BV28">
            <v>0.1416408668730651</v>
          </cell>
          <cell r="BW28">
            <v>0.14262205156335717</v>
          </cell>
          <cell r="BY28">
            <v>6.2158469945355233E-2</v>
          </cell>
          <cell r="BZ28">
            <v>0.10209601081812036</v>
          </cell>
          <cell r="CA28">
            <v>0.12067796610169501</v>
          </cell>
          <cell r="CB28">
            <v>7.3451752280364824E-2</v>
          </cell>
          <cell r="CD28">
            <v>8.2958199356913287E-2</v>
          </cell>
          <cell r="CE28">
            <v>3.8650306748466257E-2</v>
          </cell>
          <cell r="CF28">
            <v>1.9963702359346636E-2</v>
          </cell>
          <cell r="CG28">
            <v>4.3828264758497326E-2</v>
          </cell>
          <cell r="CI28">
            <v>4.8099762470308782E-2</v>
          </cell>
          <cell r="CJ28">
            <v>4.0165386887182519E-2</v>
          </cell>
          <cell r="CK28">
            <v>-2.6690391459074703E-2</v>
          </cell>
          <cell r="CL28">
            <v>-6.0778888742139103E-2</v>
          </cell>
        </row>
        <row r="30">
          <cell r="A30" t="str">
            <v>Gross Profit</v>
          </cell>
          <cell r="Z30" t="str">
            <v>Gross Profit</v>
          </cell>
        </row>
        <row r="31">
          <cell r="A31" t="str">
            <v xml:space="preserve">  Domestic</v>
          </cell>
          <cell r="B31">
            <v>685.92354112400005</v>
          </cell>
          <cell r="C31">
            <v>746.07231300000001</v>
          </cell>
          <cell r="D31">
            <v>818.10840000000007</v>
          </cell>
          <cell r="E31">
            <v>941.33640000000003</v>
          </cell>
          <cell r="F31">
            <v>1081.7606000000001</v>
          </cell>
          <cell r="G31">
            <v>1214.8253</v>
          </cell>
          <cell r="H31">
            <v>1341.4767999999999</v>
          </cell>
          <cell r="I31">
            <v>1405.3209999999999</v>
          </cell>
          <cell r="J31">
            <v>1531.3240000000001</v>
          </cell>
          <cell r="K31">
            <v>1706.5160000000001</v>
          </cell>
          <cell r="L31">
            <v>1839.4780000000001</v>
          </cell>
          <cell r="M31">
            <v>1900.2040000000002</v>
          </cell>
          <cell r="N31">
            <v>1725.9850664270073</v>
          </cell>
          <cell r="O31">
            <v>1601.3305407769662</v>
          </cell>
          <cell r="P31">
            <v>1642.9481644179923</v>
          </cell>
          <cell r="Q31">
            <v>1752.7641999489194</v>
          </cell>
          <cell r="R31">
            <v>1819.6714476519794</v>
          </cell>
          <cell r="S31">
            <v>1889.7962783087835</v>
          </cell>
          <cell r="T31">
            <v>1960.8710729161719</v>
          </cell>
          <cell r="U31">
            <v>2031.788088714238</v>
          </cell>
          <cell r="V31">
            <v>2104.0114813261312</v>
          </cell>
          <cell r="W31">
            <v>2176.7355936622712</v>
          </cell>
          <cell r="X31">
            <v>2253.8317300276512</v>
          </cell>
          <cell r="Z31" t="str">
            <v xml:space="preserve">  Domestic</v>
          </cell>
          <cell r="AA31">
            <v>171.46328001000001</v>
          </cell>
          <cell r="AB31">
            <v>155.61803966399998</v>
          </cell>
          <cell r="AC31">
            <v>159.98934645000003</v>
          </cell>
          <cell r="AD31">
            <v>198.85287500000001</v>
          </cell>
          <cell r="AF31">
            <v>173.67291299999999</v>
          </cell>
          <cell r="AG31">
            <v>174.54349999999997</v>
          </cell>
          <cell r="AH31">
            <v>175.86090000000002</v>
          </cell>
          <cell r="AI31">
            <v>221.995</v>
          </cell>
          <cell r="AK31">
            <v>188.01900000000001</v>
          </cell>
          <cell r="AL31">
            <v>180.29010000000002</v>
          </cell>
          <cell r="AM31">
            <v>198.91080000000002</v>
          </cell>
          <cell r="AN31">
            <v>250.88849999999999</v>
          </cell>
          <cell r="AP31">
            <v>218.988</v>
          </cell>
          <cell r="AQ31">
            <v>213.8852</v>
          </cell>
          <cell r="AR31">
            <v>226.46720000000002</v>
          </cell>
          <cell r="AS31">
            <v>281.99599999999998</v>
          </cell>
          <cell r="AU31">
            <v>250.81200000000001</v>
          </cell>
          <cell r="AV31">
            <v>243.423</v>
          </cell>
          <cell r="AW31">
            <v>254.35899999999998</v>
          </cell>
          <cell r="AX31">
            <v>333.16660000000002</v>
          </cell>
          <cell r="AZ31">
            <v>283.16250000000002</v>
          </cell>
          <cell r="BA31">
            <v>281.52959999999996</v>
          </cell>
          <cell r="BB31">
            <v>279.12520000000001</v>
          </cell>
          <cell r="BC31">
            <v>371.00800000000004</v>
          </cell>
          <cell r="BE31">
            <v>310.66109999999998</v>
          </cell>
          <cell r="BF31">
            <v>313.98749999999995</v>
          </cell>
          <cell r="BG31">
            <v>307.51319999999998</v>
          </cell>
          <cell r="BH31">
            <v>409.315</v>
          </cell>
          <cell r="BJ31">
            <v>314.608</v>
          </cell>
          <cell r="BK31">
            <v>318.94</v>
          </cell>
          <cell r="BL31">
            <v>332.46899999999999</v>
          </cell>
          <cell r="BM31">
            <v>439.30399999999997</v>
          </cell>
          <cell r="BN31">
            <v>0</v>
          </cell>
          <cell r="BO31">
            <v>341.11199999999997</v>
          </cell>
          <cell r="BP31">
            <v>351.54</v>
          </cell>
          <cell r="BQ31">
            <v>342.976</v>
          </cell>
          <cell r="BR31">
            <v>495.69599999999997</v>
          </cell>
          <cell r="BS31">
            <v>0</v>
          </cell>
          <cell r="BT31">
            <v>382.32499999999999</v>
          </cell>
          <cell r="BU31">
            <v>392.92</v>
          </cell>
          <cell r="BV31">
            <v>379.23500000000001</v>
          </cell>
          <cell r="BW31">
            <v>552.03599999999994</v>
          </cell>
          <cell r="BX31">
            <v>0</v>
          </cell>
          <cell r="BY31">
            <v>399.29599999999999</v>
          </cell>
          <cell r="BZ31">
            <v>432.06</v>
          </cell>
          <cell r="CA31">
            <v>425.87</v>
          </cell>
          <cell r="CB31">
            <v>582.25199999999995</v>
          </cell>
          <cell r="CC31">
            <v>0</v>
          </cell>
          <cell r="CD31">
            <v>432.03199999999998</v>
          </cell>
          <cell r="CE31">
            <v>445.18400000000003</v>
          </cell>
          <cell r="CF31">
            <v>429.68399999999997</v>
          </cell>
          <cell r="CG31">
            <v>593.30399999999997</v>
          </cell>
          <cell r="CH31">
            <v>0</v>
          </cell>
          <cell r="CI31">
            <v>428.06399999999996</v>
          </cell>
          <cell r="CJ31">
            <v>436.96999999999997</v>
          </cell>
          <cell r="CK31">
            <v>368.03900000000004</v>
          </cell>
          <cell r="CL31">
            <v>492.91206642700729</v>
          </cell>
          <cell r="CM31">
            <v>0</v>
          </cell>
        </row>
        <row r="32">
          <cell r="A32" t="str">
            <v xml:space="preserve">  United Kingdom</v>
          </cell>
          <cell r="B32">
            <v>39.28</v>
          </cell>
          <cell r="C32">
            <v>67.989000000000004</v>
          </cell>
          <cell r="D32">
            <v>100.0544</v>
          </cell>
          <cell r="E32">
            <v>117.21180000000001</v>
          </cell>
          <cell r="F32">
            <v>104.68650000000001</v>
          </cell>
          <cell r="G32">
            <v>97.470699999999994</v>
          </cell>
          <cell r="H32">
            <v>106.09519999999998</v>
          </cell>
          <cell r="I32">
            <v>135.976</v>
          </cell>
          <cell r="J32">
            <v>170.53</v>
          </cell>
          <cell r="K32">
            <v>198.15499999999997</v>
          </cell>
          <cell r="L32">
            <v>226.44</v>
          </cell>
          <cell r="M32">
            <v>254.51999999999998</v>
          </cell>
          <cell r="N32">
            <v>250.96686237673379</v>
          </cell>
          <cell r="O32">
            <v>211.53756659477975</v>
          </cell>
          <cell r="P32">
            <v>216.498786304275</v>
          </cell>
          <cell r="Q32">
            <v>220.59432441098576</v>
          </cell>
          <cell r="R32">
            <v>226.75903709080816</v>
          </cell>
          <cell r="S32">
            <v>232.44141008223136</v>
          </cell>
          <cell r="T32">
            <v>235.23070700321813</v>
          </cell>
          <cell r="U32">
            <v>238.05347548725675</v>
          </cell>
          <cell r="V32">
            <v>240.91011719310382</v>
          </cell>
          <cell r="W32">
            <v>243.8010385994211</v>
          </cell>
          <cell r="X32">
            <v>246.72665106261411</v>
          </cell>
          <cell r="Z32" t="str">
            <v xml:space="preserve">  United Kingdom</v>
          </cell>
          <cell r="AA32">
            <v>8.48</v>
          </cell>
          <cell r="AB32">
            <v>8</v>
          </cell>
          <cell r="AC32">
            <v>8.8000000000000007</v>
          </cell>
          <cell r="AD32">
            <v>14</v>
          </cell>
          <cell r="AF32">
            <v>13.430999999999999</v>
          </cell>
          <cell r="AG32">
            <v>14.975999999999999</v>
          </cell>
          <cell r="AH32">
            <v>16.439999999999998</v>
          </cell>
          <cell r="AI32">
            <v>23.142000000000003</v>
          </cell>
          <cell r="AK32">
            <v>20.2104</v>
          </cell>
          <cell r="AL32">
            <v>23.994</v>
          </cell>
          <cell r="AM32">
            <v>24.0962</v>
          </cell>
          <cell r="AN32">
            <v>31.753799999999998</v>
          </cell>
          <cell r="AP32">
            <v>27.2744</v>
          </cell>
          <cell r="AQ32">
            <v>27.2744</v>
          </cell>
          <cell r="AR32">
            <v>26.623000000000005</v>
          </cell>
          <cell r="AS32">
            <v>36.04</v>
          </cell>
          <cell r="AU32">
            <v>27.808000000000003</v>
          </cell>
          <cell r="AV32">
            <v>24.167000000000002</v>
          </cell>
          <cell r="AW32">
            <v>23.628</v>
          </cell>
          <cell r="AX32">
            <v>29.083499999999997</v>
          </cell>
          <cell r="AZ32">
            <v>23.976299999999998</v>
          </cell>
          <cell r="BA32">
            <v>22.015999999999998</v>
          </cell>
          <cell r="BB32">
            <v>20.873599999999996</v>
          </cell>
          <cell r="BC32">
            <v>30.604800000000001</v>
          </cell>
          <cell r="BE32">
            <v>23.795199999999998</v>
          </cell>
          <cell r="BF32">
            <v>22.738399999999995</v>
          </cell>
          <cell r="BG32">
            <v>24.217599999999997</v>
          </cell>
          <cell r="BH32">
            <v>35.344000000000001</v>
          </cell>
          <cell r="BJ32">
            <v>29.071999999999999</v>
          </cell>
          <cell r="BK32">
            <v>29.631</v>
          </cell>
          <cell r="BL32">
            <v>31.024999999999999</v>
          </cell>
          <cell r="BM32">
            <v>46.247999999999998</v>
          </cell>
          <cell r="BN32">
            <v>0</v>
          </cell>
          <cell r="BO32">
            <v>42.56</v>
          </cell>
          <cell r="BP32">
            <v>40.33</v>
          </cell>
          <cell r="BQ32">
            <v>41.44</v>
          </cell>
          <cell r="BR32">
            <v>46.199999999999996</v>
          </cell>
          <cell r="BS32">
            <v>0</v>
          </cell>
          <cell r="BT32">
            <v>47.449999999999996</v>
          </cell>
          <cell r="BU32">
            <v>45.15</v>
          </cell>
          <cell r="BV32">
            <v>45.794999999999995</v>
          </cell>
          <cell r="BW32">
            <v>59.76</v>
          </cell>
          <cell r="BX32">
            <v>0</v>
          </cell>
          <cell r="BY32">
            <v>48.91</v>
          </cell>
          <cell r="BZ32">
            <v>49.32</v>
          </cell>
          <cell r="CA32">
            <v>51.839999999999996</v>
          </cell>
          <cell r="CB32">
            <v>76.37</v>
          </cell>
          <cell r="CC32">
            <v>0</v>
          </cell>
          <cell r="CD32">
            <v>53.199999999999996</v>
          </cell>
          <cell r="CE32">
            <v>56</v>
          </cell>
          <cell r="CF32">
            <v>59.994999999999997</v>
          </cell>
          <cell r="CG32">
            <v>85.324999999999989</v>
          </cell>
          <cell r="CH32">
            <v>0</v>
          </cell>
          <cell r="CI32">
            <v>60.199999999999996</v>
          </cell>
          <cell r="CJ32">
            <v>57.05</v>
          </cell>
          <cell r="CK32">
            <v>56.8</v>
          </cell>
          <cell r="CL32">
            <v>76.916862376733775</v>
          </cell>
          <cell r="CM32">
            <v>0</v>
          </cell>
        </row>
        <row r="33">
          <cell r="A33" t="str">
            <v xml:space="preserve">  Germany</v>
          </cell>
          <cell r="B33">
            <v>0</v>
          </cell>
          <cell r="C33">
            <v>1.0386869999999999</v>
          </cell>
          <cell r="D33">
            <v>10.997499999999999</v>
          </cell>
          <cell r="E33">
            <v>25.744699999999998</v>
          </cell>
          <cell r="F33">
            <v>41.124700000000004</v>
          </cell>
          <cell r="G33">
            <v>59.217299999999994</v>
          </cell>
          <cell r="H33">
            <v>84.771000000000001</v>
          </cell>
          <cell r="I33">
            <v>148.345</v>
          </cell>
          <cell r="J33">
            <v>228.958</v>
          </cell>
          <cell r="K33">
            <v>281.32</v>
          </cell>
          <cell r="L33">
            <v>313.76</v>
          </cell>
          <cell r="M33">
            <v>315.375</v>
          </cell>
          <cell r="N33">
            <v>348.67562341074984</v>
          </cell>
          <cell r="O33">
            <v>301.55349380034505</v>
          </cell>
          <cell r="P33">
            <v>310.38773699900304</v>
          </cell>
          <cell r="Q33">
            <v>315.04355305398798</v>
          </cell>
          <cell r="R33">
            <v>319.7692063497978</v>
          </cell>
          <cell r="S33">
            <v>324.56574444504474</v>
          </cell>
          <cell r="T33">
            <v>329.43423061172041</v>
          </cell>
          <cell r="U33">
            <v>334.37574407089619</v>
          </cell>
          <cell r="V33">
            <v>339.3913802319596</v>
          </cell>
          <cell r="W33">
            <v>344.48225093543891</v>
          </cell>
          <cell r="X33">
            <v>349.64948469947046</v>
          </cell>
          <cell r="Z33" t="str">
            <v xml:space="preserve">  Germany</v>
          </cell>
          <cell r="AA33">
            <v>0</v>
          </cell>
          <cell r="AB33">
            <v>0</v>
          </cell>
          <cell r="AC33">
            <v>0</v>
          </cell>
          <cell r="AD33">
            <v>0</v>
          </cell>
          <cell r="AF33">
            <v>0.69608700000000001</v>
          </cell>
          <cell r="AG33">
            <v>8.0500000000000002E-2</v>
          </cell>
          <cell r="AH33">
            <v>1.0991</v>
          </cell>
          <cell r="AI33">
            <v>-0.83700000000000008</v>
          </cell>
          <cell r="AK33">
            <v>1.7925</v>
          </cell>
          <cell r="AL33">
            <v>1.7252999999999998</v>
          </cell>
          <cell r="AM33">
            <v>2.7231999999999998</v>
          </cell>
          <cell r="AN33">
            <v>4.7565</v>
          </cell>
          <cell r="AP33">
            <v>6.1811999999999996</v>
          </cell>
          <cell r="AQ33">
            <v>6.6215000000000002</v>
          </cell>
          <cell r="AR33">
            <v>7.2816000000000001</v>
          </cell>
          <cell r="AS33">
            <v>5.6604000000000001</v>
          </cell>
          <cell r="AU33">
            <v>9.8264000000000014</v>
          </cell>
          <cell r="AV33">
            <v>8.6723999999999997</v>
          </cell>
          <cell r="AW33">
            <v>10.136099999999999</v>
          </cell>
          <cell r="AX33">
            <v>12.489799999999999</v>
          </cell>
          <cell r="AZ33">
            <v>13.322899999999999</v>
          </cell>
          <cell r="BA33">
            <v>11.871199999999998</v>
          </cell>
          <cell r="BB33">
            <v>14.152199999999999</v>
          </cell>
          <cell r="BC33">
            <v>19.870999999999999</v>
          </cell>
          <cell r="BE33">
            <v>18.8155</v>
          </cell>
          <cell r="BF33">
            <v>17.875</v>
          </cell>
          <cell r="BG33">
            <v>20.5015</v>
          </cell>
          <cell r="BH33">
            <v>27.579000000000001</v>
          </cell>
          <cell r="BJ33">
            <v>30.875</v>
          </cell>
          <cell r="BK33">
            <v>34.4</v>
          </cell>
          <cell r="BL33">
            <v>36.564999999999998</v>
          </cell>
          <cell r="BM33">
            <v>46.504999999999995</v>
          </cell>
          <cell r="BN33">
            <v>0</v>
          </cell>
          <cell r="BO33">
            <v>55.8</v>
          </cell>
          <cell r="BP33">
            <v>54.567999999999998</v>
          </cell>
          <cell r="BQ33">
            <v>53.65</v>
          </cell>
          <cell r="BR33">
            <v>64.94</v>
          </cell>
          <cell r="BS33">
            <v>0</v>
          </cell>
          <cell r="BT33">
            <v>71.78</v>
          </cell>
          <cell r="BU33">
            <v>66.599999999999994</v>
          </cell>
          <cell r="BV33">
            <v>62.3</v>
          </cell>
          <cell r="BW33">
            <v>80.64</v>
          </cell>
          <cell r="BX33">
            <v>0</v>
          </cell>
          <cell r="BY33">
            <v>70.2</v>
          </cell>
          <cell r="BZ33">
            <v>68.399999999999991</v>
          </cell>
          <cell r="CA33">
            <v>74.739999999999995</v>
          </cell>
          <cell r="CB33">
            <v>100.42000000000003</v>
          </cell>
          <cell r="CC33">
            <v>0</v>
          </cell>
          <cell r="CD33">
            <v>75.25</v>
          </cell>
          <cell r="CE33">
            <v>69.3</v>
          </cell>
          <cell r="CF33">
            <v>69.84</v>
          </cell>
          <cell r="CG33">
            <v>100.98499999999999</v>
          </cell>
          <cell r="CH33">
            <v>0</v>
          </cell>
          <cell r="CI33">
            <v>87.149999999999991</v>
          </cell>
          <cell r="CJ33">
            <v>76.160000000000011</v>
          </cell>
          <cell r="CK33">
            <v>80.149999999999991</v>
          </cell>
          <cell r="CL33">
            <v>105.21562341074984</v>
          </cell>
          <cell r="CM33">
            <v>0</v>
          </cell>
        </row>
        <row r="34">
          <cell r="A34" t="str">
            <v xml:space="preserve">  Italy</v>
          </cell>
          <cell r="K34">
            <v>0</v>
          </cell>
          <cell r="L34">
            <v>0</v>
          </cell>
          <cell r="M34">
            <v>0</v>
          </cell>
          <cell r="N34">
            <v>0</v>
          </cell>
          <cell r="O34">
            <v>0</v>
          </cell>
          <cell r="P34">
            <v>12.87</v>
          </cell>
          <cell r="Q34">
            <v>54.594539999999995</v>
          </cell>
          <cell r="R34">
            <v>61.255073880000012</v>
          </cell>
          <cell r="S34">
            <v>67.16618850942001</v>
          </cell>
          <cell r="T34">
            <v>72.36317234533638</v>
          </cell>
          <cell r="U34">
            <v>76.924313552228384</v>
          </cell>
          <cell r="V34">
            <v>80.945411848931201</v>
          </cell>
          <cell r="W34">
            <v>85.041249688487127</v>
          </cell>
          <cell r="X34">
            <v>89.344336922724551</v>
          </cell>
          <cell r="Z34" t="str">
            <v xml:space="preserve">  Italy</v>
          </cell>
          <cell r="CD34">
            <v>0</v>
          </cell>
          <cell r="CE34">
            <v>0</v>
          </cell>
          <cell r="CF34">
            <v>0</v>
          </cell>
          <cell r="CG34">
            <v>0</v>
          </cell>
          <cell r="CI34">
            <v>0</v>
          </cell>
          <cell r="CJ34">
            <v>0</v>
          </cell>
          <cell r="CK34">
            <v>0</v>
          </cell>
          <cell r="CL34">
            <v>0</v>
          </cell>
          <cell r="CM34">
            <v>0</v>
          </cell>
        </row>
        <row r="35">
          <cell r="A35" t="str">
            <v xml:space="preserve">  Japan</v>
          </cell>
          <cell r="B35">
            <v>0</v>
          </cell>
          <cell r="C35">
            <v>0</v>
          </cell>
          <cell r="D35">
            <v>12.986699999999999</v>
          </cell>
          <cell r="E35">
            <v>22.967399999999998</v>
          </cell>
          <cell r="F35">
            <v>20.777299999999997</v>
          </cell>
          <cell r="G35">
            <v>31.355900000000002</v>
          </cell>
          <cell r="H35">
            <v>55.327000000000012</v>
          </cell>
          <cell r="I35">
            <v>92.358000000000175</v>
          </cell>
          <cell r="J35">
            <v>162.18799999999987</v>
          </cell>
          <cell r="K35">
            <v>203.00899999999979</v>
          </cell>
          <cell r="L35">
            <v>268.32200000000006</v>
          </cell>
          <cell r="M35">
            <v>244.90100000000007</v>
          </cell>
          <cell r="N35">
            <v>291.89204524420569</v>
          </cell>
          <cell r="O35">
            <v>321.7441937188803</v>
          </cell>
          <cell r="P35">
            <v>346.89104254375064</v>
          </cell>
          <cell r="Q35">
            <v>369.97872852882028</v>
          </cell>
          <cell r="R35">
            <v>390.85609963866079</v>
          </cell>
          <cell r="S35">
            <v>410.12934868980852</v>
          </cell>
          <cell r="T35">
            <v>428.4591519832079</v>
          </cell>
          <cell r="U35">
            <v>445.76890172332941</v>
          </cell>
          <cell r="V35">
            <v>461.97867996781406</v>
          </cell>
          <cell r="W35">
            <v>477.00514440045134</v>
          </cell>
          <cell r="X35">
            <v>490.76141060985088</v>
          </cell>
          <cell r="Z35" t="str">
            <v xml:space="preserve">  Japan</v>
          </cell>
          <cell r="AA35">
            <v>0</v>
          </cell>
          <cell r="AB35">
            <v>0</v>
          </cell>
          <cell r="AC35">
            <v>0</v>
          </cell>
          <cell r="AD35">
            <v>0</v>
          </cell>
          <cell r="AF35">
            <v>0</v>
          </cell>
          <cell r="AG35">
            <v>0</v>
          </cell>
          <cell r="AH35">
            <v>0</v>
          </cell>
          <cell r="AI35">
            <v>0</v>
          </cell>
          <cell r="AK35">
            <v>2.2725</v>
          </cell>
          <cell r="AL35">
            <v>4.2119999999999997</v>
          </cell>
          <cell r="AM35">
            <v>2.8620000000000001</v>
          </cell>
          <cell r="AN35">
            <v>2.3165999999999998</v>
          </cell>
          <cell r="AP35">
            <v>6.6264000000000003</v>
          </cell>
          <cell r="AQ35">
            <v>5.7959999999999994</v>
          </cell>
          <cell r="AR35">
            <v>4.7879999999999994</v>
          </cell>
          <cell r="AS35">
            <v>5.7569999999999979</v>
          </cell>
          <cell r="AU35">
            <v>0</v>
          </cell>
          <cell r="AV35">
            <v>6.9689999999999994</v>
          </cell>
          <cell r="AW35">
            <v>5.2965000000000009</v>
          </cell>
          <cell r="AX35">
            <v>8.5117999999999991</v>
          </cell>
          <cell r="AZ35">
            <v>6.8948999999999998</v>
          </cell>
          <cell r="BA35">
            <v>5.4002000000000008</v>
          </cell>
          <cell r="BB35">
            <v>7.0224000000000002</v>
          </cell>
          <cell r="BC35">
            <v>12.038399999999999</v>
          </cell>
          <cell r="BE35">
            <v>9.0945</v>
          </cell>
          <cell r="BF35">
            <v>11.497200000000001</v>
          </cell>
          <cell r="BG35">
            <v>16.0763</v>
          </cell>
          <cell r="BH35">
            <v>18.659000000000002</v>
          </cell>
          <cell r="BJ35">
            <v>14.444999999999993</v>
          </cell>
          <cell r="BK35">
            <v>21.029000000000003</v>
          </cell>
          <cell r="BL35">
            <v>23.94100000000001</v>
          </cell>
          <cell r="BM35">
            <v>32.94300000000004</v>
          </cell>
          <cell r="BN35">
            <v>1.2789769243681803E-13</v>
          </cell>
          <cell r="BO35">
            <v>32.528000000000034</v>
          </cell>
          <cell r="BP35">
            <v>38.561999999999983</v>
          </cell>
          <cell r="BQ35">
            <v>39.934000000000005</v>
          </cell>
          <cell r="BR35">
            <v>51.164000000000044</v>
          </cell>
          <cell r="BS35">
            <v>0</v>
          </cell>
          <cell r="BT35">
            <v>48.445000000000022</v>
          </cell>
          <cell r="BU35">
            <v>52.329999999999984</v>
          </cell>
          <cell r="BV35">
            <v>45.67</v>
          </cell>
          <cell r="BW35">
            <v>56.564000000000064</v>
          </cell>
          <cell r="BX35">
            <v>-2.8421709430404007E-13</v>
          </cell>
          <cell r="BY35">
            <v>65.594000000000008</v>
          </cell>
          <cell r="BZ35">
            <v>73.220000000000013</v>
          </cell>
          <cell r="CA35">
            <v>60.55</v>
          </cell>
          <cell r="CB35">
            <v>68.958000000000013</v>
          </cell>
          <cell r="CC35">
            <v>0</v>
          </cell>
          <cell r="CD35">
            <v>63.518000000000029</v>
          </cell>
          <cell r="CE35">
            <v>64.515999999999977</v>
          </cell>
          <cell r="CF35">
            <v>58.481000000000023</v>
          </cell>
          <cell r="CG35">
            <v>58.386000000000053</v>
          </cell>
          <cell r="CH35">
            <v>0</v>
          </cell>
          <cell r="CI35">
            <v>69.586000000000055</v>
          </cell>
          <cell r="CJ35">
            <v>82.820000000000007</v>
          </cell>
          <cell r="CK35">
            <v>82.820000000000007</v>
          </cell>
          <cell r="CL35">
            <v>56.666045244205634</v>
          </cell>
          <cell r="CM35">
            <v>0</v>
          </cell>
        </row>
        <row r="36">
          <cell r="A36" t="str">
            <v>Total Gross Profit</v>
          </cell>
          <cell r="B36">
            <v>725.20354112400003</v>
          </cell>
          <cell r="C36">
            <v>815.1</v>
          </cell>
          <cell r="D36">
            <v>942.14700000000016</v>
          </cell>
          <cell r="E36">
            <v>1107.2602999999999</v>
          </cell>
          <cell r="F36">
            <v>1248.3491000000001</v>
          </cell>
          <cell r="G36">
            <v>1402.8692000000001</v>
          </cell>
          <cell r="H36">
            <v>1587.6699999999998</v>
          </cell>
          <cell r="I36">
            <v>1782</v>
          </cell>
          <cell r="J36">
            <v>2093</v>
          </cell>
          <cell r="K36">
            <v>2389</v>
          </cell>
          <cell r="L36">
            <v>2648</v>
          </cell>
          <cell r="M36">
            <v>2715</v>
          </cell>
          <cell r="N36">
            <v>2617.5195974586968</v>
          </cell>
          <cell r="O36">
            <v>2436.1657948909715</v>
          </cell>
          <cell r="P36">
            <v>2529.5957302650208</v>
          </cell>
          <cell r="Q36">
            <v>2712.9753459427134</v>
          </cell>
          <cell r="R36">
            <v>2818.3108646112464</v>
          </cell>
          <cell r="S36">
            <v>2924.0989700352879</v>
          </cell>
          <cell r="T36">
            <v>3026.3583348596549</v>
          </cell>
          <cell r="U36">
            <v>3126.9105235479487</v>
          </cell>
          <cell r="V36">
            <v>3227.2370705679396</v>
          </cell>
          <cell r="W36">
            <v>3327.0652772860694</v>
          </cell>
          <cell r="X36">
            <v>3430.3136133223115</v>
          </cell>
          <cell r="Z36" t="str">
            <v>Total Gross Profit</v>
          </cell>
          <cell r="AA36">
            <v>179.94328001</v>
          </cell>
          <cell r="AB36">
            <v>163.61803966399998</v>
          </cell>
          <cell r="AC36">
            <v>168.78934645000004</v>
          </cell>
          <cell r="AD36">
            <v>212.85287500000001</v>
          </cell>
          <cell r="AF36">
            <v>187.79999999999998</v>
          </cell>
          <cell r="AG36">
            <v>189.59999999999997</v>
          </cell>
          <cell r="AH36">
            <v>193.4</v>
          </cell>
          <cell r="AI36">
            <v>244.3</v>
          </cell>
          <cell r="AK36">
            <v>212.29440000000002</v>
          </cell>
          <cell r="AL36">
            <v>210.22140000000002</v>
          </cell>
          <cell r="AM36">
            <v>228.59220000000002</v>
          </cell>
          <cell r="AN36">
            <v>289.71539999999999</v>
          </cell>
          <cell r="AP36">
            <v>259.07</v>
          </cell>
          <cell r="AQ36">
            <v>253.57709999999997</v>
          </cell>
          <cell r="AR36">
            <v>265.15980000000002</v>
          </cell>
          <cell r="AS36">
            <v>329.45339999999999</v>
          </cell>
          <cell r="AU36">
            <v>288.44640000000004</v>
          </cell>
          <cell r="AV36">
            <v>283.23140000000001</v>
          </cell>
          <cell r="AW36">
            <v>293.41959999999995</v>
          </cell>
          <cell r="AX36">
            <v>383.25170000000003</v>
          </cell>
          <cell r="AZ36">
            <v>327.35660000000001</v>
          </cell>
          <cell r="BA36">
            <v>320.81699999999995</v>
          </cell>
          <cell r="BB36">
            <v>321.17340000000002</v>
          </cell>
          <cell r="BC36">
            <v>433.52220000000005</v>
          </cell>
          <cell r="BE36">
            <v>362.36629999999997</v>
          </cell>
          <cell r="BF36">
            <v>366.09809999999999</v>
          </cell>
          <cell r="BG36">
            <v>368.30860000000001</v>
          </cell>
          <cell r="BH36">
            <v>490.89699999999999</v>
          </cell>
          <cell r="BJ36">
            <v>389</v>
          </cell>
          <cell r="BK36">
            <v>404</v>
          </cell>
          <cell r="BL36">
            <v>424</v>
          </cell>
          <cell r="BM36">
            <v>565</v>
          </cell>
          <cell r="BN36">
            <v>0</v>
          </cell>
          <cell r="BO36">
            <v>472</v>
          </cell>
          <cell r="BP36">
            <v>485</v>
          </cell>
          <cell r="BQ36">
            <v>478</v>
          </cell>
          <cell r="BR36">
            <v>658</v>
          </cell>
          <cell r="BS36">
            <v>0</v>
          </cell>
          <cell r="BT36">
            <v>550</v>
          </cell>
          <cell r="BU36">
            <v>557</v>
          </cell>
          <cell r="BV36">
            <v>533</v>
          </cell>
          <cell r="BW36">
            <v>749</v>
          </cell>
          <cell r="BX36">
            <v>0</v>
          </cell>
          <cell r="BY36">
            <v>584</v>
          </cell>
          <cell r="BZ36">
            <v>623</v>
          </cell>
          <cell r="CA36">
            <v>613</v>
          </cell>
          <cell r="CB36">
            <v>828</v>
          </cell>
          <cell r="CC36">
            <v>0</v>
          </cell>
          <cell r="CD36">
            <v>624</v>
          </cell>
          <cell r="CE36">
            <v>635</v>
          </cell>
          <cell r="CF36">
            <v>618</v>
          </cell>
          <cell r="CG36">
            <v>838</v>
          </cell>
          <cell r="CH36">
            <v>0</v>
          </cell>
          <cell r="CI36">
            <v>645</v>
          </cell>
          <cell r="CJ36">
            <v>653</v>
          </cell>
          <cell r="CK36">
            <v>587.80900000000008</v>
          </cell>
          <cell r="CL36">
            <v>731.71059745869661</v>
          </cell>
          <cell r="CM36">
            <v>0</v>
          </cell>
        </row>
        <row r="37">
          <cell r="AN37">
            <v>1.3236000000000274</v>
          </cell>
          <cell r="AS37" t="str">
            <v/>
          </cell>
          <cell r="AX37" t="str">
            <v/>
          </cell>
          <cell r="BC37" t="str">
            <v/>
          </cell>
          <cell r="BH37" t="str">
            <v/>
          </cell>
          <cell r="BO37">
            <v>0.37290028490028498</v>
          </cell>
          <cell r="BP37">
            <v>0.37175487465181051</v>
          </cell>
          <cell r="BQ37">
            <v>0.37506666666666666</v>
          </cell>
          <cell r="BR37">
            <v>0.34097478991596647</v>
          </cell>
          <cell r="BT37">
            <v>0.38194760820045559</v>
          </cell>
          <cell r="BU37">
            <v>0.36871910112359546</v>
          </cell>
          <cell r="BV37">
            <v>0.35267201834862383</v>
          </cell>
          <cell r="BW37">
            <v>0.36407393715341968</v>
          </cell>
          <cell r="BY37">
            <v>0.39551177730192721</v>
          </cell>
          <cell r="BZ37">
            <v>0.3896734693877551</v>
          </cell>
          <cell r="CA37">
            <v>0.37276892430278885</v>
          </cell>
          <cell r="CB37">
            <v>0.3888417721518988</v>
          </cell>
          <cell r="CD37">
            <v>0.37640784313725495</v>
          </cell>
          <cell r="CE37">
            <v>0.37291944990176812</v>
          </cell>
          <cell r="CF37">
            <v>0.36780468750000006</v>
          </cell>
          <cell r="CG37">
            <v>0.37187841945288758</v>
          </cell>
          <cell r="CI37">
            <v>0.36831239388794573</v>
          </cell>
          <cell r="CJ37">
            <v>0.37246551724137938</v>
          </cell>
          <cell r="CK37">
            <v>0.38691901408450702</v>
          </cell>
          <cell r="CL37">
            <v>0.34570596911269996</v>
          </cell>
        </row>
        <row r="38">
          <cell r="A38" t="str">
            <v>Gross Profit Margin</v>
          </cell>
          <cell r="Z38" t="str">
            <v>Gross Profit Margin</v>
          </cell>
        </row>
        <row r="39">
          <cell r="A39" t="str">
            <v xml:space="preserve">  Domestic</v>
          </cell>
          <cell r="B39">
            <v>0.39485135938069355</v>
          </cell>
          <cell r="C39">
            <v>0.39168815037687144</v>
          </cell>
          <cell r="D39">
            <v>0.34911171801655716</v>
          </cell>
          <cell r="E39">
            <v>0.34923810937152183</v>
          </cell>
          <cell r="F39">
            <v>0.35458260128490887</v>
          </cell>
          <cell r="G39">
            <v>0.36015098870475226</v>
          </cell>
          <cell r="H39">
            <v>0.36528613440801655</v>
          </cell>
          <cell r="I39">
            <v>0.36549310793237971</v>
          </cell>
          <cell r="J39">
            <v>0.36979570152137164</v>
          </cell>
          <cell r="K39">
            <v>0.3677836206896552</v>
          </cell>
          <cell r="L39">
            <v>0.36915071242223563</v>
          </cell>
          <cell r="M39">
            <v>0.36486251920122892</v>
          </cell>
          <cell r="N39">
            <v>0.35</v>
          </cell>
          <cell r="O39">
            <v>0.34</v>
          </cell>
          <cell r="P39">
            <v>0.34499999999999997</v>
          </cell>
          <cell r="Q39">
            <v>0.35499999999999998</v>
          </cell>
          <cell r="R39">
            <v>0.35499999999999998</v>
          </cell>
          <cell r="S39">
            <v>0.35499999999999998</v>
          </cell>
          <cell r="T39">
            <v>0.35499999999999998</v>
          </cell>
          <cell r="U39">
            <v>0.35499999999999998</v>
          </cell>
          <cell r="V39">
            <v>0.35499999999999993</v>
          </cell>
          <cell r="W39">
            <v>0.35499999999999998</v>
          </cell>
          <cell r="X39">
            <v>0.35499999999999998</v>
          </cell>
          <cell r="Z39" t="str">
            <v xml:space="preserve">  Domestic</v>
          </cell>
          <cell r="BJ39">
            <v>0.371</v>
          </cell>
          <cell r="BK39">
            <v>0.37</v>
          </cell>
          <cell r="BL39">
            <v>0.36899999999999999</v>
          </cell>
          <cell r="BM39">
            <v>0.35599999999999998</v>
          </cell>
          <cell r="BO39">
            <v>0.36599999999999999</v>
          </cell>
          <cell r="BP39">
            <v>0.378</v>
          </cell>
          <cell r="BQ39">
            <v>0.36799999999999999</v>
          </cell>
          <cell r="BR39">
            <v>0.36799999999999999</v>
          </cell>
          <cell r="BT39">
            <v>0.373</v>
          </cell>
          <cell r="BU39">
            <v>0.38</v>
          </cell>
          <cell r="BV39">
            <v>0.36499999999999999</v>
          </cell>
          <cell r="BW39">
            <v>0.35799999999999998</v>
          </cell>
          <cell r="BY39">
            <v>0.36699999999999999</v>
          </cell>
          <cell r="BZ39">
            <v>0.379</v>
          </cell>
          <cell r="CA39">
            <v>0.37</v>
          </cell>
          <cell r="CB39">
            <v>0.36299999999999999</v>
          </cell>
          <cell r="CD39">
            <v>0.36799999999999999</v>
          </cell>
          <cell r="CE39">
            <v>0.376</v>
          </cell>
          <cell r="CF39">
            <v>0.36599999999999999</v>
          </cell>
          <cell r="CG39">
            <v>0.35399999999999998</v>
          </cell>
          <cell r="CI39">
            <v>0.36399999999999999</v>
          </cell>
          <cell r="CJ39">
            <v>0.37</v>
          </cell>
          <cell r="CK39">
            <v>0.34300000000000003</v>
          </cell>
          <cell r="CL39">
            <v>0.32830471172564968</v>
          </cell>
        </row>
        <row r="40">
          <cell r="A40" t="str">
            <v xml:space="preserve">  United Kingdom</v>
          </cell>
          <cell r="B40">
            <v>0.4</v>
          </cell>
          <cell r="C40">
            <v>0.40957228915662652</v>
          </cell>
          <cell r="D40">
            <v>0.37431500187055744</v>
          </cell>
          <cell r="E40">
            <v>0.35768019530057982</v>
          </cell>
          <cell r="F40">
            <v>0.34802692819148939</v>
          </cell>
          <cell r="G40">
            <v>0.35874383511225616</v>
          </cell>
          <cell r="H40">
            <v>0.35782529510961208</v>
          </cell>
          <cell r="I40">
            <v>0.36750270270270269</v>
          </cell>
          <cell r="J40">
            <v>0.35016427104722792</v>
          </cell>
          <cell r="K40">
            <v>0.35768050541516239</v>
          </cell>
          <cell r="L40">
            <v>0.37</v>
          </cell>
          <cell r="M40">
            <v>0.36</v>
          </cell>
          <cell r="N40">
            <v>0.36</v>
          </cell>
          <cell r="O40">
            <v>0.36</v>
          </cell>
          <cell r="P40">
            <v>0.36</v>
          </cell>
          <cell r="Q40">
            <v>0.36</v>
          </cell>
          <cell r="R40">
            <v>0.36</v>
          </cell>
          <cell r="S40">
            <v>0.36</v>
          </cell>
          <cell r="T40">
            <v>0.36</v>
          </cell>
          <cell r="U40">
            <v>0.36</v>
          </cell>
          <cell r="V40">
            <v>0.36</v>
          </cell>
          <cell r="W40">
            <v>0.36</v>
          </cell>
          <cell r="X40">
            <v>0.36</v>
          </cell>
          <cell r="Z40" t="str">
            <v xml:space="preserve">  United Kingdom</v>
          </cell>
          <cell r="BJ40">
            <v>0.36799999999999999</v>
          </cell>
          <cell r="BK40">
            <v>0.35699999999999998</v>
          </cell>
          <cell r="BL40">
            <v>0.36499999999999999</v>
          </cell>
          <cell r="BM40">
            <v>0.376</v>
          </cell>
          <cell r="BO40">
            <v>0.38</v>
          </cell>
          <cell r="BP40">
            <v>0.37</v>
          </cell>
          <cell r="BQ40">
            <v>0.37</v>
          </cell>
          <cell r="BR40">
            <v>0.3</v>
          </cell>
          <cell r="BT40">
            <v>0.36499999999999999</v>
          </cell>
          <cell r="BU40">
            <v>0.35</v>
          </cell>
          <cell r="BV40">
            <v>0.35499999999999998</v>
          </cell>
          <cell r="BW40">
            <v>0.36</v>
          </cell>
          <cell r="BY40">
            <v>0.36499999999999999</v>
          </cell>
          <cell r="BZ40">
            <v>0.36</v>
          </cell>
          <cell r="CA40">
            <v>0.36</v>
          </cell>
          <cell r="CB40">
            <v>0.38766497461928934</v>
          </cell>
          <cell r="CD40">
            <v>0.35</v>
          </cell>
          <cell r="CE40">
            <v>0.35</v>
          </cell>
          <cell r="CF40">
            <v>0.35499999999999998</v>
          </cell>
          <cell r="CG40">
            <v>0.37754424778761059</v>
          </cell>
          <cell r="CI40">
            <v>0.35</v>
          </cell>
          <cell r="CJ40">
            <v>0.35</v>
          </cell>
          <cell r="CK40">
            <v>0.35499999999999998</v>
          </cell>
          <cell r="CL40">
            <v>0.38053132361630693</v>
          </cell>
        </row>
        <row r="41">
          <cell r="A41" t="str">
            <v xml:space="preserve">  Germany</v>
          </cell>
          <cell r="B41">
            <v>0</v>
          </cell>
          <cell r="C41">
            <v>8.8481727574750813E-2</v>
          </cell>
          <cell r="D41">
            <v>0.25398383371824479</v>
          </cell>
          <cell r="E41">
            <v>0.25215181194906949</v>
          </cell>
          <cell r="F41">
            <v>0.29887136627906979</v>
          </cell>
          <cell r="G41">
            <v>0.29937967644084934</v>
          </cell>
          <cell r="H41">
            <v>0.30769872958257716</v>
          </cell>
          <cell r="I41">
            <v>0.34579254079254079</v>
          </cell>
          <cell r="J41">
            <v>0.35607776049766721</v>
          </cell>
          <cell r="K41">
            <v>0.36020486555697823</v>
          </cell>
          <cell r="L41">
            <v>0.37</v>
          </cell>
          <cell r="M41">
            <v>0.36249999999999999</v>
          </cell>
          <cell r="N41">
            <v>0.35499999999999998</v>
          </cell>
          <cell r="O41">
            <v>0.35499999999999998</v>
          </cell>
          <cell r="P41">
            <v>0.36</v>
          </cell>
          <cell r="Q41">
            <v>0.36</v>
          </cell>
          <cell r="R41">
            <v>0.36</v>
          </cell>
          <cell r="S41">
            <v>0.36</v>
          </cell>
          <cell r="T41">
            <v>0.36</v>
          </cell>
          <cell r="U41">
            <v>0.36000000000000004</v>
          </cell>
          <cell r="V41">
            <v>0.36000000000000004</v>
          </cell>
          <cell r="W41">
            <v>0.36</v>
          </cell>
          <cell r="X41">
            <v>0.36</v>
          </cell>
          <cell r="Z41" t="str">
            <v xml:space="preserve">  Germany</v>
          </cell>
          <cell r="BJ41">
            <v>0.32500000000000001</v>
          </cell>
          <cell r="BK41">
            <v>0.34399999999999997</v>
          </cell>
          <cell r="BL41">
            <v>0.35499999999999998</v>
          </cell>
          <cell r="BM41">
            <v>0.35499999999999998</v>
          </cell>
          <cell r="BO41">
            <v>0.36</v>
          </cell>
          <cell r="BP41">
            <v>0.35899999999999999</v>
          </cell>
          <cell r="BQ41">
            <v>0.37</v>
          </cell>
          <cell r="BR41">
            <v>0.33999999999999997</v>
          </cell>
          <cell r="BT41">
            <v>0.37</v>
          </cell>
          <cell r="BU41">
            <v>0.36</v>
          </cell>
          <cell r="BV41">
            <v>0.35</v>
          </cell>
          <cell r="BW41">
            <v>0.36</v>
          </cell>
          <cell r="BY41">
            <v>0.36000000000000004</v>
          </cell>
          <cell r="BZ41">
            <v>0.35999999999999993</v>
          </cell>
          <cell r="CA41">
            <v>0.37</v>
          </cell>
          <cell r="CB41">
            <v>0.38475095785440627</v>
          </cell>
          <cell r="CD41">
            <v>0.35</v>
          </cell>
          <cell r="CE41">
            <v>0.35</v>
          </cell>
          <cell r="CF41">
            <v>0.36000000000000004</v>
          </cell>
          <cell r="CG41">
            <v>0.3839733840304182</v>
          </cell>
          <cell r="CI41">
            <v>0.35</v>
          </cell>
          <cell r="CJ41">
            <v>0.34</v>
          </cell>
          <cell r="CK41">
            <v>0.35</v>
          </cell>
          <cell r="CL41">
            <v>0.37552216564883434</v>
          </cell>
        </row>
        <row r="42">
          <cell r="A42" t="str">
            <v xml:space="preserve">  Italy</v>
          </cell>
          <cell r="K42" t="str">
            <v>--</v>
          </cell>
          <cell r="L42" t="str">
            <v>--</v>
          </cell>
          <cell r="M42" t="str">
            <v>--</v>
          </cell>
          <cell r="N42" t="str">
            <v>--</v>
          </cell>
          <cell r="O42" t="str">
            <v>--</v>
          </cell>
          <cell r="P42">
            <v>0.36</v>
          </cell>
          <cell r="Q42">
            <v>0.36</v>
          </cell>
          <cell r="R42">
            <v>0.36</v>
          </cell>
          <cell r="S42">
            <v>0.36</v>
          </cell>
          <cell r="T42">
            <v>0.36</v>
          </cell>
          <cell r="U42">
            <v>0.36000000000000004</v>
          </cell>
          <cell r="V42">
            <v>0.36</v>
          </cell>
          <cell r="W42">
            <v>0.36</v>
          </cell>
          <cell r="X42">
            <v>0.36</v>
          </cell>
          <cell r="Z42" t="str">
            <v xml:space="preserve">  Italy</v>
          </cell>
          <cell r="CD42" t="str">
            <v>--</v>
          </cell>
          <cell r="CE42" t="str">
            <v>--</v>
          </cell>
          <cell r="CF42" t="str">
            <v>--</v>
          </cell>
          <cell r="CG42" t="str">
            <v>--</v>
          </cell>
          <cell r="CI42" t="str">
            <v>--</v>
          </cell>
          <cell r="CJ42" t="str">
            <v>--</v>
          </cell>
          <cell r="CK42" t="str">
            <v>--</v>
          </cell>
          <cell r="CL42" t="str">
            <v>--</v>
          </cell>
        </row>
        <row r="43">
          <cell r="A43" t="str">
            <v xml:space="preserve">  Japan</v>
          </cell>
          <cell r="B43" t="str">
            <v>NA</v>
          </cell>
          <cell r="C43" t="str">
            <v>NA</v>
          </cell>
          <cell r="D43">
            <v>0.59299999999999997</v>
          </cell>
          <cell r="E43">
            <v>0.54425118483412316</v>
          </cell>
          <cell r="F43">
            <v>0.4449100642398286</v>
          </cell>
          <cell r="G43">
            <v>0.41975769745649272</v>
          </cell>
          <cell r="H43">
            <v>0.40562316715542529</v>
          </cell>
          <cell r="I43">
            <v>0.37697142857142929</v>
          </cell>
          <cell r="J43">
            <v>0.38987499999999969</v>
          </cell>
          <cell r="K43">
            <v>0.38594866920152049</v>
          </cell>
          <cell r="L43">
            <v>0.42523296354992085</v>
          </cell>
          <cell r="M43">
            <v>0.40016503267973869</v>
          </cell>
          <cell r="N43">
            <v>0.39</v>
          </cell>
          <cell r="O43">
            <v>0.39000000000000007</v>
          </cell>
          <cell r="P43">
            <v>0.38999999999999996</v>
          </cell>
          <cell r="Q43">
            <v>0.39</v>
          </cell>
          <cell r="R43">
            <v>0.39</v>
          </cell>
          <cell r="S43">
            <v>0.39</v>
          </cell>
          <cell r="T43">
            <v>0.39</v>
          </cell>
          <cell r="U43">
            <v>0.39</v>
          </cell>
          <cell r="V43">
            <v>0.39</v>
          </cell>
          <cell r="W43">
            <v>0.39</v>
          </cell>
          <cell r="X43">
            <v>0.39</v>
          </cell>
          <cell r="Z43" t="str">
            <v xml:space="preserve">  Japan</v>
          </cell>
          <cell r="BJ43">
            <v>0.36112499999999981</v>
          </cell>
          <cell r="BK43">
            <v>0.37551785714285718</v>
          </cell>
          <cell r="BL43">
            <v>0.37407812500000015</v>
          </cell>
          <cell r="BM43">
            <v>0.38756470588235342</v>
          </cell>
          <cell r="BO43">
            <v>0.38723809523809566</v>
          </cell>
          <cell r="BP43">
            <v>0.39348979591836719</v>
          </cell>
          <cell r="BQ43">
            <v>0.38770873786407772</v>
          </cell>
          <cell r="BR43">
            <v>0.39056488549618357</v>
          </cell>
          <cell r="BT43">
            <v>0.42126086956521758</v>
          </cell>
          <cell r="BU43">
            <v>0.39946564885496172</v>
          </cell>
          <cell r="BV43">
            <v>0.35403100775193802</v>
          </cell>
          <cell r="BW43">
            <v>0.37459602649006662</v>
          </cell>
          <cell r="BY43">
            <v>0.47531884057971019</v>
          </cell>
          <cell r="BZ43">
            <v>0.44920245398773012</v>
          </cell>
          <cell r="CA43">
            <v>0.38814102564102565</v>
          </cell>
          <cell r="CB43">
            <v>0.39631034482758626</v>
          </cell>
          <cell r="CD43">
            <v>0.4441818181818184</v>
          </cell>
          <cell r="CE43">
            <v>0.42725827814569523</v>
          </cell>
          <cell r="CF43">
            <v>0.39248993288590617</v>
          </cell>
          <cell r="CG43">
            <v>0.34547928994082872</v>
          </cell>
          <cell r="CI43">
            <v>0.41420238095238127</v>
          </cell>
          <cell r="CJ43">
            <v>0.42911917098445601</v>
          </cell>
          <cell r="CK43">
            <v>0.46268156424581008</v>
          </cell>
          <cell r="CL43">
            <v>0.27185633697431688</v>
          </cell>
        </row>
        <row r="44">
          <cell r="A44" t="str">
            <v>Total Gross Profit Margin</v>
          </cell>
          <cell r="B44">
            <v>0.39501922039317616</v>
          </cell>
          <cell r="C44">
            <v>0.39140456182472988</v>
          </cell>
          <cell r="D44">
            <v>0.35208602713105874</v>
          </cell>
          <cell r="E44">
            <v>0.34958019195554713</v>
          </cell>
          <cell r="F44">
            <v>0.35304988828869599</v>
          </cell>
          <cell r="G44">
            <v>0.35812146121052768</v>
          </cell>
          <cell r="H44">
            <v>0.36241554054054059</v>
          </cell>
          <cell r="I44">
            <v>0.36449171609736142</v>
          </cell>
          <cell r="J44">
            <v>0.36803235449270266</v>
          </cell>
          <cell r="K44">
            <v>0.3674819258575604</v>
          </cell>
          <cell r="L44">
            <v>0.37432852700028274</v>
          </cell>
          <cell r="M44">
            <v>0.36704069217250235</v>
          </cell>
          <cell r="N44">
            <v>0.35568271019277409</v>
          </cell>
          <cell r="O44">
            <v>0.34942980883888319</v>
          </cell>
          <cell r="P44">
            <v>0.3537422913056012</v>
          </cell>
          <cell r="Q44">
            <v>0.36050136887526391</v>
          </cell>
          <cell r="R44">
            <v>0.36056761751027716</v>
          </cell>
          <cell r="S44">
            <v>0.36060817426107655</v>
          </cell>
          <cell r="T44">
            <v>0.3606364006751171</v>
          </cell>
          <cell r="U44">
            <v>0.36065433840840128</v>
          </cell>
          <cell r="V44">
            <v>0.36065967340946858</v>
          </cell>
          <cell r="W44">
            <v>0.36065413545941055</v>
          </cell>
          <cell r="X44">
            <v>0.36063149620925855</v>
          </cell>
          <cell r="Z44" t="str">
            <v>Total Gross Profit Margin</v>
          </cell>
          <cell r="BJ44">
            <v>0.36629001883239171</v>
          </cell>
          <cell r="BK44">
            <v>0.36693914623069934</v>
          </cell>
          <cell r="BL44">
            <v>0.36773633998265393</v>
          </cell>
          <cell r="BM44">
            <v>0.35918626827717737</v>
          </cell>
          <cell r="BO44">
            <v>0.36788776305533905</v>
          </cell>
          <cell r="BP44">
            <v>0.37626066718386347</v>
          </cell>
          <cell r="BQ44">
            <v>0.36996904024767802</v>
          </cell>
          <cell r="BR44">
            <v>0.36094349972572681</v>
          </cell>
          <cell r="BT44">
            <v>0.37568306010928959</v>
          </cell>
          <cell r="BU44">
            <v>0.37660581473968896</v>
          </cell>
          <cell r="BV44">
            <v>0.36135593220338985</v>
          </cell>
          <cell r="BW44">
            <v>0.35957753240518481</v>
          </cell>
          <cell r="BY44">
            <v>0.37556270096463024</v>
          </cell>
          <cell r="BZ44">
            <v>0.38220858895705523</v>
          </cell>
          <cell r="CA44">
            <v>0.37084089534180276</v>
          </cell>
          <cell r="CB44">
            <v>0.37030411449016098</v>
          </cell>
          <cell r="CD44">
            <v>0.37054631828978624</v>
          </cell>
          <cell r="CE44">
            <v>0.37507383343177791</v>
          </cell>
          <cell r="CF44">
            <v>0.36654804270462632</v>
          </cell>
          <cell r="CG44">
            <v>0.35904027420736934</v>
          </cell>
          <cell r="CI44">
            <v>0.36543909348441928</v>
          </cell>
          <cell r="CJ44">
            <v>0.37081203861442363</v>
          </cell>
          <cell r="CK44">
            <v>0.35820170627666065</v>
          </cell>
          <cell r="CL44">
            <v>0.3337879447894283</v>
          </cell>
        </row>
        <row r="46">
          <cell r="A46" t="str">
            <v>Operating Expenses</v>
          </cell>
          <cell r="Z46" t="str">
            <v>Operating Expenses</v>
          </cell>
        </row>
        <row r="47">
          <cell r="A47" t="str">
            <v xml:space="preserve">  Domestic</v>
          </cell>
          <cell r="H47">
            <v>319.05187649999993</v>
          </cell>
          <cell r="I47">
            <v>326.82500000000005</v>
          </cell>
          <cell r="J47">
            <v>351.25700000000001</v>
          </cell>
          <cell r="K47">
            <v>422.23999999999995</v>
          </cell>
          <cell r="L47">
            <v>420.57389999999998</v>
          </cell>
          <cell r="M47">
            <v>453.09599999999995</v>
          </cell>
          <cell r="N47">
            <v>480.81012564752353</v>
          </cell>
          <cell r="O47">
            <v>459.20508154633592</v>
          </cell>
          <cell r="P47">
            <v>464.31143777030223</v>
          </cell>
          <cell r="Q47">
            <v>481.3929844930131</v>
          </cell>
          <cell r="R47">
            <v>499.76891872131836</v>
          </cell>
          <cell r="S47">
            <v>519.02855531015882</v>
          </cell>
          <cell r="T47">
            <v>538.54909749106127</v>
          </cell>
          <cell r="U47">
            <v>558.02630605531897</v>
          </cell>
          <cell r="V47">
            <v>577.86230825154314</v>
          </cell>
          <cell r="W47">
            <v>597.83583206217315</v>
          </cell>
          <cell r="X47">
            <v>619.0101230357634</v>
          </cell>
          <cell r="Z47" t="str">
            <v xml:space="preserve">  Domestic</v>
          </cell>
          <cell r="BJ47">
            <v>72.08</v>
          </cell>
          <cell r="BK47">
            <v>73.27000000000001</v>
          </cell>
          <cell r="BL47">
            <v>76.585000000000008</v>
          </cell>
          <cell r="BM47">
            <v>104.89</v>
          </cell>
          <cell r="BN47">
            <v>0</v>
          </cell>
          <cell r="BO47">
            <v>79.22</v>
          </cell>
          <cell r="BP47">
            <v>79.050000000000011</v>
          </cell>
          <cell r="BQ47">
            <v>83.88</v>
          </cell>
          <cell r="BR47">
            <v>109.107</v>
          </cell>
          <cell r="BS47">
            <v>0</v>
          </cell>
          <cell r="BT47">
            <v>93.274999999999991</v>
          </cell>
          <cell r="BU47">
            <v>94.093999999999994</v>
          </cell>
          <cell r="BV47">
            <v>94.548999999999992</v>
          </cell>
          <cell r="BW47">
            <v>140.322</v>
          </cell>
          <cell r="BX47">
            <v>0</v>
          </cell>
          <cell r="BY47">
            <v>94.655999999999992</v>
          </cell>
          <cell r="BZ47">
            <v>99.179999999999993</v>
          </cell>
          <cell r="CA47">
            <v>100.0219</v>
          </cell>
          <cell r="CB47">
            <v>126.71600000000001</v>
          </cell>
          <cell r="CC47">
            <v>0</v>
          </cell>
          <cell r="CD47">
            <v>102.13799999999999</v>
          </cell>
          <cell r="CE47">
            <v>103.008</v>
          </cell>
          <cell r="CF47">
            <v>102.0206</v>
          </cell>
          <cell r="CG47">
            <v>145.92939999999999</v>
          </cell>
          <cell r="CH47">
            <v>0</v>
          </cell>
          <cell r="CI47">
            <v>114.66000000000001</v>
          </cell>
          <cell r="CJ47">
            <v>115.14750000000001</v>
          </cell>
          <cell r="CK47">
            <v>104.61750000000001</v>
          </cell>
          <cell r="CL47">
            <v>146.38512564752347</v>
          </cell>
          <cell r="CM47">
            <v>0</v>
          </cell>
        </row>
        <row r="48">
          <cell r="A48" t="str">
            <v xml:space="preserve">  United Kingdom</v>
          </cell>
          <cell r="H48">
            <v>40.599804327398374</v>
          </cell>
          <cell r="I48">
            <v>44.355000000000004</v>
          </cell>
          <cell r="J48">
            <v>42.751999999999995</v>
          </cell>
          <cell r="K48">
            <v>43.766000000000005</v>
          </cell>
          <cell r="L48">
            <v>44.37</v>
          </cell>
          <cell r="M48">
            <v>53.024999999999999</v>
          </cell>
          <cell r="N48">
            <v>59.256064727839927</v>
          </cell>
          <cell r="O48">
            <v>48.477359011303697</v>
          </cell>
          <cell r="P48">
            <v>48.110841400950001</v>
          </cell>
          <cell r="Q48">
            <v>47.489055949587218</v>
          </cell>
          <cell r="R48">
            <v>47.241466060585033</v>
          </cell>
          <cell r="S48">
            <v>48.425293767131535</v>
          </cell>
          <cell r="T48">
            <v>49.006397292337113</v>
          </cell>
          <cell r="U48">
            <v>49.594474059845162</v>
          </cell>
          <cell r="V48">
            <v>50.189607748563297</v>
          </cell>
          <cell r="W48">
            <v>50.791883041546065</v>
          </cell>
          <cell r="X48">
            <v>51.401385638044609</v>
          </cell>
          <cell r="Z48" t="str">
            <v xml:space="preserve">  United Kingdom</v>
          </cell>
          <cell r="BJ48">
            <v>10.27</v>
          </cell>
          <cell r="BK48">
            <v>11.205</v>
          </cell>
          <cell r="BL48">
            <v>9.35</v>
          </cell>
          <cell r="BM48">
            <v>13.53</v>
          </cell>
          <cell r="BN48">
            <v>0</v>
          </cell>
          <cell r="BO48">
            <v>10.08</v>
          </cell>
          <cell r="BP48">
            <v>9.81</v>
          </cell>
          <cell r="BQ48">
            <v>10.08</v>
          </cell>
          <cell r="BR48">
            <v>12.782</v>
          </cell>
          <cell r="BS48">
            <v>0</v>
          </cell>
          <cell r="BT48">
            <v>10.27</v>
          </cell>
          <cell r="BU48">
            <v>10.191000000000001</v>
          </cell>
          <cell r="BV48">
            <v>10.191000000000001</v>
          </cell>
          <cell r="BW48">
            <v>13.114000000000001</v>
          </cell>
          <cell r="BX48">
            <v>0</v>
          </cell>
          <cell r="BY48">
            <v>10.586</v>
          </cell>
          <cell r="BZ48">
            <v>10.823</v>
          </cell>
          <cell r="CA48">
            <v>11.375999999999999</v>
          </cell>
          <cell r="CB48">
            <v>11.584999999999999</v>
          </cell>
          <cell r="CC48">
            <v>0</v>
          </cell>
          <cell r="CD48">
            <v>11.4</v>
          </cell>
          <cell r="CE48">
            <v>12</v>
          </cell>
          <cell r="CF48">
            <v>12.674999999999999</v>
          </cell>
          <cell r="CG48">
            <v>16.950000000000003</v>
          </cell>
          <cell r="CH48">
            <v>0</v>
          </cell>
          <cell r="CI48">
            <v>14.620000000000001</v>
          </cell>
          <cell r="CJ48">
            <v>13.855</v>
          </cell>
          <cell r="CK48">
            <v>13.600000000000001</v>
          </cell>
          <cell r="CL48">
            <v>17.181064727839924</v>
          </cell>
          <cell r="CM48">
            <v>0</v>
          </cell>
        </row>
        <row r="49">
          <cell r="A49" t="str">
            <v xml:space="preserve">  Germany</v>
          </cell>
          <cell r="H49">
            <v>44.79</v>
          </cell>
          <cell r="I49">
            <v>48.47</v>
          </cell>
          <cell r="J49">
            <v>66.91</v>
          </cell>
          <cell r="K49">
            <v>61.698999999999998</v>
          </cell>
          <cell r="L49">
            <v>61.48</v>
          </cell>
          <cell r="M49">
            <v>70.47</v>
          </cell>
          <cell r="N49">
            <v>84.467897502322515</v>
          </cell>
          <cell r="O49">
            <v>70.9287795276868</v>
          </cell>
          <cell r="P49">
            <v>69.837240824775691</v>
          </cell>
          <cell r="Q49">
            <v>68.696996985383493</v>
          </cell>
          <cell r="R49">
            <v>69.727451940164244</v>
          </cell>
          <cell r="S49">
            <v>70.773363719266712</v>
          </cell>
          <cell r="T49">
            <v>71.834964175055703</v>
          </cell>
          <cell r="U49">
            <v>72.912488637681534</v>
          </cell>
          <cell r="V49">
            <v>74.006175967246747</v>
          </cell>
          <cell r="W49">
            <v>75.11626860675544</v>
          </cell>
          <cell r="X49">
            <v>76.243012635856758</v>
          </cell>
          <cell r="Z49" t="str">
            <v xml:space="preserve">  Germany</v>
          </cell>
          <cell r="BJ49">
            <v>12.35</v>
          </cell>
          <cell r="BK49">
            <v>13</v>
          </cell>
          <cell r="BL49">
            <v>11.33</v>
          </cell>
          <cell r="BM49">
            <v>11.79</v>
          </cell>
          <cell r="BN49">
            <v>0</v>
          </cell>
          <cell r="BO49">
            <v>17.05</v>
          </cell>
          <cell r="BP49">
            <v>16.72</v>
          </cell>
          <cell r="BQ49">
            <v>15.95</v>
          </cell>
          <cell r="BR49">
            <v>17.189999999999998</v>
          </cell>
          <cell r="BS49">
            <v>0</v>
          </cell>
          <cell r="BT49">
            <v>15.326000000000001</v>
          </cell>
          <cell r="BU49">
            <v>14.615</v>
          </cell>
          <cell r="BV49">
            <v>14.061999999999999</v>
          </cell>
          <cell r="BW49">
            <v>17.696000000000002</v>
          </cell>
          <cell r="BX49">
            <v>0</v>
          </cell>
          <cell r="BY49">
            <v>15.404999999999999</v>
          </cell>
          <cell r="BZ49">
            <v>15.01</v>
          </cell>
          <cell r="CA49">
            <v>15.958</v>
          </cell>
          <cell r="CB49">
            <v>15.106999999999998</v>
          </cell>
          <cell r="CC49">
            <v>0</v>
          </cell>
          <cell r="CD49">
            <v>18.275000000000002</v>
          </cell>
          <cell r="CE49">
            <v>15.84</v>
          </cell>
          <cell r="CF49">
            <v>15.52</v>
          </cell>
          <cell r="CG49">
            <v>20.83499999999999</v>
          </cell>
          <cell r="CH49">
            <v>0</v>
          </cell>
          <cell r="CI49">
            <v>23.655000000000001</v>
          </cell>
          <cell r="CJ49">
            <v>19.040000000000003</v>
          </cell>
          <cell r="CK49">
            <v>19.465</v>
          </cell>
          <cell r="CL49">
            <v>22.307897502322508</v>
          </cell>
          <cell r="CM49">
            <v>0</v>
          </cell>
        </row>
        <row r="50">
          <cell r="A50" t="str">
            <v xml:space="preserve">  Italy</v>
          </cell>
          <cell r="K50">
            <v>0</v>
          </cell>
          <cell r="L50">
            <v>0</v>
          </cell>
          <cell r="M50">
            <v>0</v>
          </cell>
          <cell r="N50">
            <v>0</v>
          </cell>
          <cell r="O50">
            <v>0</v>
          </cell>
          <cell r="P50">
            <v>5.3624999999999998</v>
          </cell>
          <cell r="Q50">
            <v>21.231209999999997</v>
          </cell>
          <cell r="R50">
            <v>22.11988779</v>
          </cell>
          <cell r="S50">
            <v>22.388729503139999</v>
          </cell>
          <cell r="T50">
            <v>22.110969327741671</v>
          </cell>
          <cell r="U50">
            <v>21.367864875618992</v>
          </cell>
          <cell r="V50">
            <v>20.2363529622328</v>
          </cell>
          <cell r="W50">
            <v>20.079183954226128</v>
          </cell>
          <cell r="X50">
            <v>21.095190662309964</v>
          </cell>
          <cell r="Z50" t="str">
            <v xml:space="preserve">  Italy</v>
          </cell>
          <cell r="CD50">
            <v>0</v>
          </cell>
          <cell r="CE50">
            <v>0</v>
          </cell>
          <cell r="CF50">
            <v>0</v>
          </cell>
          <cell r="CG50">
            <v>0</v>
          </cell>
          <cell r="CI50">
            <v>0</v>
          </cell>
          <cell r="CJ50">
            <v>0</v>
          </cell>
          <cell r="CK50">
            <v>0</v>
          </cell>
          <cell r="CL50">
            <v>0</v>
          </cell>
          <cell r="CM50">
            <v>0</v>
          </cell>
        </row>
        <row r="51">
          <cell r="A51" t="str">
            <v xml:space="preserve">  Japan</v>
          </cell>
          <cell r="H51">
            <v>8.5583191726016707</v>
          </cell>
          <cell r="I51">
            <v>27.349999999999909</v>
          </cell>
          <cell r="J51">
            <v>36.081000000000017</v>
          </cell>
          <cell r="K51">
            <v>42.295000000000073</v>
          </cell>
          <cell r="L51">
            <v>52.576099999999997</v>
          </cell>
          <cell r="M51">
            <v>39.409000000000077</v>
          </cell>
          <cell r="N51">
            <v>66.905990880112583</v>
          </cell>
          <cell r="O51">
            <v>76.635994457483193</v>
          </cell>
          <cell r="P51">
            <v>85.73882718612164</v>
          </cell>
          <cell r="Q51">
            <v>94.765583914066781</v>
          </cell>
          <cell r="R51">
            <v>100.11307043493196</v>
          </cell>
          <cell r="S51">
            <v>105.04968045982687</v>
          </cell>
          <cell r="T51">
            <v>109.74463824574096</v>
          </cell>
          <cell r="U51">
            <v>114.17832163086887</v>
          </cell>
          <cell r="V51">
            <v>118.33026059926408</v>
          </cell>
          <cell r="W51">
            <v>122.17910802296646</v>
          </cell>
          <cell r="X51">
            <v>125.70260950910539</v>
          </cell>
          <cell r="Z51" t="str">
            <v xml:space="preserve">  Japan</v>
          </cell>
          <cell r="BJ51">
            <v>7.3000000000000114</v>
          </cell>
          <cell r="BK51">
            <v>6.5249999999999915</v>
          </cell>
          <cell r="BL51">
            <v>8.7349999999999994</v>
          </cell>
          <cell r="BM51">
            <v>4.789999999999992</v>
          </cell>
          <cell r="BN51">
            <v>-8.5265128291212022E-14</v>
          </cell>
          <cell r="BO51">
            <v>7.6500000000000057</v>
          </cell>
          <cell r="BP51">
            <v>8.4199999999999875</v>
          </cell>
          <cell r="BQ51">
            <v>8.0900000000000034</v>
          </cell>
          <cell r="BR51">
            <v>11.920999999999992</v>
          </cell>
          <cell r="BS51">
            <v>0</v>
          </cell>
          <cell r="BT51">
            <v>10.129000000000019</v>
          </cell>
          <cell r="BU51">
            <v>11.100000000000009</v>
          </cell>
          <cell r="BV51">
            <v>10.198000000000008</v>
          </cell>
          <cell r="BW51">
            <v>10.867999999999995</v>
          </cell>
          <cell r="BX51">
            <v>0</v>
          </cell>
          <cell r="BY51">
            <v>10.353000000000009</v>
          </cell>
          <cell r="BZ51">
            <v>12.987000000000009</v>
          </cell>
          <cell r="CA51">
            <v>11.644099999999995</v>
          </cell>
          <cell r="CB51">
            <v>17.591999999999985</v>
          </cell>
          <cell r="CC51">
            <v>0</v>
          </cell>
          <cell r="CD51">
            <v>9.1870000000000118</v>
          </cell>
          <cell r="CE51">
            <v>12.152000000000015</v>
          </cell>
          <cell r="CF51">
            <v>12.784400000000005</v>
          </cell>
          <cell r="CG51">
            <v>5.2856000000000449</v>
          </cell>
          <cell r="CH51">
            <v>0</v>
          </cell>
          <cell r="CI51">
            <v>16.064999999999998</v>
          </cell>
          <cell r="CJ51">
            <v>21.95750000000001</v>
          </cell>
          <cell r="CK51">
            <v>19.833440268456386</v>
          </cell>
          <cell r="CL51">
            <v>9.0500506116561894</v>
          </cell>
          <cell r="CM51">
            <v>0</v>
          </cell>
        </row>
        <row r="52">
          <cell r="A52" t="str">
            <v>Total Operating Expenses</v>
          </cell>
          <cell r="H52">
            <v>413</v>
          </cell>
          <cell r="I52">
            <v>447</v>
          </cell>
          <cell r="J52">
            <v>497</v>
          </cell>
          <cell r="K52">
            <v>570</v>
          </cell>
          <cell r="L52">
            <v>579</v>
          </cell>
          <cell r="M52">
            <v>616</v>
          </cell>
          <cell r="N52">
            <v>691.44007875779857</v>
          </cell>
          <cell r="O52">
            <v>655.24721454280962</v>
          </cell>
          <cell r="P52">
            <v>673.36084718214954</v>
          </cell>
          <cell r="Q52">
            <v>713.57583134205061</v>
          </cell>
          <cell r="R52">
            <v>738.9707949469996</v>
          </cell>
          <cell r="S52">
            <v>765.6656227595239</v>
          </cell>
          <cell r="T52">
            <v>791.24606653193678</v>
          </cell>
          <cell r="U52">
            <v>816.0794552593336</v>
          </cell>
          <cell r="V52">
            <v>840.62470552885009</v>
          </cell>
          <cell r="W52">
            <v>866.00227568766718</v>
          </cell>
          <cell r="X52">
            <v>893.45232148108016</v>
          </cell>
          <cell r="Z52" t="str">
            <v>Total Operating Expenses</v>
          </cell>
          <cell r="BJ52">
            <v>102</v>
          </cell>
          <cell r="BK52">
            <v>104</v>
          </cell>
          <cell r="BL52">
            <v>106</v>
          </cell>
          <cell r="BM52">
            <v>135</v>
          </cell>
          <cell r="BN52">
            <v>0</v>
          </cell>
          <cell r="BO52">
            <v>114</v>
          </cell>
          <cell r="BP52">
            <v>114</v>
          </cell>
          <cell r="BQ52">
            <v>118</v>
          </cell>
          <cell r="BR52">
            <v>151</v>
          </cell>
          <cell r="BS52">
            <v>0</v>
          </cell>
          <cell r="BT52">
            <v>129</v>
          </cell>
          <cell r="BU52">
            <v>130</v>
          </cell>
          <cell r="BV52">
            <v>129</v>
          </cell>
          <cell r="BW52">
            <v>182</v>
          </cell>
          <cell r="BX52">
            <v>0</v>
          </cell>
          <cell r="BY52">
            <v>131</v>
          </cell>
          <cell r="BZ52">
            <v>138</v>
          </cell>
          <cell r="CA52">
            <v>139</v>
          </cell>
          <cell r="CB52">
            <v>171</v>
          </cell>
          <cell r="CC52">
            <v>0</v>
          </cell>
          <cell r="CD52">
            <v>141</v>
          </cell>
          <cell r="CE52">
            <v>143</v>
          </cell>
          <cell r="CF52">
            <v>143</v>
          </cell>
          <cell r="CG52">
            <v>189</v>
          </cell>
          <cell r="CH52">
            <v>0</v>
          </cell>
          <cell r="CI52">
            <v>169</v>
          </cell>
          <cell r="CJ52">
            <v>170</v>
          </cell>
          <cell r="CK52">
            <v>157.5159402684564</v>
          </cell>
          <cell r="CL52">
            <v>194.92413848934208</v>
          </cell>
          <cell r="CM52">
            <v>0</v>
          </cell>
        </row>
        <row r="53">
          <cell r="BO53">
            <v>8.8854247856586133E-2</v>
          </cell>
          <cell r="BP53">
            <v>8.8440651667959655E-2</v>
          </cell>
          <cell r="BQ53">
            <v>9.1331269349845201E-2</v>
          </cell>
          <cell r="BR53">
            <v>8.2830499177180467E-2</v>
          </cell>
          <cell r="BT53">
            <v>8.8114754098360656E-2</v>
          </cell>
          <cell r="BU53">
            <v>8.7897227856659904E-2</v>
          </cell>
          <cell r="BV53">
            <v>8.7457627118644063E-2</v>
          </cell>
          <cell r="BW53">
            <v>8.7373979836773891E-2</v>
          </cell>
          <cell r="BY53">
            <v>8.42443729903537E-2</v>
          </cell>
          <cell r="BZ53">
            <v>8.4662576687116561E-2</v>
          </cell>
          <cell r="CA53">
            <v>8.4089534180278286E-2</v>
          </cell>
          <cell r="CB53">
            <v>7.6475849731663686E-2</v>
          </cell>
          <cell r="CD53">
            <v>8.3729216152019004E-2</v>
          </cell>
          <cell r="CE53">
            <v>8.4465445953927937E-2</v>
          </cell>
          <cell r="CF53">
            <v>8.481613285883749E-2</v>
          </cell>
          <cell r="CG53">
            <v>8.0976863753213363E-2</v>
          </cell>
          <cell r="CI53">
            <v>9.575070821529745E-2</v>
          </cell>
          <cell r="CJ53">
            <v>9.6536059057353782E-2</v>
          </cell>
          <cell r="CK53">
            <v>9.598777591008921E-2</v>
          </cell>
          <cell r="CL53">
            <v>8.8919482377566722E-2</v>
          </cell>
        </row>
        <row r="54">
          <cell r="A54" t="str">
            <v>SG&amp;A Expenses</v>
          </cell>
          <cell r="Z54" t="str">
            <v>SG&amp;A Expenses</v>
          </cell>
        </row>
        <row r="55">
          <cell r="A55" t="str">
            <v xml:space="preserve">  Domestic</v>
          </cell>
          <cell r="H55">
            <v>195.82492349999995</v>
          </cell>
          <cell r="I55">
            <v>191.49599999999998</v>
          </cell>
          <cell r="J55">
            <v>203.06699999999995</v>
          </cell>
          <cell r="K55">
            <v>200.27599999999998</v>
          </cell>
          <cell r="L55">
            <v>203.90409999999997</v>
          </cell>
          <cell r="M55">
            <v>203.10799999999998</v>
          </cell>
          <cell r="N55">
            <v>143.10799999999998</v>
          </cell>
          <cell r="O55">
            <v>145.97015999999996</v>
          </cell>
          <cell r="P55">
            <v>153.26866799999996</v>
          </cell>
          <cell r="Q55">
            <v>160.93210139999996</v>
          </cell>
          <cell r="R55">
            <v>168.97870646999996</v>
          </cell>
          <cell r="S55">
            <v>177.42764179349996</v>
          </cell>
          <cell r="T55">
            <v>186.29902388317495</v>
          </cell>
          <cell r="U55">
            <v>195.61397507733372</v>
          </cell>
          <cell r="V55">
            <v>205.39467383120041</v>
          </cell>
          <cell r="W55">
            <v>215.66440752276043</v>
          </cell>
          <cell r="X55">
            <v>226.44762789889845</v>
          </cell>
          <cell r="Z55" t="str">
            <v xml:space="preserve">  Domestic</v>
          </cell>
          <cell r="BJ55">
            <v>49.528000000000006</v>
          </cell>
          <cell r="BK55">
            <v>49.669999999999987</v>
          </cell>
          <cell r="BL55">
            <v>49.883999999999986</v>
          </cell>
          <cell r="BM55">
            <v>42.413999999999973</v>
          </cell>
          <cell r="BN55">
            <v>0</v>
          </cell>
          <cell r="BO55">
            <v>49.891999999999967</v>
          </cell>
          <cell r="BP55">
            <v>51.490000000000009</v>
          </cell>
          <cell r="BQ55">
            <v>49.096000000000004</v>
          </cell>
          <cell r="BR55">
            <v>52.58899999999997</v>
          </cell>
          <cell r="BS55">
            <v>0</v>
          </cell>
          <cell r="BT55">
            <v>48.05</v>
          </cell>
          <cell r="BU55">
            <v>50.826000000000022</v>
          </cell>
          <cell r="BV55">
            <v>49.686000000000021</v>
          </cell>
          <cell r="BW55">
            <v>51.713999999999942</v>
          </cell>
          <cell r="BX55">
            <v>0</v>
          </cell>
          <cell r="BY55">
            <v>47.64</v>
          </cell>
          <cell r="BZ55">
            <v>49.88000000000001</v>
          </cell>
          <cell r="CA55">
            <v>52.848100000000002</v>
          </cell>
          <cell r="CB55">
            <v>53.535999999999945</v>
          </cell>
          <cell r="CC55">
            <v>0</v>
          </cell>
          <cell r="CD55">
            <v>51.893999999999991</v>
          </cell>
          <cell r="CE55">
            <v>50.17600000000003</v>
          </cell>
          <cell r="CF55">
            <v>49.663399999999967</v>
          </cell>
          <cell r="CG55">
            <v>51.374599999999987</v>
          </cell>
          <cell r="CH55">
            <v>0</v>
          </cell>
          <cell r="CI55">
            <v>32.403999999999954</v>
          </cell>
          <cell r="CJ55">
            <v>35.822499999999962</v>
          </cell>
          <cell r="CK55">
            <v>42.421500000000037</v>
          </cell>
          <cell r="CL55">
            <v>32.460000000000022</v>
          </cell>
          <cell r="CM55">
            <v>0</v>
          </cell>
        </row>
        <row r="56">
          <cell r="A56" t="str">
            <v xml:space="preserve">  United Kingdom</v>
          </cell>
          <cell r="H56">
            <v>36.995395672601603</v>
          </cell>
          <cell r="I56">
            <v>48.378</v>
          </cell>
          <cell r="J56">
            <v>53.599999999999994</v>
          </cell>
          <cell r="K56">
            <v>60</v>
          </cell>
          <cell r="L56">
            <v>61.2</v>
          </cell>
          <cell r="M56">
            <v>62.424000000000007</v>
          </cell>
          <cell r="N56">
            <v>59.302800000000005</v>
          </cell>
          <cell r="O56">
            <v>56.33766</v>
          </cell>
          <cell r="P56">
            <v>57.464413200000003</v>
          </cell>
          <cell r="Q56">
            <v>58.613701464000002</v>
          </cell>
          <cell r="R56">
            <v>59.785975493280006</v>
          </cell>
          <cell r="S56">
            <v>60.98169500314561</v>
          </cell>
          <cell r="T56">
            <v>62.201328903208527</v>
          </cell>
          <cell r="U56">
            <v>63.445355481272699</v>
          </cell>
          <cell r="V56">
            <v>64.714262590898159</v>
          </cell>
          <cell r="W56">
            <v>66.008547842716126</v>
          </cell>
          <cell r="X56">
            <v>67.328718799570453</v>
          </cell>
          <cell r="Z56" t="str">
            <v xml:space="preserve">  United Kingdom</v>
          </cell>
          <cell r="BJ56">
            <v>11.802</v>
          </cell>
          <cell r="BK56">
            <v>10.426000000000002</v>
          </cell>
          <cell r="BL56">
            <v>11.39</v>
          </cell>
          <cell r="BM56">
            <v>14.76</v>
          </cell>
          <cell r="BN56">
            <v>0</v>
          </cell>
          <cell r="BO56">
            <v>15</v>
          </cell>
          <cell r="BP56">
            <v>14.599999999999996</v>
          </cell>
          <cell r="BQ56">
            <v>12</v>
          </cell>
          <cell r="BR56">
            <v>12</v>
          </cell>
          <cell r="BS56">
            <v>0</v>
          </cell>
          <cell r="BT56">
            <v>13</v>
          </cell>
          <cell r="BU56">
            <v>14</v>
          </cell>
          <cell r="BV56">
            <v>16</v>
          </cell>
          <cell r="BW56">
            <v>17</v>
          </cell>
          <cell r="BX56">
            <v>0</v>
          </cell>
          <cell r="BY56">
            <v>15</v>
          </cell>
          <cell r="BZ56">
            <v>16</v>
          </cell>
          <cell r="CA56">
            <v>16</v>
          </cell>
          <cell r="CB56">
            <v>14.200000000000003</v>
          </cell>
          <cell r="CC56">
            <v>0</v>
          </cell>
          <cell r="CD56">
            <v>15.3</v>
          </cell>
          <cell r="CE56">
            <v>16.32</v>
          </cell>
          <cell r="CF56">
            <v>16.32</v>
          </cell>
          <cell r="CG56">
            <v>14.484000000000005</v>
          </cell>
          <cell r="CH56">
            <v>0</v>
          </cell>
          <cell r="CI56">
            <v>15.606000000000002</v>
          </cell>
          <cell r="CJ56">
            <v>15.096000000000002</v>
          </cell>
          <cell r="CK56">
            <v>15.096000000000002</v>
          </cell>
          <cell r="CL56">
            <v>13.504799999999996</v>
          </cell>
          <cell r="CM56">
            <v>0</v>
          </cell>
        </row>
        <row r="57">
          <cell r="A57" t="str">
            <v xml:space="preserve">  Germany</v>
          </cell>
          <cell r="H57">
            <v>33.981000000000002</v>
          </cell>
          <cell r="I57">
            <v>48.388999999999996</v>
          </cell>
          <cell r="J57">
            <v>65.608000000000004</v>
          </cell>
          <cell r="K57">
            <v>90</v>
          </cell>
          <cell r="L57">
            <v>94.5</v>
          </cell>
          <cell r="M57">
            <v>94.5</v>
          </cell>
          <cell r="N57">
            <v>103.95</v>
          </cell>
          <cell r="O57">
            <v>96.153750000000002</v>
          </cell>
          <cell r="P57">
            <v>98.076824999999999</v>
          </cell>
          <cell r="Q57">
            <v>100.03836150000001</v>
          </cell>
          <cell r="R57">
            <v>102.03912873000002</v>
          </cell>
          <cell r="S57">
            <v>104.07991130460002</v>
          </cell>
          <cell r="T57">
            <v>106.16150953069202</v>
          </cell>
          <cell r="U57">
            <v>108.28473972130585</v>
          </cell>
          <cell r="V57">
            <v>110.45043451573197</v>
          </cell>
          <cell r="W57">
            <v>112.65944320604662</v>
          </cell>
          <cell r="X57">
            <v>114.91263207016755</v>
          </cell>
          <cell r="Z57" t="str">
            <v xml:space="preserve">  Germany</v>
          </cell>
          <cell r="BJ57">
            <v>12.524999999999999</v>
          </cell>
          <cell r="BK57">
            <v>14.399999999999999</v>
          </cell>
          <cell r="BL57">
            <v>11.639000000000001</v>
          </cell>
          <cell r="BM57">
            <v>9.8249999999999993</v>
          </cell>
          <cell r="BN57">
            <v>0</v>
          </cell>
          <cell r="BO57">
            <v>15</v>
          </cell>
          <cell r="BP57">
            <v>14.608000000000001</v>
          </cell>
          <cell r="BQ57">
            <v>17</v>
          </cell>
          <cell r="BR57">
            <v>19</v>
          </cell>
          <cell r="BS57">
            <v>0</v>
          </cell>
          <cell r="BT57">
            <v>21</v>
          </cell>
          <cell r="BU57">
            <v>22</v>
          </cell>
          <cell r="BV57">
            <v>23</v>
          </cell>
          <cell r="BW57">
            <v>24</v>
          </cell>
          <cell r="BX57">
            <v>0</v>
          </cell>
          <cell r="BY57">
            <v>22.05</v>
          </cell>
          <cell r="BZ57">
            <v>23.1</v>
          </cell>
          <cell r="CA57">
            <v>24.150000000000002</v>
          </cell>
          <cell r="CB57">
            <v>25.2</v>
          </cell>
          <cell r="CC57">
            <v>0</v>
          </cell>
          <cell r="CD57">
            <v>22.05</v>
          </cell>
          <cell r="CE57">
            <v>23.1</v>
          </cell>
          <cell r="CF57">
            <v>24.150000000000002</v>
          </cell>
          <cell r="CG57">
            <v>25.2</v>
          </cell>
          <cell r="CH57">
            <v>0</v>
          </cell>
          <cell r="CI57">
            <v>25.357499999999998</v>
          </cell>
          <cell r="CJ57">
            <v>25.410000000000004</v>
          </cell>
          <cell r="CK57">
            <v>27.772500000000001</v>
          </cell>
          <cell r="CL57">
            <v>25.409999999999997</v>
          </cell>
          <cell r="CM57">
            <v>0</v>
          </cell>
        </row>
        <row r="58">
          <cell r="A58" t="str">
            <v xml:space="preserve">  Italy</v>
          </cell>
          <cell r="K58">
            <v>0</v>
          </cell>
          <cell r="L58">
            <v>0</v>
          </cell>
          <cell r="M58">
            <v>0</v>
          </cell>
          <cell r="N58">
            <v>0</v>
          </cell>
          <cell r="O58">
            <v>0</v>
          </cell>
          <cell r="P58">
            <v>11.25</v>
          </cell>
          <cell r="Q58">
            <v>40</v>
          </cell>
          <cell r="R58">
            <v>40.799999999999997</v>
          </cell>
          <cell r="S58">
            <v>41.616</v>
          </cell>
          <cell r="T58">
            <v>42.448320000000002</v>
          </cell>
          <cell r="U58">
            <v>43.297286400000004</v>
          </cell>
          <cell r="V58">
            <v>44.163232128000004</v>
          </cell>
          <cell r="W58">
            <v>45.046496770560005</v>
          </cell>
          <cell r="X58">
            <v>45.947426705971203</v>
          </cell>
          <cell r="Z58" t="str">
            <v xml:space="preserve">  Italy</v>
          </cell>
          <cell r="CD58">
            <v>0</v>
          </cell>
          <cell r="CE58">
            <v>0</v>
          </cell>
          <cell r="CF58">
            <v>0</v>
          </cell>
          <cell r="CG58">
            <v>0</v>
          </cell>
          <cell r="CI58">
            <v>0</v>
          </cell>
          <cell r="CJ58">
            <v>0</v>
          </cell>
          <cell r="CK58">
            <v>0</v>
          </cell>
          <cell r="CL58">
            <v>0</v>
          </cell>
          <cell r="CM58">
            <v>0</v>
          </cell>
        </row>
        <row r="59">
          <cell r="A59" t="str">
            <v xml:space="preserve">  Japan</v>
          </cell>
          <cell r="H59">
            <v>37.198680827398448</v>
          </cell>
          <cell r="I59">
            <v>33.737000000000023</v>
          </cell>
          <cell r="J59">
            <v>43.72500000000008</v>
          </cell>
          <cell r="K59">
            <v>46.724000000000046</v>
          </cell>
          <cell r="L59">
            <v>68.395900000000026</v>
          </cell>
          <cell r="M59">
            <v>81.968000000000018</v>
          </cell>
          <cell r="N59">
            <v>86.066400000000016</v>
          </cell>
          <cell r="O59">
            <v>92.521380000000008</v>
          </cell>
          <cell r="P59">
            <v>94.371807600000011</v>
          </cell>
          <cell r="Q59">
            <v>96.259243752000017</v>
          </cell>
          <cell r="R59">
            <v>98.18442862704002</v>
          </cell>
          <cell r="S59">
            <v>100.14811719958082</v>
          </cell>
          <cell r="T59">
            <v>102.15107954357244</v>
          </cell>
          <cell r="U59">
            <v>104.19410113444388</v>
          </cell>
          <cell r="V59">
            <v>106.27798315713277</v>
          </cell>
          <cell r="W59">
            <v>108.40354282027542</v>
          </cell>
          <cell r="X59">
            <v>110.57161367668093</v>
          </cell>
          <cell r="Z59" t="str">
            <v xml:space="preserve">  Japan</v>
          </cell>
          <cell r="BJ59">
            <v>2.144999999999996</v>
          </cell>
          <cell r="BK59">
            <v>6.5040000000000191</v>
          </cell>
          <cell r="BL59">
            <v>11.087000000000018</v>
          </cell>
          <cell r="BM59">
            <v>15.001000000000033</v>
          </cell>
          <cell r="BN59">
            <v>-1.0000000000000426</v>
          </cell>
          <cell r="BO59">
            <v>8.1080000000000325</v>
          </cell>
          <cell r="BP59">
            <v>12.301999999999992</v>
          </cell>
          <cell r="BQ59">
            <v>10.903999999999996</v>
          </cell>
          <cell r="BR59">
            <v>12.41100000000003</v>
          </cell>
          <cell r="BS59">
            <v>0</v>
          </cell>
          <cell r="BT59">
            <v>15.950000000000003</v>
          </cell>
          <cell r="BU59">
            <v>16.173999999999978</v>
          </cell>
          <cell r="BV59">
            <v>9.3139999999999787</v>
          </cell>
          <cell r="BW59">
            <v>5.2860000000000582</v>
          </cell>
          <cell r="BX59">
            <v>0</v>
          </cell>
          <cell r="BY59">
            <v>13.310000000000002</v>
          </cell>
          <cell r="BZ59">
            <v>18.019999999999982</v>
          </cell>
          <cell r="CA59">
            <v>15.001899999999992</v>
          </cell>
          <cell r="CB59">
            <v>22.06400000000005</v>
          </cell>
          <cell r="CC59">
            <v>0</v>
          </cell>
          <cell r="CD59">
            <v>14.756000000000014</v>
          </cell>
          <cell r="CE59">
            <v>19.403999999999968</v>
          </cell>
          <cell r="CF59">
            <v>20.866600000000034</v>
          </cell>
          <cell r="CG59">
            <v>26.941400000000002</v>
          </cell>
          <cell r="CH59">
            <v>0</v>
          </cell>
          <cell r="CI59">
            <v>15.63250000000005</v>
          </cell>
          <cell r="CJ59">
            <v>19.671500000000037</v>
          </cell>
          <cell r="CK59">
            <v>33.00305973154363</v>
          </cell>
          <cell r="CL59">
            <v>17.759340268456299</v>
          </cell>
          <cell r="CM59">
            <v>0</v>
          </cell>
        </row>
        <row r="60">
          <cell r="A60" t="str">
            <v>Total SG&amp;A Expenses</v>
          </cell>
          <cell r="H60">
            <v>304</v>
          </cell>
          <cell r="I60">
            <v>322</v>
          </cell>
          <cell r="J60">
            <v>366</v>
          </cell>
          <cell r="K60">
            <v>397</v>
          </cell>
          <cell r="L60">
            <v>428</v>
          </cell>
          <cell r="M60">
            <v>442</v>
          </cell>
          <cell r="N60">
            <v>392.42719999999997</v>
          </cell>
          <cell r="O60">
            <v>390.98294999999996</v>
          </cell>
          <cell r="P60">
            <v>414.43171379999995</v>
          </cell>
          <cell r="Q60">
            <v>455.84340811600003</v>
          </cell>
          <cell r="R60">
            <v>469.78823932031997</v>
          </cell>
          <cell r="S60">
            <v>484.25336530082643</v>
          </cell>
          <cell r="T60">
            <v>499.26126186064795</v>
          </cell>
          <cell r="U60">
            <v>514.83545781435623</v>
          </cell>
          <cell r="V60">
            <v>531.00058622296331</v>
          </cell>
          <cell r="W60">
            <v>547.78243816235863</v>
          </cell>
          <cell r="X60">
            <v>565.20801915128857</v>
          </cell>
          <cell r="Z60" t="str">
            <v>Total SG&amp;A Expenses</v>
          </cell>
          <cell r="BJ60">
            <v>76</v>
          </cell>
          <cell r="BK60">
            <v>81</v>
          </cell>
          <cell r="BL60">
            <v>84</v>
          </cell>
          <cell r="BM60">
            <v>82</v>
          </cell>
          <cell r="BN60">
            <v>-1</v>
          </cell>
          <cell r="BO60">
            <v>88</v>
          </cell>
          <cell r="BP60">
            <v>93</v>
          </cell>
          <cell r="BQ60">
            <v>89</v>
          </cell>
          <cell r="BR60">
            <v>96</v>
          </cell>
          <cell r="BS60">
            <v>0</v>
          </cell>
          <cell r="BT60">
            <v>98</v>
          </cell>
          <cell r="BU60">
            <v>103</v>
          </cell>
          <cell r="BV60">
            <v>98</v>
          </cell>
          <cell r="BW60">
            <v>98</v>
          </cell>
          <cell r="BX60">
            <v>0</v>
          </cell>
          <cell r="BY60">
            <v>98</v>
          </cell>
          <cell r="BZ60">
            <v>107</v>
          </cell>
          <cell r="CA60">
            <v>108</v>
          </cell>
          <cell r="CB60">
            <v>115</v>
          </cell>
          <cell r="CC60">
            <v>0</v>
          </cell>
          <cell r="CD60">
            <v>104</v>
          </cell>
          <cell r="CE60">
            <v>109</v>
          </cell>
          <cell r="CF60">
            <v>111</v>
          </cell>
          <cell r="CG60">
            <v>118</v>
          </cell>
          <cell r="CH60">
            <v>0</v>
          </cell>
          <cell r="CI60">
            <v>89</v>
          </cell>
          <cell r="CJ60">
            <v>96</v>
          </cell>
          <cell r="CK60">
            <v>118.29305973154368</v>
          </cell>
          <cell r="CL60">
            <v>89.134140268456321</v>
          </cell>
          <cell r="CM60">
            <v>0</v>
          </cell>
        </row>
        <row r="62">
          <cell r="A62" t="str">
            <v>Total Operating and SG&amp;A Expenses</v>
          </cell>
          <cell r="Z62" t="str">
            <v>Total Operating and SG&amp;A Expenses</v>
          </cell>
        </row>
        <row r="63">
          <cell r="A63" t="str">
            <v xml:space="preserve">  Domestic</v>
          </cell>
          <cell r="H63">
            <v>514.87679999999989</v>
          </cell>
          <cell r="I63">
            <v>518.32100000000003</v>
          </cell>
          <cell r="J63">
            <v>554.32399999999996</v>
          </cell>
          <cell r="K63">
            <v>622.51599999999996</v>
          </cell>
          <cell r="L63">
            <v>624.47799999999995</v>
          </cell>
          <cell r="M63">
            <v>656.20399999999995</v>
          </cell>
          <cell r="N63">
            <v>623.91812564752354</v>
          </cell>
          <cell r="O63">
            <v>605.17524154633588</v>
          </cell>
          <cell r="P63">
            <v>617.58010577030223</v>
          </cell>
          <cell r="Q63">
            <v>642.32508589301301</v>
          </cell>
          <cell r="R63">
            <v>668.74762519131832</v>
          </cell>
          <cell r="S63">
            <v>696.45619710365872</v>
          </cell>
          <cell r="T63">
            <v>724.84812137423626</v>
          </cell>
          <cell r="U63">
            <v>753.64028113265272</v>
          </cell>
          <cell r="V63">
            <v>783.25698208274355</v>
          </cell>
          <cell r="W63">
            <v>813.50023958493352</v>
          </cell>
          <cell r="X63">
            <v>845.45775093466182</v>
          </cell>
          <cell r="Z63" t="str">
            <v xml:space="preserve">  Domestic</v>
          </cell>
          <cell r="BJ63">
            <v>121.608</v>
          </cell>
          <cell r="BK63">
            <v>122.94</v>
          </cell>
          <cell r="BL63">
            <v>126.46899999999999</v>
          </cell>
          <cell r="BM63">
            <v>147.30399999999997</v>
          </cell>
          <cell r="BN63">
            <v>0</v>
          </cell>
          <cell r="BO63">
            <v>129.11199999999997</v>
          </cell>
          <cell r="BP63">
            <v>130.54000000000002</v>
          </cell>
          <cell r="BQ63">
            <v>132.976</v>
          </cell>
          <cell r="BR63">
            <v>161.69599999999997</v>
          </cell>
          <cell r="BS63">
            <v>0</v>
          </cell>
          <cell r="BT63">
            <v>141.32499999999999</v>
          </cell>
          <cell r="BU63">
            <v>144.92000000000002</v>
          </cell>
          <cell r="BV63">
            <v>144.23500000000001</v>
          </cell>
          <cell r="BW63">
            <v>192.03599999999994</v>
          </cell>
          <cell r="BX63">
            <v>0</v>
          </cell>
          <cell r="BY63">
            <v>142.29599999999999</v>
          </cell>
          <cell r="BZ63">
            <v>149.06</v>
          </cell>
          <cell r="CA63">
            <v>152.87</v>
          </cell>
          <cell r="CB63">
            <v>180.25199999999995</v>
          </cell>
          <cell r="CC63">
            <v>0</v>
          </cell>
          <cell r="CD63">
            <v>154.03199999999998</v>
          </cell>
          <cell r="CE63">
            <v>153.18400000000003</v>
          </cell>
          <cell r="CF63">
            <v>151.68399999999997</v>
          </cell>
          <cell r="CG63">
            <v>197.30399999999997</v>
          </cell>
          <cell r="CH63">
            <v>0</v>
          </cell>
          <cell r="CI63">
            <v>147.06399999999996</v>
          </cell>
          <cell r="CJ63">
            <v>150.96999999999997</v>
          </cell>
          <cell r="CK63">
            <v>147.03900000000004</v>
          </cell>
          <cell r="CL63">
            <v>178.8451256475235</v>
          </cell>
          <cell r="CM63">
            <v>0</v>
          </cell>
        </row>
        <row r="64">
          <cell r="A64" t="str">
            <v xml:space="preserve">  United Kingdom</v>
          </cell>
          <cell r="H64">
            <v>77.595199999999977</v>
          </cell>
          <cell r="I64">
            <v>92.733000000000004</v>
          </cell>
          <cell r="J64">
            <v>96.35199999999999</v>
          </cell>
          <cell r="K64">
            <v>103.76600000000001</v>
          </cell>
          <cell r="L64">
            <v>105.57</v>
          </cell>
          <cell r="M64">
            <v>115.44900000000001</v>
          </cell>
          <cell r="N64">
            <v>118.55886472783993</v>
          </cell>
          <cell r="O64">
            <v>104.81501901130369</v>
          </cell>
          <cell r="P64">
            <v>105.57525460095</v>
          </cell>
          <cell r="Q64">
            <v>106.10275741358723</v>
          </cell>
          <cell r="R64">
            <v>107.02744155386503</v>
          </cell>
          <cell r="S64">
            <v>109.40698877027714</v>
          </cell>
          <cell r="T64">
            <v>111.20772619554563</v>
          </cell>
          <cell r="U64">
            <v>113.03982954111785</v>
          </cell>
          <cell r="V64">
            <v>114.90387033946146</v>
          </cell>
          <cell r="W64">
            <v>116.8004308842622</v>
          </cell>
          <cell r="X64">
            <v>118.73010443761507</v>
          </cell>
          <cell r="Z64" t="str">
            <v xml:space="preserve">  United Kingdom</v>
          </cell>
          <cell r="BJ64">
            <v>22.071999999999999</v>
          </cell>
          <cell r="BK64">
            <v>21.631</v>
          </cell>
          <cell r="BL64">
            <v>20.740000000000002</v>
          </cell>
          <cell r="BM64">
            <v>28.29</v>
          </cell>
          <cell r="BN64">
            <v>0</v>
          </cell>
          <cell r="BO64">
            <v>25.08</v>
          </cell>
          <cell r="BP64">
            <v>24.409999999999997</v>
          </cell>
          <cell r="BQ64">
            <v>22.08</v>
          </cell>
          <cell r="BR64">
            <v>24.782</v>
          </cell>
          <cell r="BS64">
            <v>0</v>
          </cell>
          <cell r="BT64">
            <v>23.27</v>
          </cell>
          <cell r="BU64">
            <v>24.191000000000003</v>
          </cell>
          <cell r="BV64">
            <v>26.191000000000003</v>
          </cell>
          <cell r="BW64">
            <v>30.114000000000001</v>
          </cell>
          <cell r="BX64">
            <v>0</v>
          </cell>
          <cell r="BY64">
            <v>25.585999999999999</v>
          </cell>
          <cell r="BZ64">
            <v>26.823</v>
          </cell>
          <cell r="CA64">
            <v>27.375999999999998</v>
          </cell>
          <cell r="CB64">
            <v>25.785000000000004</v>
          </cell>
          <cell r="CC64">
            <v>0</v>
          </cell>
          <cell r="CD64">
            <v>26.700000000000003</v>
          </cell>
          <cell r="CE64">
            <v>28.32</v>
          </cell>
          <cell r="CF64">
            <v>28.994999999999997</v>
          </cell>
          <cell r="CG64">
            <v>31.434000000000008</v>
          </cell>
          <cell r="CH64">
            <v>0</v>
          </cell>
          <cell r="CI64">
            <v>30.226000000000003</v>
          </cell>
          <cell r="CJ64">
            <v>28.951000000000001</v>
          </cell>
          <cell r="CK64">
            <v>28.696000000000005</v>
          </cell>
          <cell r="CL64">
            <v>30.68586472783992</v>
          </cell>
          <cell r="CM64">
            <v>0</v>
          </cell>
        </row>
        <row r="65">
          <cell r="A65" t="str">
            <v xml:space="preserve">  Germany</v>
          </cell>
          <cell r="H65">
            <v>78.771000000000001</v>
          </cell>
          <cell r="I65">
            <v>96.858999999999995</v>
          </cell>
          <cell r="J65">
            <v>132.518</v>
          </cell>
          <cell r="K65">
            <v>151.69900000000001</v>
          </cell>
          <cell r="L65">
            <v>155.97999999999999</v>
          </cell>
          <cell r="M65">
            <v>164.97</v>
          </cell>
          <cell r="N65">
            <v>188.41789750232252</v>
          </cell>
          <cell r="O65">
            <v>167.0825295276868</v>
          </cell>
          <cell r="P65">
            <v>167.91406582477569</v>
          </cell>
          <cell r="Q65">
            <v>168.7353584853835</v>
          </cell>
          <cell r="R65">
            <v>171.76658067016427</v>
          </cell>
          <cell r="S65">
            <v>174.85327502386673</v>
          </cell>
          <cell r="T65">
            <v>177.99647370574772</v>
          </cell>
          <cell r="U65">
            <v>181.19722835898739</v>
          </cell>
          <cell r="V65">
            <v>184.4566104829787</v>
          </cell>
          <cell r="W65">
            <v>187.77571181280206</v>
          </cell>
          <cell r="X65">
            <v>191.1556447060243</v>
          </cell>
          <cell r="Z65" t="str">
            <v xml:space="preserve">  Germany</v>
          </cell>
          <cell r="BJ65">
            <v>24.875</v>
          </cell>
          <cell r="BK65">
            <v>27.4</v>
          </cell>
          <cell r="BL65">
            <v>22.969000000000001</v>
          </cell>
          <cell r="BM65">
            <v>21.614999999999998</v>
          </cell>
          <cell r="BN65">
            <v>0</v>
          </cell>
          <cell r="BO65">
            <v>32.049999999999997</v>
          </cell>
          <cell r="BP65">
            <v>31.327999999999999</v>
          </cell>
          <cell r="BQ65">
            <v>32.950000000000003</v>
          </cell>
          <cell r="BR65">
            <v>36.19</v>
          </cell>
          <cell r="BS65">
            <v>0</v>
          </cell>
          <cell r="BT65">
            <v>36.326000000000001</v>
          </cell>
          <cell r="BU65">
            <v>36.615000000000002</v>
          </cell>
          <cell r="BV65">
            <v>37.061999999999998</v>
          </cell>
          <cell r="BW65">
            <v>41.695999999999998</v>
          </cell>
          <cell r="BX65">
            <v>0</v>
          </cell>
          <cell r="BY65">
            <v>37.454999999999998</v>
          </cell>
          <cell r="BZ65">
            <v>38.11</v>
          </cell>
          <cell r="CA65">
            <v>40.108000000000004</v>
          </cell>
          <cell r="CB65">
            <v>40.306999999999995</v>
          </cell>
          <cell r="CC65">
            <v>0</v>
          </cell>
          <cell r="CD65">
            <v>40.325000000000003</v>
          </cell>
          <cell r="CE65">
            <v>38.94</v>
          </cell>
          <cell r="CF65">
            <v>39.67</v>
          </cell>
          <cell r="CG65">
            <v>46.034999999999989</v>
          </cell>
          <cell r="CH65">
            <v>0</v>
          </cell>
          <cell r="CI65">
            <v>49.012500000000003</v>
          </cell>
          <cell r="CJ65">
            <v>44.45</v>
          </cell>
          <cell r="CK65">
            <v>47.237499999999997</v>
          </cell>
          <cell r="CL65">
            <v>47.717897502322501</v>
          </cell>
          <cell r="CM65">
            <v>0</v>
          </cell>
        </row>
        <row r="66">
          <cell r="A66" t="str">
            <v xml:space="preserve">  Italy</v>
          </cell>
          <cell r="K66">
            <v>0</v>
          </cell>
          <cell r="L66">
            <v>0</v>
          </cell>
          <cell r="M66">
            <v>0</v>
          </cell>
          <cell r="N66">
            <v>0</v>
          </cell>
          <cell r="O66">
            <v>0</v>
          </cell>
          <cell r="P66">
            <v>16.612500000000001</v>
          </cell>
          <cell r="Q66">
            <v>61.231209999999997</v>
          </cell>
          <cell r="R66">
            <v>62.919887789999997</v>
          </cell>
          <cell r="S66">
            <v>64.004729503139998</v>
          </cell>
          <cell r="T66">
            <v>64.559289327741681</v>
          </cell>
          <cell r="U66">
            <v>64.665151275618996</v>
          </cell>
          <cell r="V66">
            <v>64.399585090232804</v>
          </cell>
          <cell r="W66">
            <v>65.125680724786136</v>
          </cell>
          <cell r="X66">
            <v>67.042617368281171</v>
          </cell>
          <cell r="Z66" t="str">
            <v xml:space="preserve">  Italy</v>
          </cell>
          <cell r="CD66">
            <v>0</v>
          </cell>
          <cell r="CE66">
            <v>0</v>
          </cell>
          <cell r="CF66">
            <v>0</v>
          </cell>
          <cell r="CG66">
            <v>0</v>
          </cell>
          <cell r="CI66">
            <v>0</v>
          </cell>
          <cell r="CJ66">
            <v>0</v>
          </cell>
          <cell r="CK66">
            <v>0</v>
          </cell>
          <cell r="CL66">
            <v>0</v>
          </cell>
          <cell r="CM66">
            <v>0</v>
          </cell>
        </row>
        <row r="67">
          <cell r="A67" t="str">
            <v xml:space="preserve">  Japan</v>
          </cell>
          <cell r="H67">
            <v>45.757000000000119</v>
          </cell>
          <cell r="I67">
            <v>61.086999999999932</v>
          </cell>
          <cell r="J67">
            <v>79.806000000000097</v>
          </cell>
          <cell r="K67">
            <v>89.019000000000119</v>
          </cell>
          <cell r="L67">
            <v>120.97200000000002</v>
          </cell>
          <cell r="M67">
            <v>121.37700000000009</v>
          </cell>
          <cell r="N67">
            <v>152.97239088011258</v>
          </cell>
          <cell r="O67">
            <v>169.1573744574832</v>
          </cell>
          <cell r="P67">
            <v>180.11063478612164</v>
          </cell>
          <cell r="Q67">
            <v>191.02482766606681</v>
          </cell>
          <cell r="R67">
            <v>198.29749906197196</v>
          </cell>
          <cell r="S67">
            <v>205.19779765940768</v>
          </cell>
          <cell r="T67">
            <v>211.89571778931338</v>
          </cell>
          <cell r="U67">
            <v>218.37242276531276</v>
          </cell>
          <cell r="V67">
            <v>224.60824375639686</v>
          </cell>
          <cell r="W67">
            <v>230.58265084324188</v>
          </cell>
          <cell r="X67">
            <v>236.2742231857863</v>
          </cell>
          <cell r="Z67" t="str">
            <v xml:space="preserve">  Japan</v>
          </cell>
          <cell r="BJ67">
            <v>9.4450000000000074</v>
          </cell>
          <cell r="BK67">
            <v>13.029000000000011</v>
          </cell>
          <cell r="BL67">
            <v>19.822000000000017</v>
          </cell>
          <cell r="BM67">
            <v>19.791000000000025</v>
          </cell>
          <cell r="BN67">
            <v>-1.0000000000001279</v>
          </cell>
          <cell r="BO67">
            <v>15.758000000000038</v>
          </cell>
          <cell r="BP67">
            <v>20.72199999999998</v>
          </cell>
          <cell r="BQ67">
            <v>18.994</v>
          </cell>
          <cell r="BR67">
            <v>24.332000000000022</v>
          </cell>
          <cell r="BS67">
            <v>0</v>
          </cell>
          <cell r="BT67">
            <v>26.079000000000022</v>
          </cell>
          <cell r="BU67">
            <v>27.273999999999987</v>
          </cell>
          <cell r="BV67">
            <v>19.511999999999986</v>
          </cell>
          <cell r="BW67">
            <v>16.154000000000053</v>
          </cell>
          <cell r="BX67">
            <v>0</v>
          </cell>
          <cell r="BY67">
            <v>23.663000000000011</v>
          </cell>
          <cell r="BZ67">
            <v>31.006999999999991</v>
          </cell>
          <cell r="CA67">
            <v>26.645999999999987</v>
          </cell>
          <cell r="CB67">
            <v>39.656000000000034</v>
          </cell>
          <cell r="CC67">
            <v>0</v>
          </cell>
          <cell r="CD67">
            <v>23.943000000000026</v>
          </cell>
          <cell r="CE67">
            <v>31.555999999999983</v>
          </cell>
          <cell r="CF67">
            <v>33.651000000000039</v>
          </cell>
          <cell r="CG67">
            <v>32.227000000000046</v>
          </cell>
          <cell r="CH67">
            <v>0</v>
          </cell>
          <cell r="CI67">
            <v>31.697500000000048</v>
          </cell>
          <cell r="CJ67">
            <v>41.629000000000048</v>
          </cell>
          <cell r="CK67">
            <v>52.836500000000015</v>
          </cell>
          <cell r="CL67">
            <v>26.809390880112488</v>
          </cell>
          <cell r="CM67">
            <v>0</v>
          </cell>
        </row>
        <row r="68">
          <cell r="A68" t="str">
            <v>Total Operating and SG&amp;A Expenses</v>
          </cell>
          <cell r="H68">
            <v>717</v>
          </cell>
          <cell r="I68">
            <v>769</v>
          </cell>
          <cell r="J68">
            <v>863</v>
          </cell>
          <cell r="K68">
            <v>967.00000000000011</v>
          </cell>
          <cell r="L68">
            <v>1007</v>
          </cell>
          <cell r="M68">
            <v>1058.0000000000002</v>
          </cell>
          <cell r="N68">
            <v>1083.8672787577984</v>
          </cell>
          <cell r="O68">
            <v>1046.2301645428095</v>
          </cell>
          <cell r="P68">
            <v>1087.7925609821496</v>
          </cell>
          <cell r="Q68">
            <v>1169.4192394580505</v>
          </cell>
          <cell r="R68">
            <v>1208.7590342673195</v>
          </cell>
          <cell r="S68">
            <v>1249.9189880603503</v>
          </cell>
          <cell r="T68">
            <v>1290.5073283925849</v>
          </cell>
          <cell r="U68">
            <v>1330.9149130736896</v>
          </cell>
          <cell r="V68">
            <v>1371.6252917518136</v>
          </cell>
          <cell r="W68">
            <v>1413.7847138500258</v>
          </cell>
          <cell r="X68">
            <v>1458.6603406323684</v>
          </cell>
          <cell r="Z68" t="str">
            <v>Total Operating and SG&amp;A Expenses</v>
          </cell>
          <cell r="BJ68">
            <v>178</v>
          </cell>
          <cell r="BK68">
            <v>185</v>
          </cell>
          <cell r="BL68">
            <v>190</v>
          </cell>
          <cell r="BM68">
            <v>217</v>
          </cell>
          <cell r="BN68">
            <v>-1</v>
          </cell>
          <cell r="BO68">
            <v>202</v>
          </cell>
          <cell r="BP68">
            <v>207</v>
          </cell>
          <cell r="BQ68">
            <v>207</v>
          </cell>
          <cell r="BR68">
            <v>247</v>
          </cell>
          <cell r="BS68">
            <v>0</v>
          </cell>
          <cell r="BT68">
            <v>227</v>
          </cell>
          <cell r="BU68">
            <v>233</v>
          </cell>
          <cell r="BV68">
            <v>227</v>
          </cell>
          <cell r="BW68">
            <v>280</v>
          </cell>
          <cell r="BX68">
            <v>0</v>
          </cell>
          <cell r="BY68">
            <v>229</v>
          </cell>
          <cell r="BZ68">
            <v>245</v>
          </cell>
          <cell r="CA68">
            <v>247</v>
          </cell>
          <cell r="CB68">
            <v>286</v>
          </cell>
          <cell r="CC68">
            <v>0</v>
          </cell>
          <cell r="CD68">
            <v>245</v>
          </cell>
          <cell r="CE68">
            <v>252</v>
          </cell>
          <cell r="CF68">
            <v>254</v>
          </cell>
          <cell r="CG68">
            <v>307</v>
          </cell>
          <cell r="CH68">
            <v>0</v>
          </cell>
          <cell r="CI68">
            <v>258</v>
          </cell>
          <cell r="CJ68">
            <v>266</v>
          </cell>
          <cell r="CK68">
            <v>275.80900000000008</v>
          </cell>
          <cell r="CL68">
            <v>284.05827875779835</v>
          </cell>
          <cell r="CM68">
            <v>0</v>
          </cell>
        </row>
        <row r="70">
          <cell r="A70" t="str">
            <v>Operating and SG&amp;A Expenses, % Change</v>
          </cell>
          <cell r="Z70" t="str">
            <v>Operating and SG&amp;A Expenses, % Change</v>
          </cell>
        </row>
        <row r="71">
          <cell r="A71" t="str">
            <v xml:space="preserve">  Domestic</v>
          </cell>
          <cell r="I71">
            <v>6.6893672428047779E-3</v>
          </cell>
          <cell r="J71">
            <v>6.9460816752552779E-2</v>
          </cell>
          <cell r="K71">
            <v>0.12301830698291982</v>
          </cell>
          <cell r="L71">
            <v>3.1517262206914864E-3</v>
          </cell>
          <cell r="M71">
            <v>5.0804031527131421E-2</v>
          </cell>
          <cell r="N71">
            <v>-4.9200971576638386E-2</v>
          </cell>
          <cell r="O71">
            <v>-3.0040614835056489E-2</v>
          </cell>
          <cell r="P71">
            <v>2.0497970459382397E-2</v>
          </cell>
          <cell r="Q71">
            <v>4.006764449098732E-2</v>
          </cell>
          <cell r="R71">
            <v>4.1135773580398993E-2</v>
          </cell>
          <cell r="S71">
            <v>4.143352569575609E-2</v>
          </cell>
          <cell r="T71">
            <v>4.076627415859102E-2</v>
          </cell>
          <cell r="U71">
            <v>3.9721645003134576E-2</v>
          </cell>
          <cell r="V71">
            <v>3.9298192641162411E-2</v>
          </cell>
          <cell r="W71">
            <v>3.8612177349215182E-2</v>
          </cell>
          <cell r="X71">
            <v>3.928396058744088E-2</v>
          </cell>
          <cell r="Z71" t="str">
            <v xml:space="preserve">  Domestic</v>
          </cell>
          <cell r="BO71">
            <v>6.1706466679823491E-2</v>
          </cell>
          <cell r="BP71">
            <v>6.1818773385391435E-2</v>
          </cell>
          <cell r="BQ71">
            <v>5.1451343807573435E-2</v>
          </cell>
          <cell r="BR71">
            <v>9.7702710041818186E-2</v>
          </cell>
          <cell r="BT71">
            <v>9.4592291963566666E-2</v>
          </cell>
          <cell r="BU71">
            <v>0.11015780603646386</v>
          </cell>
          <cell r="BV71">
            <v>8.4669414029599377E-2</v>
          </cell>
          <cell r="BW71">
            <v>0.18763605778745296</v>
          </cell>
          <cell r="BY71">
            <v>6.8706881301963119E-3</v>
          </cell>
          <cell r="BZ71">
            <v>2.8567485509246371E-2</v>
          </cell>
          <cell r="CA71">
            <v>5.9867577217734835E-2</v>
          </cell>
          <cell r="CB71">
            <v>-6.1363494344810365E-2</v>
          </cell>
          <cell r="CD71">
            <v>8.2475965592848643E-2</v>
          </cell>
          <cell r="CE71">
            <v>2.7666711391386212E-2</v>
          </cell>
          <cell r="CF71">
            <v>-7.7582259436124179E-3</v>
          </cell>
          <cell r="CG71">
            <v>9.4600892084415245E-2</v>
          </cell>
          <cell r="CI71">
            <v>-4.523735327724121E-2</v>
          </cell>
          <cell r="CJ71">
            <v>-1.4453206601211965E-2</v>
          </cell>
          <cell r="CK71">
            <v>-3.0622873869359468E-2</v>
          </cell>
          <cell r="CL71">
            <v>-9.35554999010485E-2</v>
          </cell>
        </row>
        <row r="72">
          <cell r="A72" t="str">
            <v xml:space="preserve">  United Kingdom</v>
          </cell>
          <cell r="I72">
            <v>0.19508680949337109</v>
          </cell>
          <cell r="J72">
            <v>3.9026020941843598E-2</v>
          </cell>
          <cell r="K72">
            <v>7.6947027565593018E-2</v>
          </cell>
          <cell r="L72">
            <v>1.738527070524043E-2</v>
          </cell>
          <cell r="M72">
            <v>9.3577720943450071E-2</v>
          </cell>
          <cell r="N72">
            <v>2.6937130056041259E-2</v>
          </cell>
          <cell r="O72">
            <v>-0.11592423517285011</v>
          </cell>
          <cell r="P72">
            <v>7.2531169370328996E-3</v>
          </cell>
          <cell r="Q72">
            <v>4.996462614568653E-3</v>
          </cell>
          <cell r="R72">
            <v>8.7149868940106234E-3</v>
          </cell>
          <cell r="S72">
            <v>2.2233057072699625E-2</v>
          </cell>
          <cell r="T72">
            <v>1.6459071266914371E-2</v>
          </cell>
          <cell r="U72">
            <v>1.6474604852100727E-2</v>
          </cell>
          <cell r="V72">
            <v>1.6490123931632183E-2</v>
          </cell>
          <cell r="W72">
            <v>1.6505628045406118E-2</v>
          </cell>
          <cell r="X72">
            <v>1.6521116735134234E-2</v>
          </cell>
          <cell r="Z72" t="str">
            <v xml:space="preserve">  United Kingdom</v>
          </cell>
          <cell r="BO72">
            <v>0.13628126132656759</v>
          </cell>
          <cell r="BP72">
            <v>0.12847302482548173</v>
          </cell>
          <cell r="BQ72">
            <v>6.4609450337511865E-2</v>
          </cell>
          <cell r="BR72">
            <v>-0.12400141392718267</v>
          </cell>
          <cell r="BT72">
            <v>-7.2169059011164216E-2</v>
          </cell>
          <cell r="BU72">
            <v>-8.971732896353668E-3</v>
          </cell>
          <cell r="BV72">
            <v>0.18618659420289885</v>
          </cell>
          <cell r="BW72">
            <v>0.21515616173028818</v>
          </cell>
          <cell r="BY72">
            <v>9.9527288354103849E-2</v>
          </cell>
          <cell r="BZ72">
            <v>0.10880079368360129</v>
          </cell>
          <cell r="CA72">
            <v>4.5244549654461341E-2</v>
          </cell>
          <cell r="CB72">
            <v>-0.1437537358039449</v>
          </cell>
          <cell r="CD72">
            <v>4.3539435628859646E-2</v>
          </cell>
          <cell r="CE72">
            <v>5.5810312045632582E-2</v>
          </cell>
          <cell r="CF72">
            <v>5.9139392168322535E-2</v>
          </cell>
          <cell r="CG72">
            <v>0.2190808609656778</v>
          </cell>
          <cell r="CI72">
            <v>0.13205992509363296</v>
          </cell>
          <cell r="CJ72">
            <v>2.2281073446327682E-2</v>
          </cell>
          <cell r="CK72">
            <v>-1.0312122779789323E-2</v>
          </cell>
          <cell r="CL72">
            <v>-2.3800193171727657E-2</v>
          </cell>
        </row>
        <row r="73">
          <cell r="A73" t="str">
            <v xml:space="preserve">  Germany</v>
          </cell>
          <cell r="I73">
            <v>0.22962765484759617</v>
          </cell>
          <cell r="J73">
            <v>0.36815370796725144</v>
          </cell>
          <cell r="K73">
            <v>0.14474260100514647</v>
          </cell>
          <cell r="L73">
            <v>2.8220357418308417E-2</v>
          </cell>
          <cell r="M73">
            <v>5.7635594306962412E-2</v>
          </cell>
          <cell r="N73">
            <v>0.14213431231328433</v>
          </cell>
          <cell r="O73">
            <v>-0.11323429598492751</v>
          </cell>
          <cell r="P73">
            <v>4.9767997853484847E-3</v>
          </cell>
          <cell r="Q73">
            <v>4.8911486752090116E-3</v>
          </cell>
          <cell r="R73">
            <v>1.7964356801027925E-2</v>
          </cell>
          <cell r="S73">
            <v>1.7970284683198612E-2</v>
          </cell>
          <cell r="T73">
            <v>1.7976207088211238E-2</v>
          </cell>
          <cell r="U73">
            <v>1.7982123952247298E-2</v>
          </cell>
          <cell r="V73">
            <v>1.7988035211740971E-2</v>
          </cell>
          <cell r="W73">
            <v>1.799394080338268E-2</v>
          </cell>
          <cell r="X73">
            <v>1.7999840664120415E-2</v>
          </cell>
          <cell r="Z73" t="str">
            <v xml:space="preserve">  Germany</v>
          </cell>
          <cell r="BO73">
            <v>0.28844221105527623</v>
          </cell>
          <cell r="BP73">
            <v>0.14335766423357676</v>
          </cell>
          <cell r="BQ73">
            <v>0.43454220906439112</v>
          </cell>
          <cell r="BR73">
            <v>0.67430025445292618</v>
          </cell>
          <cell r="BT73">
            <v>0.13341653666146658</v>
          </cell>
          <cell r="BU73">
            <v>0.16876276813074576</v>
          </cell>
          <cell r="BV73">
            <v>0.12479514415781479</v>
          </cell>
          <cell r="BW73">
            <v>0.15214147554573088</v>
          </cell>
          <cell r="BY73">
            <v>3.1079667455816695E-2</v>
          </cell>
          <cell r="BZ73">
            <v>4.0830260822067421E-2</v>
          </cell>
          <cell r="CA73">
            <v>8.2186606227402814E-2</v>
          </cell>
          <cell r="CB73">
            <v>-3.3312547966231842E-2</v>
          </cell>
          <cell r="CD73">
            <v>7.6625283673741995E-2</v>
          </cell>
          <cell r="CE73">
            <v>2.1779060614012025E-2</v>
          </cell>
          <cell r="CF73">
            <v>-1.0920514610551546E-2</v>
          </cell>
          <cell r="CG73">
            <v>0.1421093110377849</v>
          </cell>
          <cell r="CI73">
            <v>0.21543707377557353</v>
          </cell>
          <cell r="CJ73">
            <v>0.14149974319465852</v>
          </cell>
          <cell r="CK73">
            <v>0.19076128056465835</v>
          </cell>
          <cell r="CL73">
            <v>3.6556913268654512E-2</v>
          </cell>
        </row>
        <row r="74">
          <cell r="A74" t="str">
            <v xml:space="preserve">  Italy</v>
          </cell>
          <cell r="K74" t="str">
            <v>--</v>
          </cell>
          <cell r="L74" t="str">
            <v>--</v>
          </cell>
          <cell r="M74" t="str">
            <v>--</v>
          </cell>
          <cell r="N74" t="str">
            <v>--</v>
          </cell>
          <cell r="O74" t="str">
            <v>--</v>
          </cell>
          <cell r="P74" t="str">
            <v>--</v>
          </cell>
          <cell r="Q74">
            <v>2.6858516177577121</v>
          </cell>
          <cell r="R74">
            <v>2.7578710105516491E-2</v>
          </cell>
          <cell r="S74">
            <v>1.7241634580798193E-2</v>
          </cell>
          <cell r="T74">
            <v>8.6643569765336714E-3</v>
          </cell>
          <cell r="U74">
            <v>1.6397632157920672E-3</v>
          </cell>
          <cell r="V74">
            <v>-4.1067898264751657E-3</v>
          </cell>
          <cell r="W74">
            <v>1.1274849574511636E-2</v>
          </cell>
          <cell r="X74">
            <v>2.9434420065347133E-2</v>
          </cell>
          <cell r="Z74" t="str">
            <v xml:space="preserve">  Italy</v>
          </cell>
          <cell r="CD74" t="str">
            <v>--</v>
          </cell>
          <cell r="CE74" t="str">
            <v>--</v>
          </cell>
          <cell r="CF74" t="str">
            <v>--</v>
          </cell>
          <cell r="CG74" t="str">
            <v>--</v>
          </cell>
          <cell r="CI74" t="str">
            <v>--</v>
          </cell>
          <cell r="CJ74" t="str">
            <v>--</v>
          </cell>
          <cell r="CK74" t="str">
            <v>--</v>
          </cell>
          <cell r="CL74" t="str">
            <v>--</v>
          </cell>
        </row>
        <row r="75">
          <cell r="A75" t="str">
            <v xml:space="preserve">  Japan</v>
          </cell>
          <cell r="I75">
            <v>0.33503070568437132</v>
          </cell>
          <cell r="J75">
            <v>0.30643181036882128</v>
          </cell>
          <cell r="K75">
            <v>0.11544244793624547</v>
          </cell>
          <cell r="L75">
            <v>0.3589458430222745</v>
          </cell>
          <cell r="M75">
            <v>3.3478821545487314E-3</v>
          </cell>
          <cell r="N75">
            <v>0.26030789095226003</v>
          </cell>
          <cell r="O75">
            <v>0.10580329877994199</v>
          </cell>
          <cell r="P75">
            <v>6.4751893695249363E-2</v>
          </cell>
          <cell r="Q75">
            <v>6.0597159589746541E-2</v>
          </cell>
          <cell r="R75">
            <v>3.8071864713934422E-2</v>
          </cell>
          <cell r="S75">
            <v>3.4797708645227132E-2</v>
          </cell>
          <cell r="T75">
            <v>3.2641286633217526E-2</v>
          </cell>
          <cell r="U75">
            <v>3.0565530269182295E-2</v>
          </cell>
          <cell r="V75">
            <v>2.8555899651238503E-2</v>
          </cell>
          <cell r="W75">
            <v>2.6599233344812845E-2</v>
          </cell>
          <cell r="X75">
            <v>2.4683437031061572E-2</v>
          </cell>
          <cell r="Z75" t="str">
            <v xml:space="preserve">  Japan</v>
          </cell>
          <cell r="BO75">
            <v>0.66839597670725515</v>
          </cell>
          <cell r="BP75">
            <v>0.5904520684626573</v>
          </cell>
          <cell r="BQ75">
            <v>-4.1771768741802884E-2</v>
          </cell>
          <cell r="BR75">
            <v>0.22944772876560005</v>
          </cell>
          <cell r="BT75">
            <v>0.65496890468333291</v>
          </cell>
          <cell r="BU75">
            <v>0.31618569636135563</v>
          </cell>
          <cell r="BV75">
            <v>2.7271770032641252E-2</v>
          </cell>
          <cell r="BW75">
            <v>-0.33610060825250543</v>
          </cell>
          <cell r="BY75">
            <v>-9.2641589017984138E-2</v>
          </cell>
          <cell r="BZ75">
            <v>0.13687027938696206</v>
          </cell>
          <cell r="CA75">
            <v>0.36562115621156233</v>
          </cell>
          <cell r="CB75">
            <v>1.4548718583632478</v>
          </cell>
          <cell r="CD75">
            <v>1.1832819169167674E-2</v>
          </cell>
          <cell r="CE75">
            <v>1.770567936272438E-2</v>
          </cell>
          <cell r="CF75">
            <v>0.26289124071155356</v>
          </cell>
          <cell r="CG75">
            <v>-0.18733609037724386</v>
          </cell>
          <cell r="CI75">
            <v>0.32387336591070515</v>
          </cell>
          <cell r="CJ75">
            <v>0.31921029281277957</v>
          </cell>
          <cell r="CK75">
            <v>0.57013164541915407</v>
          </cell>
          <cell r="CL75">
            <v>-0.16810777049950509</v>
          </cell>
        </row>
        <row r="76">
          <cell r="A76" t="str">
            <v>Operating and SG&amp;A Expenses, % Change</v>
          </cell>
          <cell r="I76">
            <v>7.2524407252440692E-2</v>
          </cell>
          <cell r="J76">
            <v>0.12223667100130031</v>
          </cell>
          <cell r="K76">
            <v>0.12050984936268838</v>
          </cell>
          <cell r="L76">
            <v>4.1365046535677186E-2</v>
          </cell>
          <cell r="M76">
            <v>5.0645481628599942E-2</v>
          </cell>
          <cell r="N76">
            <v>2.4449223778637341E-2</v>
          </cell>
          <cell r="O76">
            <v>-3.4724836659082658E-2</v>
          </cell>
          <cell r="P76">
            <v>3.9725863244922222E-2</v>
          </cell>
          <cell r="Q76">
            <v>7.503882762555536E-2</v>
          </cell>
          <cell r="R76">
            <v>3.3640454579403345E-2</v>
          </cell>
          <cell r="S76">
            <v>3.4051413578868983E-2</v>
          </cell>
          <cell r="T76">
            <v>3.2472776811895976E-2</v>
          </cell>
          <cell r="U76">
            <v>3.1311394977845852E-2</v>
          </cell>
          <cell r="V76">
            <v>3.0588265469281728E-2</v>
          </cell>
          <cell r="W76">
            <v>3.0736836329670503E-2</v>
          </cell>
          <cell r="X76">
            <v>3.1741485349729759E-2</v>
          </cell>
          <cell r="Z76" t="str">
            <v>Operating and SG&amp;A Expenses, % Change</v>
          </cell>
          <cell r="BO76">
            <v>0.13483146067415741</v>
          </cell>
          <cell r="BP76">
            <v>0.11891891891891881</v>
          </cell>
          <cell r="BQ76">
            <v>8.9473684210526372E-2</v>
          </cell>
          <cell r="BR76">
            <v>0.13824884792626735</v>
          </cell>
          <cell r="BT76">
            <v>0.12376237623762387</v>
          </cell>
          <cell r="BU76">
            <v>0.12560386473429941</v>
          </cell>
          <cell r="BV76">
            <v>9.661835748792269E-2</v>
          </cell>
          <cell r="BW76">
            <v>0.1336032388663968</v>
          </cell>
          <cell r="BY76">
            <v>8.8105726872247381E-3</v>
          </cell>
          <cell r="BZ76">
            <v>5.1502145922746712E-2</v>
          </cell>
          <cell r="CA76">
            <v>8.8105726872246715E-2</v>
          </cell>
          <cell r="CB76">
            <v>2.1428571428571352E-2</v>
          </cell>
          <cell r="CD76">
            <v>6.9868995633187714E-2</v>
          </cell>
          <cell r="CE76">
            <v>2.857142857142847E-2</v>
          </cell>
          <cell r="CF76">
            <v>2.8340080971659853E-2</v>
          </cell>
          <cell r="CG76">
            <v>7.3426573426573327E-2</v>
          </cell>
          <cell r="CI76">
            <v>5.3061224489795888E-2</v>
          </cell>
          <cell r="CJ76">
            <v>5.555555555555558E-2</v>
          </cell>
          <cell r="CK76">
            <v>8.5862204724409752E-2</v>
          </cell>
          <cell r="CL76">
            <v>-7.4728733687953297E-2</v>
          </cell>
        </row>
        <row r="78">
          <cell r="A78" t="str">
            <v>Operating Cash Flow</v>
          </cell>
          <cell r="Z78" t="str">
            <v>Operating Cash Flow</v>
          </cell>
        </row>
        <row r="79">
          <cell r="A79" t="str">
            <v xml:space="preserve">  Domestic</v>
          </cell>
          <cell r="B79">
            <v>309.89854112400002</v>
          </cell>
          <cell r="C79">
            <v>361.05000000000007</v>
          </cell>
          <cell r="D79">
            <v>427.2</v>
          </cell>
          <cell r="E79">
            <v>512.5</v>
          </cell>
          <cell r="F79">
            <v>612.4</v>
          </cell>
          <cell r="G79">
            <v>726.40000000000009</v>
          </cell>
          <cell r="H79">
            <v>826.6</v>
          </cell>
          <cell r="I79">
            <v>886.99999999999989</v>
          </cell>
          <cell r="J79">
            <v>977.00000000000011</v>
          </cell>
          <cell r="K79">
            <v>1084</v>
          </cell>
          <cell r="L79">
            <v>1215</v>
          </cell>
          <cell r="M79">
            <v>1244.0000000000002</v>
          </cell>
          <cell r="N79">
            <v>1102.0669407794837</v>
          </cell>
          <cell r="O79">
            <v>996.15529923063036</v>
          </cell>
          <cell r="P79">
            <v>1025.3680586476901</v>
          </cell>
          <cell r="Q79">
            <v>1110.4391140559064</v>
          </cell>
          <cell r="R79">
            <v>1150.9238224606611</v>
          </cell>
          <cell r="S79">
            <v>1193.3400812051248</v>
          </cell>
          <cell r="T79">
            <v>1236.0229515419355</v>
          </cell>
          <cell r="U79">
            <v>1278.1478075815853</v>
          </cell>
          <cell r="V79">
            <v>1320.7544992433877</v>
          </cell>
          <cell r="W79">
            <v>1363.2353540773377</v>
          </cell>
          <cell r="X79">
            <v>1408.3739790929894</v>
          </cell>
          <cell r="Z79" t="str">
            <v xml:space="preserve">  Domestic</v>
          </cell>
          <cell r="AA79">
            <v>73.42528000999998</v>
          </cell>
          <cell r="AB79">
            <v>68.078039663999988</v>
          </cell>
          <cell r="AC79">
            <v>70.342346450000036</v>
          </cell>
          <cell r="AD79">
            <v>98.052875</v>
          </cell>
          <cell r="AF79">
            <v>85.15</v>
          </cell>
          <cell r="AG79">
            <v>81.8</v>
          </cell>
          <cell r="AH79">
            <v>81</v>
          </cell>
          <cell r="AI79">
            <v>113.1</v>
          </cell>
          <cell r="AK79">
            <v>96.7</v>
          </cell>
          <cell r="AL79">
            <v>90.5</v>
          </cell>
          <cell r="AM79">
            <v>102.2</v>
          </cell>
          <cell r="AN79">
            <v>137.80000000000001</v>
          </cell>
          <cell r="AP79">
            <v>124.3</v>
          </cell>
          <cell r="AQ79">
            <v>115.5</v>
          </cell>
          <cell r="AR79">
            <v>119.9</v>
          </cell>
          <cell r="AS79">
            <v>152.80000000000001</v>
          </cell>
          <cell r="AU79">
            <v>139.6</v>
          </cell>
          <cell r="AV79">
            <v>135.80000000000001</v>
          </cell>
          <cell r="AW79">
            <v>141.30000000000001</v>
          </cell>
          <cell r="AX79">
            <v>195.7</v>
          </cell>
          <cell r="AZ79">
            <v>170.6</v>
          </cell>
          <cell r="BA79">
            <v>166.5</v>
          </cell>
          <cell r="BB79">
            <v>157.80000000000001</v>
          </cell>
          <cell r="BC79">
            <v>231.5</v>
          </cell>
          <cell r="BE79">
            <v>190.4</v>
          </cell>
          <cell r="BF79">
            <v>193.2</v>
          </cell>
          <cell r="BG79">
            <v>180</v>
          </cell>
          <cell r="BH79">
            <v>263</v>
          </cell>
          <cell r="BJ79">
            <v>193</v>
          </cell>
          <cell r="BK79">
            <v>196</v>
          </cell>
          <cell r="BL79">
            <v>206</v>
          </cell>
          <cell r="BM79">
            <v>292</v>
          </cell>
          <cell r="BN79">
            <v>0</v>
          </cell>
          <cell r="BO79">
            <v>212</v>
          </cell>
          <cell r="BP79">
            <v>221</v>
          </cell>
          <cell r="BQ79">
            <v>210</v>
          </cell>
          <cell r="BR79">
            <v>334</v>
          </cell>
          <cell r="BS79">
            <v>0</v>
          </cell>
          <cell r="BT79">
            <v>241</v>
          </cell>
          <cell r="BU79">
            <v>248</v>
          </cell>
          <cell r="BV79">
            <v>235</v>
          </cell>
          <cell r="BW79">
            <v>360</v>
          </cell>
          <cell r="BX79">
            <v>0</v>
          </cell>
          <cell r="BY79">
            <v>257</v>
          </cell>
          <cell r="BZ79">
            <v>283</v>
          </cell>
          <cell r="CA79">
            <v>273</v>
          </cell>
          <cell r="CB79">
            <v>402</v>
          </cell>
          <cell r="CC79">
            <v>0</v>
          </cell>
          <cell r="CD79">
            <v>278</v>
          </cell>
          <cell r="CE79">
            <v>292</v>
          </cell>
          <cell r="CF79">
            <v>278</v>
          </cell>
          <cell r="CG79">
            <v>396</v>
          </cell>
          <cell r="CH79">
            <v>0</v>
          </cell>
          <cell r="CI79">
            <v>281</v>
          </cell>
          <cell r="CJ79">
            <v>286</v>
          </cell>
          <cell r="CK79">
            <v>221</v>
          </cell>
          <cell r="CL79">
            <v>314.06694077948373</v>
          </cell>
          <cell r="CM79">
            <v>0</v>
          </cell>
        </row>
        <row r="80">
          <cell r="A80" t="str">
            <v xml:space="preserve">  United Kingdom</v>
          </cell>
          <cell r="B80">
            <v>-3</v>
          </cell>
          <cell r="C80">
            <v>8.5499999999999972</v>
          </cell>
          <cell r="D80">
            <v>30.300000000000004</v>
          </cell>
          <cell r="E80">
            <v>41.8</v>
          </cell>
          <cell r="F80">
            <v>20.2</v>
          </cell>
          <cell r="G80">
            <v>25.1</v>
          </cell>
          <cell r="H80">
            <v>28.5</v>
          </cell>
          <cell r="I80">
            <v>43.242999999999995</v>
          </cell>
          <cell r="J80">
            <v>74.178000000000011</v>
          </cell>
          <cell r="K80">
            <v>94.388999999999967</v>
          </cell>
          <cell r="L80">
            <v>120.87</v>
          </cell>
          <cell r="M80">
            <v>139.07099999999997</v>
          </cell>
          <cell r="N80">
            <v>132.40799764889385</v>
          </cell>
          <cell r="O80">
            <v>106.72254758347606</v>
          </cell>
          <cell r="P80">
            <v>110.923531703325</v>
          </cell>
          <cell r="Q80">
            <v>114.49156699739854</v>
          </cell>
          <cell r="R80">
            <v>119.73159553694313</v>
          </cell>
          <cell r="S80">
            <v>123.03442131195422</v>
          </cell>
          <cell r="T80">
            <v>124.0229808076725</v>
          </cell>
          <cell r="U80">
            <v>125.01364594613889</v>
          </cell>
          <cell r="V80">
            <v>126.00624685364235</v>
          </cell>
          <cell r="W80">
            <v>127.00060771515891</v>
          </cell>
          <cell r="X80">
            <v>127.99654662499904</v>
          </cell>
          <cell r="Z80" t="str">
            <v xml:space="preserve">  United Kingdom</v>
          </cell>
          <cell r="AA80">
            <v>-1</v>
          </cell>
          <cell r="AB80">
            <v>-1</v>
          </cell>
          <cell r="AC80">
            <v>-1</v>
          </cell>
          <cell r="AD80">
            <v>0</v>
          </cell>
          <cell r="AF80">
            <v>0.25</v>
          </cell>
          <cell r="AG80">
            <v>1</v>
          </cell>
          <cell r="AH80">
            <v>1.6</v>
          </cell>
          <cell r="AI80">
            <v>5.7</v>
          </cell>
          <cell r="AK80">
            <v>4.4000000000000004</v>
          </cell>
          <cell r="AL80">
            <v>7.7</v>
          </cell>
          <cell r="AM80">
            <v>7.1</v>
          </cell>
          <cell r="AN80">
            <v>11.1</v>
          </cell>
          <cell r="AP80">
            <v>9.1999999999999993</v>
          </cell>
          <cell r="AQ80">
            <v>9.1999999999999993</v>
          </cell>
          <cell r="AR80">
            <v>8.1999999999999993</v>
          </cell>
          <cell r="AS80">
            <v>15.2</v>
          </cell>
          <cell r="AU80">
            <v>8</v>
          </cell>
          <cell r="AV80">
            <v>2</v>
          </cell>
          <cell r="AW80">
            <v>2.6</v>
          </cell>
          <cell r="AX80">
            <v>7.6</v>
          </cell>
          <cell r="AZ80">
            <v>5.5</v>
          </cell>
          <cell r="BA80">
            <v>3.2</v>
          </cell>
          <cell r="BB80">
            <v>4</v>
          </cell>
          <cell r="BC80">
            <v>12.4</v>
          </cell>
          <cell r="BE80">
            <v>5.8</v>
          </cell>
          <cell r="BF80">
            <v>3.9</v>
          </cell>
          <cell r="BG80">
            <v>4.8</v>
          </cell>
          <cell r="BH80">
            <v>14</v>
          </cell>
          <cell r="BJ80">
            <v>7</v>
          </cell>
          <cell r="BK80">
            <v>8</v>
          </cell>
          <cell r="BL80">
            <v>10.284999999999997</v>
          </cell>
          <cell r="BM80">
            <v>17.957999999999998</v>
          </cell>
          <cell r="BN80">
            <v>0</v>
          </cell>
          <cell r="BO80">
            <v>17.480000000000004</v>
          </cell>
          <cell r="BP80">
            <v>15.92</v>
          </cell>
          <cell r="BQ80">
            <v>19.36</v>
          </cell>
          <cell r="BR80">
            <v>21.417999999999996</v>
          </cell>
          <cell r="BS80">
            <v>0</v>
          </cell>
          <cell r="BT80">
            <v>24.179999999999996</v>
          </cell>
          <cell r="BU80">
            <v>20.958999999999996</v>
          </cell>
          <cell r="BV80">
            <v>19.603999999999992</v>
          </cell>
          <cell r="BW80">
            <v>29.645999999999997</v>
          </cell>
          <cell r="BX80">
            <v>0</v>
          </cell>
          <cell r="BY80">
            <v>23.323999999999998</v>
          </cell>
          <cell r="BZ80">
            <v>22.497</v>
          </cell>
          <cell r="CA80">
            <v>24.463999999999999</v>
          </cell>
          <cell r="CB80">
            <v>50.585000000000001</v>
          </cell>
          <cell r="CC80">
            <v>0</v>
          </cell>
          <cell r="CD80">
            <v>26.499999999999993</v>
          </cell>
          <cell r="CE80">
            <v>27.68</v>
          </cell>
          <cell r="CF80">
            <v>31</v>
          </cell>
          <cell r="CG80">
            <v>53.890999999999977</v>
          </cell>
          <cell r="CH80">
            <v>0</v>
          </cell>
          <cell r="CI80">
            <v>29.973999999999993</v>
          </cell>
          <cell r="CJ80">
            <v>28.098999999999997</v>
          </cell>
          <cell r="CK80">
            <v>28.103999999999992</v>
          </cell>
          <cell r="CL80">
            <v>46.230997648893855</v>
          </cell>
          <cell r="CM80">
            <v>0</v>
          </cell>
        </row>
        <row r="81">
          <cell r="A81" t="str">
            <v xml:space="preserve">  Germany</v>
          </cell>
          <cell r="B81">
            <v>-6.4</v>
          </cell>
          <cell r="C81">
            <v>-31.900000000000002</v>
          </cell>
          <cell r="D81">
            <v>-23.700000000000006</v>
          </cell>
          <cell r="E81">
            <v>-19.3</v>
          </cell>
          <cell r="F81">
            <v>-11.999999999999993</v>
          </cell>
          <cell r="G81">
            <v>-7</v>
          </cell>
          <cell r="H81">
            <v>6</v>
          </cell>
          <cell r="I81">
            <v>51.48599999999999</v>
          </cell>
          <cell r="J81">
            <v>96.44</v>
          </cell>
          <cell r="K81">
            <v>129.62099999999998</v>
          </cell>
          <cell r="L81">
            <v>157.78</v>
          </cell>
          <cell r="M81">
            <v>150.405</v>
          </cell>
          <cell r="N81">
            <v>160.25772590842732</v>
          </cell>
          <cell r="O81">
            <v>134.47096427265825</v>
          </cell>
          <cell r="P81">
            <v>142.47367117422735</v>
          </cell>
          <cell r="Q81">
            <v>146.30819456860448</v>
          </cell>
          <cell r="R81">
            <v>148.00262567963352</v>
          </cell>
          <cell r="S81">
            <v>149.71246942117801</v>
          </cell>
          <cell r="T81">
            <v>151.43775690597269</v>
          </cell>
          <cell r="U81">
            <v>153.1785157119088</v>
          </cell>
          <cell r="V81">
            <v>154.9347697489809</v>
          </cell>
          <cell r="W81">
            <v>156.70653912263685</v>
          </cell>
          <cell r="X81">
            <v>158.49383999344616</v>
          </cell>
          <cell r="Z81" t="str">
            <v xml:space="preserve">  Germany</v>
          </cell>
          <cell r="AA81">
            <v>0</v>
          </cell>
          <cell r="AB81">
            <v>0</v>
          </cell>
          <cell r="AC81">
            <v>0</v>
          </cell>
          <cell r="AD81">
            <v>-6</v>
          </cell>
          <cell r="AF81">
            <v>-6.3</v>
          </cell>
          <cell r="AG81">
            <v>-7.3</v>
          </cell>
          <cell r="AH81">
            <v>-6.3</v>
          </cell>
          <cell r="AI81">
            <v>-12</v>
          </cell>
          <cell r="AK81">
            <v>-5.9</v>
          </cell>
          <cell r="AL81">
            <v>-6.5</v>
          </cell>
          <cell r="AM81">
            <v>-5.7</v>
          </cell>
          <cell r="AN81">
            <v>-5.6</v>
          </cell>
          <cell r="AP81">
            <v>-4.0999999999999996</v>
          </cell>
          <cell r="AQ81">
            <v>-4.0999999999999996</v>
          </cell>
          <cell r="AR81">
            <v>-3.3</v>
          </cell>
          <cell r="AS81">
            <v>-7.8</v>
          </cell>
          <cell r="AU81">
            <v>-2.8</v>
          </cell>
          <cell r="AV81">
            <v>-4.7</v>
          </cell>
          <cell r="AW81">
            <v>-3.4</v>
          </cell>
          <cell r="AX81">
            <v>-1.1000000000000001</v>
          </cell>
          <cell r="AZ81">
            <v>-0.8</v>
          </cell>
          <cell r="BA81">
            <v>-2.7</v>
          </cell>
          <cell r="BB81">
            <v>-2.5</v>
          </cell>
          <cell r="BC81">
            <v>-1</v>
          </cell>
          <cell r="BE81">
            <v>0.5</v>
          </cell>
          <cell r="BF81">
            <v>0</v>
          </cell>
          <cell r="BG81">
            <v>0.5</v>
          </cell>
          <cell r="BH81">
            <v>5</v>
          </cell>
          <cell r="BJ81">
            <v>6</v>
          </cell>
          <cell r="BK81">
            <v>7</v>
          </cell>
          <cell r="BL81">
            <v>13.595999999999997</v>
          </cell>
          <cell r="BM81">
            <v>24.889999999999997</v>
          </cell>
          <cell r="BN81">
            <v>0</v>
          </cell>
          <cell r="BO81">
            <v>23.75</v>
          </cell>
          <cell r="BP81">
            <v>23.24</v>
          </cell>
          <cell r="BQ81">
            <v>20.699999999999996</v>
          </cell>
          <cell r="BR81">
            <v>28.75</v>
          </cell>
          <cell r="BS81">
            <v>0</v>
          </cell>
          <cell r="BT81">
            <v>35.454000000000001</v>
          </cell>
          <cell r="BU81">
            <v>29.984999999999992</v>
          </cell>
          <cell r="BV81">
            <v>25.238</v>
          </cell>
          <cell r="BW81">
            <v>38.944000000000003</v>
          </cell>
          <cell r="BX81">
            <v>0</v>
          </cell>
          <cell r="BY81">
            <v>32.745000000000005</v>
          </cell>
          <cell r="BZ81">
            <v>30.289999999999992</v>
          </cell>
          <cell r="CA81">
            <v>34.631999999999991</v>
          </cell>
          <cell r="CB81">
            <v>60.113000000000035</v>
          </cell>
          <cell r="CC81">
            <v>0</v>
          </cell>
          <cell r="CD81">
            <v>34.924999999999997</v>
          </cell>
          <cell r="CE81">
            <v>30.36</v>
          </cell>
          <cell r="CF81">
            <v>30.17</v>
          </cell>
          <cell r="CG81">
            <v>54.949999999999996</v>
          </cell>
          <cell r="CH81">
            <v>0</v>
          </cell>
          <cell r="CI81">
            <v>38.137499999999989</v>
          </cell>
          <cell r="CJ81">
            <v>31.710000000000008</v>
          </cell>
          <cell r="CK81">
            <v>32.912499999999994</v>
          </cell>
          <cell r="CL81">
            <v>57.497725908427341</v>
          </cell>
          <cell r="CM81">
            <v>0</v>
          </cell>
        </row>
        <row r="82">
          <cell r="A82" t="str">
            <v xml:space="preserve">  Italy</v>
          </cell>
          <cell r="K82">
            <v>0</v>
          </cell>
          <cell r="L82">
            <v>0</v>
          </cell>
          <cell r="M82">
            <v>0</v>
          </cell>
          <cell r="N82">
            <v>0</v>
          </cell>
          <cell r="O82">
            <v>0</v>
          </cell>
          <cell r="P82">
            <v>-3.7425000000000015</v>
          </cell>
          <cell r="Q82">
            <v>-6.6366700000000023</v>
          </cell>
          <cell r="R82">
            <v>-1.6648139099999852</v>
          </cell>
          <cell r="S82">
            <v>3.1614590062800119</v>
          </cell>
          <cell r="T82">
            <v>7.8038830175946998</v>
          </cell>
          <cell r="U82">
            <v>12.259162276609388</v>
          </cell>
          <cell r="V82">
            <v>16.545826758698396</v>
          </cell>
          <cell r="W82">
            <v>19.915568963700991</v>
          </cell>
          <cell r="X82">
            <v>22.30171955444338</v>
          </cell>
          <cell r="Z82" t="str">
            <v xml:space="preserve">  Italy</v>
          </cell>
          <cell r="CD82">
            <v>0</v>
          </cell>
          <cell r="CE82">
            <v>0</v>
          </cell>
          <cell r="CF82">
            <v>0</v>
          </cell>
          <cell r="CG82">
            <v>0</v>
          </cell>
          <cell r="CI82">
            <v>0</v>
          </cell>
          <cell r="CJ82">
            <v>0</v>
          </cell>
          <cell r="CK82">
            <v>0</v>
          </cell>
          <cell r="CL82">
            <v>0</v>
          </cell>
          <cell r="CM82">
            <v>0</v>
          </cell>
        </row>
        <row r="83">
          <cell r="A83" t="str">
            <v xml:space="preserve">  Japan</v>
          </cell>
          <cell r="B83">
            <v>0</v>
          </cell>
          <cell r="C83">
            <v>0</v>
          </cell>
          <cell r="D83">
            <v>0.3</v>
          </cell>
          <cell r="E83">
            <v>4.3</v>
          </cell>
          <cell r="F83">
            <v>-1.4</v>
          </cell>
          <cell r="G83">
            <v>-22.2</v>
          </cell>
          <cell r="H83">
            <v>-2.9000000000000004</v>
          </cell>
          <cell r="I83">
            <v>30.271000000000043</v>
          </cell>
          <cell r="J83">
            <v>82.381999999999977</v>
          </cell>
          <cell r="K83">
            <v>113.99000000000002</v>
          </cell>
          <cell r="L83">
            <v>147.35000000000002</v>
          </cell>
          <cell r="M83">
            <v>123.52399999999997</v>
          </cell>
          <cell r="N83">
            <v>138.91965436409311</v>
          </cell>
          <cell r="O83">
            <v>152.5868192613971</v>
          </cell>
          <cell r="P83">
            <v>166.78040775762901</v>
          </cell>
          <cell r="Q83">
            <v>178.95390086275347</v>
          </cell>
          <cell r="R83">
            <v>192.55860057668883</v>
          </cell>
          <cell r="S83">
            <v>204.93155103040084</v>
          </cell>
          <cell r="T83">
            <v>216.56343419389452</v>
          </cell>
          <cell r="U83">
            <v>227.39647895801664</v>
          </cell>
          <cell r="V83">
            <v>237.3704362114172</v>
          </cell>
          <cell r="W83">
            <v>246.42249355720946</v>
          </cell>
          <cell r="X83">
            <v>254.48718742406459</v>
          </cell>
          <cell r="Z83" t="str">
            <v xml:space="preserve">  Japan</v>
          </cell>
          <cell r="AA83">
            <v>0</v>
          </cell>
          <cell r="AB83">
            <v>0</v>
          </cell>
          <cell r="AC83">
            <v>0</v>
          </cell>
          <cell r="AD83">
            <v>0</v>
          </cell>
          <cell r="AF83">
            <v>0</v>
          </cell>
          <cell r="AG83">
            <v>0</v>
          </cell>
          <cell r="AH83">
            <v>0</v>
          </cell>
          <cell r="AI83">
            <v>0</v>
          </cell>
          <cell r="AK83">
            <v>-0.2</v>
          </cell>
          <cell r="AL83">
            <v>1</v>
          </cell>
          <cell r="AM83">
            <v>0.2</v>
          </cell>
          <cell r="AN83">
            <v>-0.7</v>
          </cell>
          <cell r="AP83">
            <v>1.5</v>
          </cell>
          <cell r="AQ83">
            <v>0.9</v>
          </cell>
          <cell r="AR83">
            <v>0.5</v>
          </cell>
          <cell r="AS83">
            <v>1.5</v>
          </cell>
          <cell r="AU83">
            <v>0</v>
          </cell>
          <cell r="AV83">
            <v>0.8</v>
          </cell>
          <cell r="AW83">
            <v>-1.2</v>
          </cell>
          <cell r="AX83">
            <v>-1</v>
          </cell>
          <cell r="AZ83">
            <v>-2.6</v>
          </cell>
          <cell r="BA83">
            <v>-7.2</v>
          </cell>
          <cell r="BB83">
            <v>-5.6</v>
          </cell>
          <cell r="BC83">
            <v>-6.8</v>
          </cell>
          <cell r="BE83">
            <v>-4.4000000000000004</v>
          </cell>
          <cell r="BF83">
            <v>-2.6</v>
          </cell>
          <cell r="BG83">
            <v>0.1</v>
          </cell>
          <cell r="BH83">
            <v>4</v>
          </cell>
          <cell r="BJ83">
            <v>5</v>
          </cell>
          <cell r="BK83">
            <v>8</v>
          </cell>
          <cell r="BL83">
            <v>4.1189999999999998</v>
          </cell>
          <cell r="BM83">
            <v>13.152000000000044</v>
          </cell>
          <cell r="BN83">
            <v>0</v>
          </cell>
          <cell r="BO83">
            <v>16.769999999999982</v>
          </cell>
          <cell r="BP83">
            <v>17.840000000000003</v>
          </cell>
          <cell r="BQ83">
            <v>20.939999999999998</v>
          </cell>
          <cell r="BR83">
            <v>26.831999999999994</v>
          </cell>
          <cell r="BS83">
            <v>0</v>
          </cell>
          <cell r="BT83">
            <v>22.365999999999985</v>
          </cell>
          <cell r="BU83">
            <v>25.055999999999983</v>
          </cell>
          <cell r="BV83">
            <v>26.158000000000015</v>
          </cell>
          <cell r="BW83">
            <v>40.409999999999968</v>
          </cell>
          <cell r="BX83">
            <v>0</v>
          </cell>
          <cell r="BY83">
            <v>41.930999999999983</v>
          </cell>
          <cell r="BZ83">
            <v>42.213000000000022</v>
          </cell>
          <cell r="CA83">
            <v>33.903999999999996</v>
          </cell>
          <cell r="CB83">
            <v>29.301999999999964</v>
          </cell>
          <cell r="CC83">
            <v>0</v>
          </cell>
          <cell r="CD83">
            <v>39.574999999999989</v>
          </cell>
          <cell r="CE83">
            <v>32.95999999999998</v>
          </cell>
          <cell r="CF83">
            <v>24.829999999999984</v>
          </cell>
          <cell r="CG83">
            <v>26.159000000000049</v>
          </cell>
          <cell r="CH83">
            <v>0</v>
          </cell>
          <cell r="CI83">
            <v>37.888500000000022</v>
          </cell>
          <cell r="CJ83">
            <v>41.190999999999974</v>
          </cell>
          <cell r="CK83">
            <v>29.983499999999992</v>
          </cell>
          <cell r="CL83">
            <v>29.856654364093146</v>
          </cell>
          <cell r="CM83">
            <v>0</v>
          </cell>
        </row>
        <row r="84">
          <cell r="A84" t="str">
            <v>Total Operating Cash Flow</v>
          </cell>
          <cell r="B84">
            <v>300.49854112400004</v>
          </cell>
          <cell r="C84">
            <v>337.70000000000005</v>
          </cell>
          <cell r="D84">
            <v>434.1</v>
          </cell>
          <cell r="E84">
            <v>539.29999999999995</v>
          </cell>
          <cell r="F84">
            <v>619.20000000000005</v>
          </cell>
          <cell r="G84">
            <v>722.30000000000007</v>
          </cell>
          <cell r="H84">
            <v>858.2</v>
          </cell>
          <cell r="I84">
            <v>1011.9999999999999</v>
          </cell>
          <cell r="J84">
            <v>1230.0000000000002</v>
          </cell>
          <cell r="K84">
            <v>1421.9999999999998</v>
          </cell>
          <cell r="L84">
            <v>1641</v>
          </cell>
          <cell r="M84">
            <v>1657</v>
          </cell>
          <cell r="N84">
            <v>1533.6523187008979</v>
          </cell>
          <cell r="O84">
            <v>1389.9356303481616</v>
          </cell>
          <cell r="P84">
            <v>1441.8031692828713</v>
          </cell>
          <cell r="Q84">
            <v>1543.5561064846627</v>
          </cell>
          <cell r="R84">
            <v>1609.5518303439267</v>
          </cell>
          <cell r="S84">
            <v>1674.1799819749378</v>
          </cell>
          <cell r="T84">
            <v>1735.85100646707</v>
          </cell>
          <cell r="U84">
            <v>1795.9956104742591</v>
          </cell>
          <cell r="V84">
            <v>1855.6117788161266</v>
          </cell>
          <cell r="W84">
            <v>1913.2805634360436</v>
          </cell>
          <cell r="X84">
            <v>1971.6532726899429</v>
          </cell>
          <cell r="Z84" t="str">
            <v>Total Operating Cash Flow</v>
          </cell>
          <cell r="AA84">
            <v>72.42528000999998</v>
          </cell>
          <cell r="AB84">
            <v>67.078039663999988</v>
          </cell>
          <cell r="AC84">
            <v>69.342346450000036</v>
          </cell>
          <cell r="AD84">
            <v>92.052875</v>
          </cell>
          <cell r="AF84">
            <v>79.100000000000009</v>
          </cell>
          <cell r="AG84">
            <v>75.5</v>
          </cell>
          <cell r="AH84">
            <v>76.3</v>
          </cell>
          <cell r="AI84">
            <v>106.8</v>
          </cell>
          <cell r="AK84">
            <v>95</v>
          </cell>
          <cell r="AL84">
            <v>92.7</v>
          </cell>
          <cell r="AM84">
            <v>103.80000000000001</v>
          </cell>
          <cell r="AN84">
            <v>142.60000000000002</v>
          </cell>
          <cell r="AP84">
            <v>130.9</v>
          </cell>
          <cell r="AQ84">
            <v>121.5</v>
          </cell>
          <cell r="AR84">
            <v>125.30000000000001</v>
          </cell>
          <cell r="AS84">
            <v>161.70000000000002</v>
          </cell>
          <cell r="AU84">
            <v>144.79999999999998</v>
          </cell>
          <cell r="AV84">
            <v>133.90000000000003</v>
          </cell>
          <cell r="AW84">
            <v>139.30000000000001</v>
          </cell>
          <cell r="AX84">
            <v>201.2</v>
          </cell>
          <cell r="AZ84">
            <v>172.7</v>
          </cell>
          <cell r="BA84">
            <v>159.80000000000001</v>
          </cell>
          <cell r="BB84">
            <v>153.70000000000002</v>
          </cell>
          <cell r="BC84">
            <v>236.1</v>
          </cell>
          <cell r="BE84">
            <v>192.3</v>
          </cell>
          <cell r="BF84">
            <v>194.5</v>
          </cell>
          <cell r="BG84">
            <v>185.4</v>
          </cell>
          <cell r="BH84">
            <v>286</v>
          </cell>
          <cell r="BJ84">
            <v>211</v>
          </cell>
          <cell r="BK84">
            <v>219</v>
          </cell>
          <cell r="BL84">
            <v>234</v>
          </cell>
          <cell r="BM84">
            <v>348</v>
          </cell>
          <cell r="BN84">
            <v>0</v>
          </cell>
          <cell r="BO84">
            <v>270</v>
          </cell>
          <cell r="BP84">
            <v>278</v>
          </cell>
          <cell r="BQ84">
            <v>271</v>
          </cell>
          <cell r="BR84">
            <v>411</v>
          </cell>
          <cell r="BS84">
            <v>0</v>
          </cell>
          <cell r="BT84">
            <v>323</v>
          </cell>
          <cell r="BU84">
            <v>324</v>
          </cell>
          <cell r="BV84">
            <v>306</v>
          </cell>
          <cell r="BW84">
            <v>469</v>
          </cell>
          <cell r="BX84">
            <v>0</v>
          </cell>
          <cell r="BY84">
            <v>355</v>
          </cell>
          <cell r="BZ84">
            <v>378</v>
          </cell>
          <cell r="CA84">
            <v>366</v>
          </cell>
          <cell r="CB84">
            <v>542</v>
          </cell>
          <cell r="CC84">
            <v>0</v>
          </cell>
          <cell r="CD84">
            <v>379</v>
          </cell>
          <cell r="CE84">
            <v>383</v>
          </cell>
          <cell r="CF84">
            <v>364</v>
          </cell>
          <cell r="CG84">
            <v>531</v>
          </cell>
          <cell r="CH84">
            <v>0</v>
          </cell>
          <cell r="CI84">
            <v>387</v>
          </cell>
          <cell r="CJ84">
            <v>387</v>
          </cell>
          <cell r="CK84">
            <v>312</v>
          </cell>
          <cell r="CL84">
            <v>447.65231870089804</v>
          </cell>
          <cell r="CM84">
            <v>0</v>
          </cell>
        </row>
        <row r="85">
          <cell r="AN85" t="str">
            <v/>
          </cell>
          <cell r="AS85" t="str">
            <v/>
          </cell>
          <cell r="AX85" t="str">
            <v/>
          </cell>
          <cell r="BC85" t="str">
            <v/>
          </cell>
          <cell r="BH85" t="str">
            <v/>
          </cell>
        </row>
        <row r="86">
          <cell r="A86" t="str">
            <v>EBITDA Margins</v>
          </cell>
          <cell r="Z86" t="str">
            <v>EBITDA Margins</v>
          </cell>
        </row>
        <row r="87">
          <cell r="A87" t="str">
            <v xml:space="preserve">  Domestic</v>
          </cell>
          <cell r="B87">
            <v>0.17839285707032534</v>
          </cell>
          <cell r="C87">
            <v>0.18955134003688656</v>
          </cell>
          <cell r="D87">
            <v>0.18229922335068702</v>
          </cell>
          <cell r="E87">
            <v>0.19013875491578244</v>
          </cell>
          <cell r="F87">
            <v>0.20073423364363444</v>
          </cell>
          <cell r="G87">
            <v>0.21535086419021079</v>
          </cell>
          <cell r="H87">
            <v>0.22508441346258581</v>
          </cell>
          <cell r="I87">
            <v>0.23068920676202859</v>
          </cell>
          <cell r="J87">
            <v>0.23593334943250424</v>
          </cell>
          <cell r="K87">
            <v>0.23362068965517241</v>
          </cell>
          <cell r="L87">
            <v>0.24382901866345574</v>
          </cell>
          <cell r="M87">
            <v>0.23886328725038408</v>
          </cell>
          <cell r="N87">
            <v>0.2234801660661597</v>
          </cell>
          <cell r="O87">
            <v>0.21150711431137786</v>
          </cell>
          <cell r="P87">
            <v>0.21531536289142042</v>
          </cell>
          <cell r="Q87">
            <v>0.22490525850615561</v>
          </cell>
          <cell r="R87">
            <v>0.22453391654891597</v>
          </cell>
          <cell r="S87">
            <v>0.22417005139143326</v>
          </cell>
          <cell r="T87">
            <v>0.22377205409268919</v>
          </cell>
          <cell r="U87">
            <v>0.22332175004461285</v>
          </cell>
          <cell r="V87">
            <v>0.22284471895366334</v>
          </cell>
          <cell r="W87">
            <v>0.22232766905935075</v>
          </cell>
          <cell r="X87">
            <v>0.22183233819850307</v>
          </cell>
          <cell r="Z87" t="str">
            <v xml:space="preserve">  Domestic</v>
          </cell>
          <cell r="AA87">
            <v>0.17120318601094014</v>
          </cell>
          <cell r="AB87">
            <v>0.17647404570622754</v>
          </cell>
          <cell r="AC87">
            <v>0.17197650608889972</v>
          </cell>
          <cell r="AD87">
            <v>0.19095009737098345</v>
          </cell>
          <cell r="AF87">
            <v>0.19100022206719891</v>
          </cell>
          <cell r="AG87">
            <v>0.19025468077683452</v>
          </cell>
          <cell r="AH87">
            <v>0.18092472637927184</v>
          </cell>
          <cell r="AI87">
            <v>0.19456390848099089</v>
          </cell>
          <cell r="AK87">
            <v>0.18008960789434053</v>
          </cell>
          <cell r="AL87">
            <v>0.17621901399199993</v>
          </cell>
          <cell r="AM87">
            <v>0.18267832781019208</v>
          </cell>
          <cell r="AN87">
            <v>0.18788527646653497</v>
          </cell>
          <cell r="AP87">
            <v>0.20204811443433027</v>
          </cell>
          <cell r="AQ87">
            <v>0.19369444910280062</v>
          </cell>
          <cell r="AR87">
            <v>0.18678921950459576</v>
          </cell>
          <cell r="AS87">
            <v>0.1814726840855107</v>
          </cell>
          <cell r="AU87">
            <v>0.20037318788574707</v>
          </cell>
          <cell r="AV87">
            <v>0.20641434868521055</v>
          </cell>
          <cell r="AW87">
            <v>0.19887403237156934</v>
          </cell>
          <cell r="AX87">
            <v>0.19853910926245305</v>
          </cell>
          <cell r="AZ87">
            <v>0.22593034035227122</v>
          </cell>
          <cell r="BA87">
            <v>0.22000528541226216</v>
          </cell>
          <cell r="BB87">
            <v>0.20408691153647182</v>
          </cell>
          <cell r="BC87">
            <v>0.21277573529411764</v>
          </cell>
          <cell r="BE87">
            <v>0.22615512531179477</v>
          </cell>
          <cell r="BF87">
            <v>0.23074166965245432</v>
          </cell>
          <cell r="BG87">
            <v>0.21423470602237563</v>
          </cell>
          <cell r="BH87">
            <v>0.22810060711188204</v>
          </cell>
          <cell r="BJ87">
            <v>0.2275943396226415</v>
          </cell>
          <cell r="BK87">
            <v>0.22737819025522041</v>
          </cell>
          <cell r="BL87">
            <v>0.22863485016648169</v>
          </cell>
          <cell r="BM87">
            <v>0.23662884927066449</v>
          </cell>
          <cell r="BO87">
            <v>0.22746781115879827</v>
          </cell>
          <cell r="BP87">
            <v>0.23763440860215054</v>
          </cell>
          <cell r="BQ87">
            <v>0.22532188841201717</v>
          </cell>
          <cell r="BR87">
            <v>0.2479584261321455</v>
          </cell>
          <cell r="BT87">
            <v>0.23512195121951218</v>
          </cell>
          <cell r="BU87">
            <v>0.23984526112185686</v>
          </cell>
          <cell r="BV87">
            <v>0.22617901828681425</v>
          </cell>
          <cell r="BW87">
            <v>0.23346303501945526</v>
          </cell>
          <cell r="BY87">
            <v>0.23621323529411764</v>
          </cell>
          <cell r="BZ87">
            <v>0.24824561403508771</v>
          </cell>
          <cell r="CA87">
            <v>0.23718505647263249</v>
          </cell>
          <cell r="CB87">
            <v>0.25062344139650872</v>
          </cell>
          <cell r="CD87">
            <v>0.23679727427597955</v>
          </cell>
          <cell r="CE87">
            <v>0.24662162162162163</v>
          </cell>
          <cell r="CF87">
            <v>0.23679727427597955</v>
          </cell>
          <cell r="CG87">
            <v>0.23627684964200477</v>
          </cell>
          <cell r="CI87">
            <v>0.2389455782312925</v>
          </cell>
          <cell r="CJ87">
            <v>0.24216765453005928</v>
          </cell>
          <cell r="CK87">
            <v>0.20596458527493011</v>
          </cell>
          <cell r="CL87">
            <v>0.20918468724569975</v>
          </cell>
        </row>
        <row r="88">
          <cell r="A88" t="str">
            <v xml:space="preserve">  United Kingdom</v>
          </cell>
          <cell r="B88">
            <v>-3.0549898167006109E-2</v>
          </cell>
          <cell r="C88">
            <v>5.1506024096385522E-2</v>
          </cell>
          <cell r="D88">
            <v>0.1133557800224467</v>
          </cell>
          <cell r="E88">
            <v>0.12755569118095819</v>
          </cell>
          <cell r="F88">
            <v>6.7154255319148926E-2</v>
          </cell>
          <cell r="G88">
            <v>9.2381302907618701E-2</v>
          </cell>
          <cell r="H88">
            <v>9.6121416526138273E-2</v>
          </cell>
          <cell r="I88">
            <v>0.11687297297297296</v>
          </cell>
          <cell r="J88">
            <v>0.15231622176591375</v>
          </cell>
          <cell r="K88">
            <v>0.17037725631768946</v>
          </cell>
          <cell r="L88">
            <v>0.19750000000000001</v>
          </cell>
          <cell r="M88">
            <v>0.19670579915134367</v>
          </cell>
          <cell r="N88">
            <v>0.18993296048004785</v>
          </cell>
          <cell r="O88">
            <v>0.18162314027015711</v>
          </cell>
          <cell r="P88">
            <v>0.18444662944703302</v>
          </cell>
          <cell r="Q88">
            <v>0.18684507966883501</v>
          </cell>
          <cell r="R88">
            <v>0.19008448327480904</v>
          </cell>
          <cell r="S88">
            <v>0.19055292968939611</v>
          </cell>
          <cell r="T88">
            <v>0.18980631253279051</v>
          </cell>
          <cell r="U88">
            <v>0.18905379326427502</v>
          </cell>
          <cell r="V88">
            <v>0.18829532522683845</v>
          </cell>
          <cell r="W88">
            <v>0.18753086139463956</v>
          </cell>
          <cell r="X88">
            <v>0.1867603543700912</v>
          </cell>
          <cell r="Z88" t="str">
            <v xml:space="preserve">  United Kingdom</v>
          </cell>
          <cell r="AA88">
            <v>-4.716981132075472E-2</v>
          </cell>
          <cell r="AB88">
            <v>-0.05</v>
          </cell>
          <cell r="AC88">
            <v>-4.5454545454545456E-2</v>
          </cell>
          <cell r="AD88">
            <v>0</v>
          </cell>
          <cell r="AF88">
            <v>7.575757575757576E-3</v>
          </cell>
          <cell r="AG88">
            <v>2.7777777777777776E-2</v>
          </cell>
          <cell r="AH88">
            <v>0.04</v>
          </cell>
          <cell r="AI88">
            <v>0.1</v>
          </cell>
          <cell r="AK88">
            <v>7.8385263570448754E-2</v>
          </cell>
          <cell r="AL88">
            <v>0.12389928757909642</v>
          </cell>
          <cell r="AM88">
            <v>0.11164377772667322</v>
          </cell>
          <cell r="AN88">
            <v>0.12993911298996044</v>
          </cell>
          <cell r="AP88">
            <v>0.12283044058744992</v>
          </cell>
          <cell r="AQ88">
            <v>0.12250332889480692</v>
          </cell>
          <cell r="AR88">
            <v>0.10761154855643043</v>
          </cell>
          <cell r="AS88">
            <v>0.14975369458128079</v>
          </cell>
          <cell r="AU88">
            <v>0.10126582278481013</v>
          </cell>
          <cell r="AV88">
            <v>2.7972027972027972E-2</v>
          </cell>
          <cell r="AW88">
            <v>3.9393939393939398E-2</v>
          </cell>
          <cell r="AX88">
            <v>9.0154211150652433E-2</v>
          </cell>
          <cell r="AZ88">
            <v>8.0058224163027658E-2</v>
          </cell>
          <cell r="BA88">
            <v>0.05</v>
          </cell>
          <cell r="BB88">
            <v>6.7453625632377737E-2</v>
          </cell>
          <cell r="BC88">
            <v>0.15558343789209536</v>
          </cell>
          <cell r="BE88">
            <v>8.5798816568047345E-2</v>
          </cell>
          <cell r="BF88">
            <v>5.9001512859304085E-2</v>
          </cell>
          <cell r="BG88">
            <v>6.9767441860465115E-2</v>
          </cell>
          <cell r="BH88">
            <v>0.14893617021276595</v>
          </cell>
          <cell r="BJ88">
            <v>8.8607594936708861E-2</v>
          </cell>
          <cell r="BK88">
            <v>9.6385542168674704E-2</v>
          </cell>
          <cell r="BL88">
            <v>0.12099999999999995</v>
          </cell>
          <cell r="BM88">
            <v>0.14599999999999999</v>
          </cell>
          <cell r="BO88">
            <v>0.15607142857142861</v>
          </cell>
          <cell r="BP88">
            <v>0.14605504587155962</v>
          </cell>
          <cell r="BQ88">
            <v>0.17285714285714285</v>
          </cell>
          <cell r="BR88">
            <v>0.13907792207792205</v>
          </cell>
          <cell r="BT88">
            <v>0.18599999999999997</v>
          </cell>
          <cell r="BU88">
            <v>0.16247286821705423</v>
          </cell>
          <cell r="BV88">
            <v>0.15196899224806196</v>
          </cell>
          <cell r="BW88">
            <v>0.17859036144578311</v>
          </cell>
          <cell r="BY88">
            <v>0.1740597014925373</v>
          </cell>
          <cell r="BZ88">
            <v>0.16421167883211679</v>
          </cell>
          <cell r="CA88">
            <v>0.16988888888888887</v>
          </cell>
          <cell r="CB88">
            <v>0.25677664974619291</v>
          </cell>
          <cell r="CD88">
            <v>0.17434210526315785</v>
          </cell>
          <cell r="CE88">
            <v>0.17299999999999999</v>
          </cell>
          <cell r="CF88">
            <v>0.18343195266272189</v>
          </cell>
          <cell r="CG88">
            <v>0.23845575221238927</v>
          </cell>
          <cell r="CI88">
            <v>0.17426744186046508</v>
          </cell>
          <cell r="CJ88">
            <v>0.17238650306748465</v>
          </cell>
          <cell r="CK88">
            <v>0.17564999999999995</v>
          </cell>
          <cell r="CL88">
            <v>0.22871893345401695</v>
          </cell>
        </row>
        <row r="89">
          <cell r="A89" t="str">
            <v xml:space="preserve">  Germany</v>
          </cell>
          <cell r="B89">
            <v>-12.8</v>
          </cell>
          <cell r="C89">
            <v>-2.7174376011585313</v>
          </cell>
          <cell r="D89">
            <v>-0.54734411085450363</v>
          </cell>
          <cell r="E89">
            <v>-0.18903036238981391</v>
          </cell>
          <cell r="F89">
            <v>-8.7209302325581342E-2</v>
          </cell>
          <cell r="G89">
            <v>-3.5389282103134481E-2</v>
          </cell>
          <cell r="H89">
            <v>2.1778584392014518E-2</v>
          </cell>
          <cell r="I89">
            <v>0.120013986013986</v>
          </cell>
          <cell r="J89">
            <v>0.14998444790046656</v>
          </cell>
          <cell r="K89">
            <v>0.16596798975672214</v>
          </cell>
          <cell r="L89">
            <v>0.18606132075471699</v>
          </cell>
          <cell r="M89">
            <v>0.17287931034482759</v>
          </cell>
          <cell r="N89">
            <v>0.16316452564414544</v>
          </cell>
          <cell r="O89">
            <v>0.15830422561245436</v>
          </cell>
          <cell r="P89">
            <v>0.16524661096029894</v>
          </cell>
          <cell r="Q89">
            <v>0.16718624943793584</v>
          </cell>
          <cell r="R89">
            <v>0.16662312751398475</v>
          </cell>
          <cell r="S89">
            <v>0.16605723159040833</v>
          </cell>
          <cell r="T89">
            <v>0.16548854800218374</v>
          </cell>
          <cell r="U89">
            <v>0.16491706301697284</v>
          </cell>
          <cell r="V89">
            <v>0.16434276283479046</v>
          </cell>
          <cell r="W89">
            <v>0.1637656335876711</v>
          </cell>
          <cell r="X89">
            <v>0.16318566133933451</v>
          </cell>
          <cell r="Z89" t="str">
            <v xml:space="preserve">  Germany</v>
          </cell>
          <cell r="AA89" t="str">
            <v>NA</v>
          </cell>
          <cell r="AB89" t="str">
            <v>NA</v>
          </cell>
          <cell r="AC89" t="str">
            <v>NA</v>
          </cell>
          <cell r="AD89">
            <v>-12</v>
          </cell>
          <cell r="AF89">
            <v>-7.0866141732283463</v>
          </cell>
          <cell r="AG89">
            <v>-4.1714285714285717</v>
          </cell>
          <cell r="AH89">
            <v>-2.1724137931034484</v>
          </cell>
          <cell r="AI89">
            <v>-1.9354838709677418</v>
          </cell>
          <cell r="AK89">
            <v>-0.7067282525019245</v>
          </cell>
          <cell r="AL89">
            <v>-0.82246365026184831</v>
          </cell>
          <cell r="AM89">
            <v>-0.55660708906516732</v>
          </cell>
          <cell r="AN89">
            <v>-0.33317529021305231</v>
          </cell>
          <cell r="AP89">
            <v>-0.18807339449541283</v>
          </cell>
          <cell r="AQ89">
            <v>-0.18552036199095021</v>
          </cell>
          <cell r="AR89">
            <v>-0.13749999999999998</v>
          </cell>
          <cell r="AS89">
            <v>-0.22807017543859648</v>
          </cell>
          <cell r="AU89">
            <v>-8.0924855491329467E-2</v>
          </cell>
          <cell r="AV89">
            <v>-0.15824915824915825</v>
          </cell>
          <cell r="AW89">
            <v>-0.10029498525073746</v>
          </cell>
          <cell r="AX89">
            <v>-2.7918781725888329E-2</v>
          </cell>
          <cell r="AZ89">
            <v>-1.735357917570499E-2</v>
          </cell>
          <cell r="BA89">
            <v>-6.4593301435406703E-2</v>
          </cell>
          <cell r="BB89">
            <v>-5.458515283842795E-2</v>
          </cell>
          <cell r="BC89">
            <v>-1.5600624024960999E-2</v>
          </cell>
          <cell r="BE89">
            <v>8.2644628099173556E-3</v>
          </cell>
          <cell r="BF89">
            <v>0</v>
          </cell>
          <cell r="BG89">
            <v>7.6335877862595417E-3</v>
          </cell>
          <cell r="BH89">
            <v>5.7471264367816091E-2</v>
          </cell>
          <cell r="BJ89">
            <v>6.3157894736842107E-2</v>
          </cell>
          <cell r="BK89">
            <v>7.0000000000000007E-2</v>
          </cell>
          <cell r="BL89">
            <v>0.13199999999999998</v>
          </cell>
          <cell r="BM89">
            <v>0.18999999999999997</v>
          </cell>
          <cell r="BO89">
            <v>0.15322580645161291</v>
          </cell>
          <cell r="BP89">
            <v>0.15289473684210525</v>
          </cell>
          <cell r="BQ89">
            <v>0.14275862068965514</v>
          </cell>
          <cell r="BR89">
            <v>0.15052356020942409</v>
          </cell>
          <cell r="BT89">
            <v>0.18275257731958763</v>
          </cell>
          <cell r="BU89">
            <v>0.16208108108108105</v>
          </cell>
          <cell r="BV89">
            <v>0.14178651685393259</v>
          </cell>
          <cell r="BW89">
            <v>0.17385714285714288</v>
          </cell>
          <cell r="BY89">
            <v>0.16792307692307695</v>
          </cell>
          <cell r="BZ89">
            <v>0.15942105263157891</v>
          </cell>
          <cell r="CA89">
            <v>0.1714455445544554</v>
          </cell>
          <cell r="CB89">
            <v>0.23031800766283539</v>
          </cell>
          <cell r="CD89">
            <v>0.16244186046511627</v>
          </cell>
          <cell r="CE89">
            <v>0.15333333333333332</v>
          </cell>
          <cell r="CF89">
            <v>0.15551546391752577</v>
          </cell>
          <cell r="CG89">
            <v>0.20893536121673001</v>
          </cell>
          <cell r="CI89">
            <v>0.15316265060240961</v>
          </cell>
          <cell r="CJ89">
            <v>0.14156250000000004</v>
          </cell>
          <cell r="CK89">
            <v>0.14372270742358076</v>
          </cell>
          <cell r="CL89">
            <v>0.20521354009113549</v>
          </cell>
        </row>
        <row r="90">
          <cell r="A90" t="str">
            <v xml:space="preserve">  Italy</v>
          </cell>
          <cell r="K90" t="str">
            <v>--</v>
          </cell>
          <cell r="L90" t="str">
            <v>--</v>
          </cell>
          <cell r="M90" t="str">
            <v>--</v>
          </cell>
          <cell r="N90" t="str">
            <v>--</v>
          </cell>
          <cell r="O90" t="str">
            <v>--</v>
          </cell>
          <cell r="P90">
            <v>-0.10468531468531472</v>
          </cell>
          <cell r="Q90">
            <v>-4.3762640000263781E-2</v>
          </cell>
          <cell r="R90">
            <v>-9.7842181820578765E-3</v>
          </cell>
          <cell r="S90">
            <v>1.6944913319015906E-2</v>
          </cell>
          <cell r="T90">
            <v>3.8823586574216161E-2</v>
          </cell>
          <cell r="U90">
            <v>5.737195713268127E-2</v>
          </cell>
          <cell r="V90">
            <v>7.3586599871133668E-2</v>
          </cell>
          <cell r="W90">
            <v>8.4307378515663764E-2</v>
          </cell>
          <cell r="X90">
            <v>8.986153253947933E-2</v>
          </cell>
          <cell r="Z90" t="str">
            <v xml:space="preserve">  Italy</v>
          </cell>
          <cell r="CD90" t="str">
            <v>--</v>
          </cell>
          <cell r="CE90" t="str">
            <v>--</v>
          </cell>
          <cell r="CF90" t="str">
            <v>--</v>
          </cell>
          <cell r="CG90" t="str">
            <v>--</v>
          </cell>
          <cell r="CI90" t="str">
            <v>--</v>
          </cell>
          <cell r="CJ90" t="str">
            <v>--</v>
          </cell>
          <cell r="CK90" t="str">
            <v>--</v>
          </cell>
          <cell r="CL90" t="str">
            <v>--</v>
          </cell>
        </row>
        <row r="91">
          <cell r="A91" t="str">
            <v xml:space="preserve">  Japan</v>
          </cell>
          <cell r="B91" t="str">
            <v>NA</v>
          </cell>
          <cell r="C91" t="str">
            <v>NA</v>
          </cell>
          <cell r="D91">
            <v>1.3698630136986302E-2</v>
          </cell>
          <cell r="E91">
            <v>0.10189573459715638</v>
          </cell>
          <cell r="F91">
            <v>-2.9978586723768734E-2</v>
          </cell>
          <cell r="G91">
            <v>-0.29718875502008035</v>
          </cell>
          <cell r="H91">
            <v>-2.1260997067448682E-2</v>
          </cell>
          <cell r="I91">
            <v>0.1235551020408165</v>
          </cell>
          <cell r="J91">
            <v>0.19803365384615379</v>
          </cell>
          <cell r="K91">
            <v>0.21671102661596964</v>
          </cell>
          <cell r="L91">
            <v>0.23351822503961969</v>
          </cell>
          <cell r="M91">
            <v>0.2018366013071895</v>
          </cell>
          <cell r="N91">
            <v>0.18561199623192476</v>
          </cell>
          <cell r="O91">
            <v>0.18495705804077367</v>
          </cell>
          <cell r="P91">
            <v>0.18750659731224331</v>
          </cell>
          <cell r="Q91">
            <v>0.18863792957501679</v>
          </cell>
          <cell r="R91">
            <v>0.19213683576726887</v>
          </cell>
          <cell r="S91">
            <v>0.19487341044277326</v>
          </cell>
          <cell r="T91">
            <v>0.19712436750313364</v>
          </cell>
          <cell r="U91">
            <v>0.19894754086876482</v>
          </cell>
          <cell r="V91">
            <v>0.20038688826268422</v>
          </cell>
          <cell r="W91">
            <v>0.20147533756288091</v>
          </cell>
          <cell r="X91">
            <v>0.2022367711675841</v>
          </cell>
          <cell r="Z91" t="str">
            <v xml:space="preserve">  Japan</v>
          </cell>
          <cell r="AA91" t="str">
            <v>NA</v>
          </cell>
          <cell r="AB91" t="str">
            <v>NA</v>
          </cell>
          <cell r="AC91" t="str">
            <v>NA</v>
          </cell>
          <cell r="AD91" t="str">
            <v>NA</v>
          </cell>
          <cell r="AF91" t="str">
            <v>NA</v>
          </cell>
          <cell r="AG91" t="str">
            <v>NA</v>
          </cell>
          <cell r="AH91" t="str">
            <v>NA</v>
          </cell>
          <cell r="AI91" t="str">
            <v>NA</v>
          </cell>
          <cell r="AK91">
            <v>-4.4444444444444446E-2</v>
          </cell>
          <cell r="AL91">
            <v>0.16666666666666666</v>
          </cell>
          <cell r="AM91">
            <v>3.7735849056603779E-2</v>
          </cell>
          <cell r="AN91">
            <v>-0.17948717948717949</v>
          </cell>
          <cell r="AP91">
            <v>0.14423076923076922</v>
          </cell>
          <cell r="AQ91">
            <v>9.375E-2</v>
          </cell>
          <cell r="AR91">
            <v>5.4347826086956527E-2</v>
          </cell>
          <cell r="AS91">
            <v>0.11538461538461539</v>
          </cell>
          <cell r="AU91" t="str">
            <v>NA</v>
          </cell>
          <cell r="AV91">
            <v>6.9565217391304349E-2</v>
          </cell>
          <cell r="AW91">
            <v>-0.1212121212121212</v>
          </cell>
          <cell r="AX91">
            <v>-6.8493150684931503E-2</v>
          </cell>
          <cell r="AZ91">
            <v>-0.18439716312056739</v>
          </cell>
          <cell r="BA91">
            <v>-0.53731343283582089</v>
          </cell>
          <cell r="BB91">
            <v>-0.33333333333333331</v>
          </cell>
          <cell r="BC91">
            <v>-0.22368421052631579</v>
          </cell>
          <cell r="BE91">
            <v>-0.18723404255319151</v>
          </cell>
          <cell r="BF91">
            <v>-9.0909090909090912E-2</v>
          </cell>
          <cell r="BG91">
            <v>2.6809651474530836E-3</v>
          </cell>
          <cell r="BH91">
            <v>8.5106382978723402E-2</v>
          </cell>
          <cell r="BJ91">
            <v>0.125</v>
          </cell>
          <cell r="BK91">
            <v>0.14285714285714285</v>
          </cell>
          <cell r="BL91">
            <v>6.4359374999999996E-2</v>
          </cell>
          <cell r="BM91">
            <v>0.15472941176470639</v>
          </cell>
          <cell r="BO91">
            <v>0.19964285714285693</v>
          </cell>
          <cell r="BP91">
            <v>0.18204081632653066</v>
          </cell>
          <cell r="BQ91">
            <v>0.20330097087378637</v>
          </cell>
          <cell r="BR91">
            <v>0.20482442748091598</v>
          </cell>
          <cell r="BT91">
            <v>0.194486956521739</v>
          </cell>
          <cell r="BU91">
            <v>0.19126717557251896</v>
          </cell>
          <cell r="BV91">
            <v>0.20277519379844974</v>
          </cell>
          <cell r="BW91">
            <v>0.2676158940397349</v>
          </cell>
          <cell r="BY91">
            <v>0.30384782608695637</v>
          </cell>
          <cell r="BZ91">
            <v>0.25897546012269951</v>
          </cell>
          <cell r="CA91">
            <v>0.21733333333333332</v>
          </cell>
          <cell r="CB91">
            <v>0.16840229885057451</v>
          </cell>
          <cell r="CD91">
            <v>0.27674825174825168</v>
          </cell>
          <cell r="CE91">
            <v>0.21827814569536411</v>
          </cell>
          <cell r="CF91">
            <v>0.16664429530201333</v>
          </cell>
          <cell r="CG91">
            <v>0.154786982248521</v>
          </cell>
          <cell r="CI91">
            <v>0.22552678571428583</v>
          </cell>
          <cell r="CJ91">
            <v>0.21342487046632111</v>
          </cell>
          <cell r="CK91">
            <v>0.16750558659217873</v>
          </cell>
          <cell r="CL91">
            <v>0.14323781825167317</v>
          </cell>
        </row>
        <row r="92">
          <cell r="A92" t="str">
            <v>Total EBITDA Margins</v>
          </cell>
          <cell r="B92">
            <v>0.16368190819933232</v>
          </cell>
          <cell r="C92">
            <v>0.16216086434573831</v>
          </cell>
          <cell r="D92">
            <v>0.16222579319107591</v>
          </cell>
          <cell r="E92">
            <v>0.17026583317547514</v>
          </cell>
          <cell r="F92">
            <v>0.17511807460618231</v>
          </cell>
          <cell r="G92">
            <v>0.18438720547315754</v>
          </cell>
          <cell r="H92">
            <v>0.19590029218407601</v>
          </cell>
          <cell r="I92">
            <v>0.20699529556146448</v>
          </cell>
          <cell r="J92">
            <v>0.21628275013187975</v>
          </cell>
          <cell r="K92">
            <v>0.21873557914167047</v>
          </cell>
          <cell r="L92">
            <v>0.23197625106022052</v>
          </cell>
          <cell r="M92">
            <v>0.22400973367581453</v>
          </cell>
          <cell r="N92">
            <v>0.20840096621953758</v>
          </cell>
          <cell r="O92">
            <v>0.19936448604174214</v>
          </cell>
          <cell r="P92">
            <v>0.20162382099702783</v>
          </cell>
          <cell r="Q92">
            <v>0.205108420965077</v>
          </cell>
          <cell r="R92">
            <v>0.20592202088624756</v>
          </cell>
          <cell r="S92">
            <v>0.20646462136578733</v>
          </cell>
          <cell r="T92">
            <v>0.20685292018124296</v>
          </cell>
          <cell r="U92">
            <v>0.20714811114743245</v>
          </cell>
          <cell r="V92">
            <v>0.2073737762329346</v>
          </cell>
          <cell r="W92">
            <v>0.20739976224938658</v>
          </cell>
          <cell r="X92">
            <v>0.20728141793642066</v>
          </cell>
          <cell r="Z92" t="str">
            <v>Total EBITDA Margins</v>
          </cell>
          <cell r="AA92">
            <v>0.16091717437866321</v>
          </cell>
          <cell r="AB92">
            <v>0.16531131006880778</v>
          </cell>
          <cell r="AC92">
            <v>0.16087852956802776</v>
          </cell>
          <cell r="AD92">
            <v>0.16767372495446267</v>
          </cell>
          <cell r="AF92">
            <v>0.16489472587033566</v>
          </cell>
          <cell r="AG92">
            <v>0.1614282659824674</v>
          </cell>
          <cell r="AH92">
            <v>0.15552384834896046</v>
          </cell>
          <cell r="AI92">
            <v>0.16570985259891388</v>
          </cell>
          <cell r="AK92">
            <v>0.15678217142393133</v>
          </cell>
          <cell r="AL92">
            <v>0.15722102410369962</v>
          </cell>
          <cell r="AM92">
            <v>0.1625458428586688</v>
          </cell>
          <cell r="AN92">
            <v>0.16985110137592555</v>
          </cell>
          <cell r="AP92">
            <v>0.18122663713138584</v>
          </cell>
          <cell r="AQ92">
            <v>0.17280614421846111</v>
          </cell>
          <cell r="AR92">
            <v>0.16677758551843472</v>
          </cell>
          <cell r="AS92">
            <v>0.1632179267184819</v>
          </cell>
          <cell r="AU92">
            <v>0.17637028014616318</v>
          </cell>
          <cell r="AV92">
            <v>0.17376070594342075</v>
          </cell>
          <cell r="AW92">
            <v>0.16981592100451057</v>
          </cell>
          <cell r="AX92">
            <v>0.1790035587188612</v>
          </cell>
          <cell r="AZ92">
            <v>0.19536199095022622</v>
          </cell>
          <cell r="BA92">
            <v>0.18242009132420095</v>
          </cell>
          <cell r="BB92">
            <v>0.17171265780359737</v>
          </cell>
          <cell r="BC92">
            <v>0.18705434954840752</v>
          </cell>
          <cell r="BE92">
            <v>0.19355812783090087</v>
          </cell>
          <cell r="BF92">
            <v>0.19557566616390146</v>
          </cell>
          <cell r="BG92">
            <v>0.18323779403044083</v>
          </cell>
          <cell r="BH92">
            <v>0.20709630702389573</v>
          </cell>
          <cell r="BJ92">
            <v>0.19868173258003766</v>
          </cell>
          <cell r="BK92">
            <v>0.1989100817438692</v>
          </cell>
          <cell r="BL92">
            <v>0.20294882914137033</v>
          </cell>
          <cell r="BM92">
            <v>0.22123331214240305</v>
          </cell>
          <cell r="BO92">
            <v>0.21044427123928294</v>
          </cell>
          <cell r="BP92">
            <v>0.2156710628394104</v>
          </cell>
          <cell r="BQ92">
            <v>0.20975232198142416</v>
          </cell>
          <cell r="BR92">
            <v>0.22545255074053758</v>
          </cell>
          <cell r="BT92">
            <v>0.22062841530054644</v>
          </cell>
          <cell r="BU92">
            <v>0.21906693711967545</v>
          </cell>
          <cell r="BV92">
            <v>0.20745762711864407</v>
          </cell>
          <cell r="BW92">
            <v>0.22515602496399423</v>
          </cell>
          <cell r="BY92">
            <v>0.22829581993569131</v>
          </cell>
          <cell r="BZ92">
            <v>0.23190184049079754</v>
          </cell>
          <cell r="CA92">
            <v>0.22141560798548093</v>
          </cell>
          <cell r="CB92">
            <v>0.24239713774597496</v>
          </cell>
          <cell r="CD92">
            <v>0.22505938242280285</v>
          </cell>
          <cell r="CE92">
            <v>0.2262256349675133</v>
          </cell>
          <cell r="CF92">
            <v>0.21589561091340451</v>
          </cell>
          <cell r="CG92">
            <v>0.22750642673521851</v>
          </cell>
          <cell r="CI92">
            <v>0.21926345609065157</v>
          </cell>
          <cell r="CJ92">
            <v>0.21976149914821125</v>
          </cell>
          <cell r="CK92">
            <v>0.19012797074954296</v>
          </cell>
          <cell r="CL92">
            <v>0.20420771266447235</v>
          </cell>
        </row>
        <row r="94">
          <cell r="A94" t="str">
            <v>EBITDA Growth</v>
          </cell>
          <cell r="Z94" t="str">
            <v>EBITDA Growth</v>
          </cell>
        </row>
        <row r="95">
          <cell r="A95" t="str">
            <v xml:space="preserve">  Domestic</v>
          </cell>
          <cell r="C95">
            <v>0.16505872757733564</v>
          </cell>
          <cell r="D95">
            <v>0.18321562110510992</v>
          </cell>
          <cell r="E95">
            <v>0.19967228464419473</v>
          </cell>
          <cell r="F95">
            <v>0.19492682926829263</v>
          </cell>
          <cell r="G95">
            <v>0.18615284128020915</v>
          </cell>
          <cell r="H95">
            <v>0.13794052863436113</v>
          </cell>
          <cell r="I95">
            <v>7.3070408903943784E-2</v>
          </cell>
          <cell r="J95">
            <v>0.10146561443066537</v>
          </cell>
          <cell r="K95">
            <v>0.1095189355168884</v>
          </cell>
          <cell r="L95">
            <v>0.12084870848708484</v>
          </cell>
          <cell r="M95">
            <v>2.3868312757201915E-2</v>
          </cell>
          <cell r="N95">
            <v>-0.11409409905186207</v>
          </cell>
          <cell r="O95">
            <v>-9.6102729906717643E-2</v>
          </cell>
          <cell r="P95">
            <v>2.9325507217219826E-2</v>
          </cell>
          <cell r="Q95">
            <v>8.2966359923881905E-2</v>
          </cell>
          <cell r="R95">
            <v>3.6458287439896875E-2</v>
          </cell>
          <cell r="S95">
            <v>3.6854097479517067E-2</v>
          </cell>
          <cell r="T95">
            <v>3.5767566185916033E-2</v>
          </cell>
          <cell r="U95">
            <v>3.4080965881013059E-2</v>
          </cell>
          <cell r="V95">
            <v>3.3334714036258095E-2</v>
          </cell>
          <cell r="W95">
            <v>3.21640811053725E-2</v>
          </cell>
          <cell r="X95">
            <v>3.3111395534634047E-2</v>
          </cell>
          <cell r="Z95" t="str">
            <v xml:space="preserve">  Domestic</v>
          </cell>
          <cell r="AF95">
            <v>0.1596823326843726</v>
          </cell>
          <cell r="AG95">
            <v>0.20156221306789845</v>
          </cell>
          <cell r="AH95">
            <v>0.15151120324903466</v>
          </cell>
          <cell r="AI95">
            <v>0.15345929428382377</v>
          </cell>
          <cell r="AK95">
            <v>0.13564298297122712</v>
          </cell>
          <cell r="AL95">
            <v>0.10635696821515905</v>
          </cell>
          <cell r="AM95">
            <v>0.2617283950617284</v>
          </cell>
          <cell r="AN95">
            <v>0.21839080459770122</v>
          </cell>
          <cell r="AP95">
            <v>0.28541882109617367</v>
          </cell>
          <cell r="AQ95">
            <v>0.27624309392265189</v>
          </cell>
          <cell r="AR95">
            <v>0.17318982387475534</v>
          </cell>
          <cell r="AS95">
            <v>0.10885341074020327</v>
          </cell>
          <cell r="AU95">
            <v>0.12308930008045049</v>
          </cell>
          <cell r="AV95">
            <v>0.17575757575757578</v>
          </cell>
          <cell r="AW95">
            <v>0.17848206839032521</v>
          </cell>
          <cell r="AX95">
            <v>0.28075916230366471</v>
          </cell>
          <cell r="AZ95">
            <v>0.22206303724928378</v>
          </cell>
          <cell r="BA95">
            <v>0.22606774668630325</v>
          </cell>
          <cell r="BB95">
            <v>0.11677282377919318</v>
          </cell>
          <cell r="BC95">
            <v>0.18293306080735827</v>
          </cell>
          <cell r="BE95">
            <v>0.11606096131301302</v>
          </cell>
          <cell r="BF95">
            <v>0.16036036036036028</v>
          </cell>
          <cell r="BG95">
            <v>0.14068441064638781</v>
          </cell>
          <cell r="BH95">
            <v>0.13606911447084236</v>
          </cell>
          <cell r="BJ95">
            <v>1.3655462184873901E-2</v>
          </cell>
          <cell r="BK95">
            <v>1.449275362318847E-2</v>
          </cell>
          <cell r="BL95">
            <v>0.14444444444444438</v>
          </cell>
          <cell r="BM95">
            <v>0.11026615969581743</v>
          </cell>
          <cell r="BO95">
            <v>9.8445595854922185E-2</v>
          </cell>
          <cell r="BP95">
            <v>0.12755102040816335</v>
          </cell>
          <cell r="BQ95">
            <v>1.9417475728155331E-2</v>
          </cell>
          <cell r="BR95">
            <v>0.14383561643835607</v>
          </cell>
          <cell r="BT95">
            <v>0.1367924528301887</v>
          </cell>
          <cell r="BU95">
            <v>0.12217194570135748</v>
          </cell>
          <cell r="BV95">
            <v>0.11904761904761907</v>
          </cell>
          <cell r="BW95">
            <v>7.7844311377245567E-2</v>
          </cell>
          <cell r="BY95">
            <v>6.639004149377592E-2</v>
          </cell>
          <cell r="BZ95">
            <v>0.1411290322580645</v>
          </cell>
          <cell r="CA95">
            <v>0.16170212765957448</v>
          </cell>
          <cell r="CB95">
            <v>0.1166666666666667</v>
          </cell>
          <cell r="CD95">
            <v>8.171206225680927E-2</v>
          </cell>
          <cell r="CE95">
            <v>3.180212014134276E-2</v>
          </cell>
          <cell r="CF95">
            <v>1.831501831501825E-2</v>
          </cell>
          <cell r="CG95">
            <v>-1.4925373134328401E-2</v>
          </cell>
          <cell r="CI95">
            <v>1.0791366906474753E-2</v>
          </cell>
          <cell r="CJ95">
            <v>-2.0547945205479423E-2</v>
          </cell>
          <cell r="CK95">
            <v>-0.20503597122302153</v>
          </cell>
          <cell r="CL95">
            <v>-0.20690166469827342</v>
          </cell>
        </row>
        <row r="96">
          <cell r="A96" t="str">
            <v xml:space="preserve">  United Kingdom</v>
          </cell>
          <cell r="C96" t="str">
            <v>NA</v>
          </cell>
          <cell r="D96">
            <v>2.5438596491228087</v>
          </cell>
          <cell r="E96">
            <v>0.37953795379537936</v>
          </cell>
          <cell r="F96">
            <v>-0.51674641148325362</v>
          </cell>
          <cell r="G96">
            <v>0.24257425742574279</v>
          </cell>
          <cell r="H96">
            <v>0.13545816733067717</v>
          </cell>
          <cell r="I96">
            <v>0.51729824561403492</v>
          </cell>
          <cell r="J96">
            <v>0.71537589898943232</v>
          </cell>
          <cell r="K96">
            <v>0.27246622987947844</v>
          </cell>
          <cell r="L96">
            <v>0.28055175920923037</v>
          </cell>
          <cell r="M96">
            <v>0.15058327128319648</v>
          </cell>
          <cell r="N96">
            <v>-4.791079629186612E-2</v>
          </cell>
          <cell r="O96">
            <v>-0.19398714973039521</v>
          </cell>
          <cell r="P96">
            <v>3.9363604177111933E-2</v>
          </cell>
          <cell r="Q96">
            <v>3.2166621809487372E-2</v>
          </cell>
          <cell r="R96">
            <v>4.5767812223791671E-2</v>
          </cell>
          <cell r="S96">
            <v>2.7585248156089204E-2</v>
          </cell>
          <cell r="T96">
            <v>8.0348205419016328E-3</v>
          </cell>
          <cell r="U96">
            <v>7.9877546243034558E-3</v>
          </cell>
          <cell r="V96">
            <v>7.9399404760269743E-3</v>
          </cell>
          <cell r="W96">
            <v>7.8913616296460987E-3</v>
          </cell>
          <cell r="X96">
            <v>7.8420011349382701E-3</v>
          </cell>
          <cell r="Z96" t="str">
            <v xml:space="preserve">  United Kingdom</v>
          </cell>
          <cell r="AF96" t="str">
            <v>NA</v>
          </cell>
          <cell r="AG96" t="str">
            <v>NA</v>
          </cell>
          <cell r="AH96" t="str">
            <v>NA</v>
          </cell>
          <cell r="AI96" t="str">
            <v>NA</v>
          </cell>
          <cell r="AK96" t="str">
            <v>NA</v>
          </cell>
          <cell r="AL96" t="str">
            <v>NA</v>
          </cell>
          <cell r="AM96" t="str">
            <v>NA</v>
          </cell>
          <cell r="AN96" t="str">
            <v>NA</v>
          </cell>
          <cell r="AP96">
            <v>1.0909090909090904</v>
          </cell>
          <cell r="AQ96">
            <v>0.19480519480519476</v>
          </cell>
          <cell r="AR96">
            <v>0.15492957746478875</v>
          </cell>
          <cell r="AS96">
            <v>0.36936936936936937</v>
          </cell>
          <cell r="AU96">
            <v>-0.13043478260869557</v>
          </cell>
          <cell r="AV96">
            <v>-0.78260869565217384</v>
          </cell>
          <cell r="AW96">
            <v>-0.68292682926829262</v>
          </cell>
          <cell r="AX96">
            <v>-0.5</v>
          </cell>
          <cell r="AZ96">
            <v>-0.3125</v>
          </cell>
          <cell r="BA96">
            <v>0.60000000000000009</v>
          </cell>
          <cell r="BB96">
            <v>0.53846153846153832</v>
          </cell>
          <cell r="BC96">
            <v>0.63157894736842124</v>
          </cell>
          <cell r="BE96">
            <v>5.4545454545454453E-2</v>
          </cell>
          <cell r="BF96">
            <v>0.21875</v>
          </cell>
          <cell r="BG96">
            <v>0.19999999999999996</v>
          </cell>
          <cell r="BH96">
            <v>0.12903225806451601</v>
          </cell>
          <cell r="BJ96">
            <v>0.2068965517241379</v>
          </cell>
          <cell r="BK96">
            <v>1.0512820512820515</v>
          </cell>
          <cell r="BL96">
            <v>1.1427083333333328</v>
          </cell>
          <cell r="BM96">
            <v>0.2827142857142857</v>
          </cell>
          <cell r="BO96">
            <v>1.4971428571428578</v>
          </cell>
          <cell r="BP96">
            <v>0.99</v>
          </cell>
          <cell r="BQ96">
            <v>0.88235294117647123</v>
          </cell>
          <cell r="BR96">
            <v>0.19267178973159571</v>
          </cell>
          <cell r="BT96">
            <v>0.38329519450800853</v>
          </cell>
          <cell r="BU96">
            <v>0.31652010050251222</v>
          </cell>
          <cell r="BV96">
            <v>1.2603305785123586E-2</v>
          </cell>
          <cell r="BW96">
            <v>0.38416285367447967</v>
          </cell>
          <cell r="BY96">
            <v>-3.54011579818031E-2</v>
          </cell>
          <cell r="BZ96">
            <v>7.3381363614676509E-2</v>
          </cell>
          <cell r="CA96">
            <v>0.24790859008365684</v>
          </cell>
          <cell r="CB96">
            <v>0.70630101868717543</v>
          </cell>
          <cell r="CD96">
            <v>0.13616875321557176</v>
          </cell>
          <cell r="CE96">
            <v>0.23038627372538567</v>
          </cell>
          <cell r="CF96">
            <v>0.26716808371484646</v>
          </cell>
          <cell r="CG96">
            <v>6.5355342492833479E-2</v>
          </cell>
          <cell r="CI96">
            <v>0.13109433962264161</v>
          </cell>
          <cell r="CJ96">
            <v>1.5137283236994037E-2</v>
          </cell>
          <cell r="CK96">
            <v>-9.3419354838709889E-2</v>
          </cell>
          <cell r="CL96">
            <v>-0.14213880520135325</v>
          </cell>
        </row>
        <row r="97">
          <cell r="A97" t="str">
            <v xml:space="preserve">  Germany</v>
          </cell>
          <cell r="C97" t="str">
            <v>NA</v>
          </cell>
          <cell r="D97" t="str">
            <v>NA</v>
          </cell>
          <cell r="E97" t="str">
            <v>NA</v>
          </cell>
          <cell r="F97" t="str">
            <v>NA</v>
          </cell>
          <cell r="G97" t="str">
            <v>NA</v>
          </cell>
          <cell r="H97" t="str">
            <v>NA</v>
          </cell>
          <cell r="I97">
            <v>7.5809999999999977</v>
          </cell>
          <cell r="J97">
            <v>0.8731305597638197</v>
          </cell>
          <cell r="K97">
            <v>0.34405848195769373</v>
          </cell>
          <cell r="L97">
            <v>0.21724103347451429</v>
          </cell>
          <cell r="M97">
            <v>-4.6742299404233689E-2</v>
          </cell>
          <cell r="N97">
            <v>6.5507967876249573E-2</v>
          </cell>
          <cell r="O97">
            <v>-0.16090807160525822</v>
          </cell>
          <cell r="P97">
            <v>5.9512527071216015E-2</v>
          </cell>
          <cell r="Q97">
            <v>2.6913908813987142E-2</v>
          </cell>
          <cell r="R97">
            <v>1.1581245438952559E-2</v>
          </cell>
          <cell r="S97">
            <v>1.1552793294665076E-2</v>
          </cell>
          <cell r="T97">
            <v>1.1524006593873093E-2</v>
          </cell>
          <cell r="U97">
            <v>1.1494879754571086E-2</v>
          </cell>
          <cell r="V97">
            <v>1.1465407070369915E-2</v>
          </cell>
          <cell r="W97">
            <v>1.1435582707009617E-2</v>
          </cell>
          <cell r="X97">
            <v>1.1405400698758283E-2</v>
          </cell>
          <cell r="Z97" t="str">
            <v xml:space="preserve">  Germany</v>
          </cell>
          <cell r="AF97" t="str">
            <v>NA</v>
          </cell>
          <cell r="AG97" t="str">
            <v>NA</v>
          </cell>
          <cell r="AH97" t="str">
            <v>NA</v>
          </cell>
          <cell r="AI97" t="str">
            <v>NA</v>
          </cell>
          <cell r="AK97" t="str">
            <v>NA</v>
          </cell>
          <cell r="AL97" t="str">
            <v>NA</v>
          </cell>
          <cell r="AM97" t="str">
            <v>NA</v>
          </cell>
          <cell r="AN97" t="str">
            <v>NA</v>
          </cell>
          <cell r="AP97" t="str">
            <v>NA</v>
          </cell>
          <cell r="AQ97" t="str">
            <v>NA</v>
          </cell>
          <cell r="AR97" t="str">
            <v>NA</v>
          </cell>
          <cell r="AS97" t="str">
            <v>NA</v>
          </cell>
          <cell r="AU97" t="str">
            <v>NM</v>
          </cell>
          <cell r="AV97" t="str">
            <v>NM</v>
          </cell>
          <cell r="AW97" t="str">
            <v>NM</v>
          </cell>
          <cell r="AX97" t="str">
            <v>NM</v>
          </cell>
          <cell r="AZ97" t="str">
            <v>NM</v>
          </cell>
          <cell r="BA97" t="str">
            <v>NM</v>
          </cell>
          <cell r="BB97" t="str">
            <v>NM</v>
          </cell>
          <cell r="BC97" t="str">
            <v>NM</v>
          </cell>
          <cell r="BE97" t="str">
            <v>NM</v>
          </cell>
          <cell r="BF97" t="str">
            <v>NM</v>
          </cell>
          <cell r="BG97" t="str">
            <v>NM</v>
          </cell>
          <cell r="BH97" t="str">
            <v>NM</v>
          </cell>
          <cell r="BJ97" t="str">
            <v>NM</v>
          </cell>
          <cell r="BK97" t="str">
            <v>NM</v>
          </cell>
          <cell r="BL97" t="str">
            <v>NM</v>
          </cell>
          <cell r="BM97" t="str">
            <v>NM</v>
          </cell>
          <cell r="BO97">
            <v>2.9583333333333335</v>
          </cell>
          <cell r="BP97">
            <v>2.3199999999999998</v>
          </cell>
          <cell r="BQ97">
            <v>0.52250661959399824</v>
          </cell>
          <cell r="BR97">
            <v>0.1550823623945361</v>
          </cell>
          <cell r="BT97">
            <v>0.49280000000000013</v>
          </cell>
          <cell r="BU97">
            <v>0.29023235800344205</v>
          </cell>
          <cell r="BV97">
            <v>0.21922705314009683</v>
          </cell>
          <cell r="BW97">
            <v>0.35457391304347841</v>
          </cell>
          <cell r="BY97">
            <v>-7.6408867828735683E-2</v>
          </cell>
          <cell r="BZ97">
            <v>1.0171752542938117E-2</v>
          </cell>
          <cell r="CA97">
            <v>0.37221649893018438</v>
          </cell>
          <cell r="CB97">
            <v>0.54357539030402702</v>
          </cell>
          <cell r="CD97">
            <v>6.6575049625896776E-2</v>
          </cell>
          <cell r="CE97">
            <v>2.3109937273029235E-3</v>
          </cell>
          <cell r="CF97">
            <v>-0.12884037884037858</v>
          </cell>
          <cell r="CG97">
            <v>-8.5888243807496489E-2</v>
          </cell>
          <cell r="CI97">
            <v>9.1982820329276738E-2</v>
          </cell>
          <cell r="CJ97">
            <v>4.4466403162055634E-2</v>
          </cell>
          <cell r="CK97">
            <v>9.0901557838912517E-2</v>
          </cell>
          <cell r="CL97">
            <v>4.6364438733891733E-2</v>
          </cell>
        </row>
        <row r="98">
          <cell r="A98" t="str">
            <v xml:space="preserve">  Italy</v>
          </cell>
          <cell r="K98" t="str">
            <v>--</v>
          </cell>
          <cell r="L98" t="str">
            <v>--</v>
          </cell>
          <cell r="M98" t="str">
            <v>--</v>
          </cell>
          <cell r="N98" t="str">
            <v>--</v>
          </cell>
          <cell r="O98" t="str">
            <v>--</v>
          </cell>
          <cell r="P98" t="str">
            <v>--</v>
          </cell>
          <cell r="Q98" t="str">
            <v>NA</v>
          </cell>
          <cell r="R98" t="str">
            <v>NA</v>
          </cell>
          <cell r="S98" t="str">
            <v>NA</v>
          </cell>
          <cell r="T98">
            <v>1.4684435262620346</v>
          </cell>
          <cell r="U98">
            <v>0.57090543886546974</v>
          </cell>
          <cell r="V98">
            <v>0.34967026174928861</v>
          </cell>
          <cell r="W98">
            <v>0.20366115602117429</v>
          </cell>
          <cell r="X98">
            <v>0.119813327708161</v>
          </cell>
        </row>
        <row r="99">
          <cell r="A99" t="str">
            <v xml:space="preserve">  Japan</v>
          </cell>
          <cell r="C99" t="str">
            <v>NA</v>
          </cell>
          <cell r="D99">
            <v>1.3698630136986302E-2</v>
          </cell>
          <cell r="E99">
            <v>0.10189573459715638</v>
          </cell>
          <cell r="F99" t="str">
            <v>NA</v>
          </cell>
          <cell r="G99" t="str">
            <v>NA</v>
          </cell>
          <cell r="H99" t="str">
            <v>NA</v>
          </cell>
          <cell r="I99">
            <v>0.1235551020408165</v>
          </cell>
          <cell r="J99">
            <v>1.7214826071157168</v>
          </cell>
          <cell r="K99">
            <v>0.3836760457381474</v>
          </cell>
          <cell r="L99">
            <v>0.29265725063602055</v>
          </cell>
          <cell r="M99">
            <v>-0.16169664065151035</v>
          </cell>
          <cell r="N99">
            <v>0.12463694799466607</v>
          </cell>
          <cell r="O99">
            <v>9.838179456942675E-2</v>
          </cell>
          <cell r="P99">
            <v>9.3019754687440059E-2</v>
          </cell>
          <cell r="Q99">
            <v>7.2991146075235713E-2</v>
          </cell>
          <cell r="R99">
            <v>7.6023487883448482E-2</v>
          </cell>
          <cell r="S99">
            <v>6.4255506721883959E-2</v>
          </cell>
          <cell r="T99">
            <v>5.6759845445995438E-2</v>
          </cell>
          <cell r="U99">
            <v>5.00225017415592E-2</v>
          </cell>
          <cell r="V99">
            <v>4.3861528987183762E-2</v>
          </cell>
          <cell r="W99">
            <v>3.8134729371815723E-2</v>
          </cell>
          <cell r="X99">
            <v>3.2727101127977276E-2</v>
          </cell>
          <cell r="Z99" t="str">
            <v xml:space="preserve">  Japan</v>
          </cell>
          <cell r="AF99" t="str">
            <v>NA</v>
          </cell>
          <cell r="AG99" t="str">
            <v>NA</v>
          </cell>
          <cell r="AH99" t="str">
            <v>NA</v>
          </cell>
          <cell r="AI99" t="str">
            <v>NA</v>
          </cell>
          <cell r="AK99">
            <v>-4.4444444444444446E-2</v>
          </cell>
          <cell r="AL99">
            <v>0.16666666666666666</v>
          </cell>
          <cell r="AM99">
            <v>3.7735849056603779E-2</v>
          </cell>
          <cell r="AN99">
            <v>-0.17948717948717949</v>
          </cell>
          <cell r="AP99">
            <v>0.14423076923076922</v>
          </cell>
          <cell r="AQ99">
            <v>9.375E-2</v>
          </cell>
          <cell r="AR99">
            <v>5.4347826086956527E-2</v>
          </cell>
          <cell r="AS99">
            <v>0.11538461538461539</v>
          </cell>
          <cell r="AU99" t="str">
            <v>NM</v>
          </cell>
          <cell r="AV99" t="str">
            <v>NM</v>
          </cell>
          <cell r="AW99" t="str">
            <v>NM</v>
          </cell>
          <cell r="AX99" t="str">
            <v>NM</v>
          </cell>
          <cell r="AZ99" t="str">
            <v>NM</v>
          </cell>
          <cell r="BA99" t="str">
            <v>NM</v>
          </cell>
          <cell r="BB99" t="str">
            <v>NM</v>
          </cell>
          <cell r="BC99" t="str">
            <v>NM</v>
          </cell>
          <cell r="BE99" t="str">
            <v>NM</v>
          </cell>
          <cell r="BF99" t="str">
            <v>NM</v>
          </cell>
          <cell r="BG99" t="str">
            <v>NM</v>
          </cell>
          <cell r="BH99" t="str">
            <v>NM</v>
          </cell>
          <cell r="BJ99" t="str">
            <v>NM</v>
          </cell>
          <cell r="BK99" t="str">
            <v>NM</v>
          </cell>
          <cell r="BL99" t="str">
            <v>NM</v>
          </cell>
          <cell r="BM99" t="str">
            <v>NM</v>
          </cell>
          <cell r="BO99">
            <v>2.3539999999999965</v>
          </cell>
          <cell r="BP99">
            <v>1.2300000000000004</v>
          </cell>
          <cell r="BQ99">
            <v>4.0837581937363439</v>
          </cell>
          <cell r="BR99">
            <v>1.0401459854014528</v>
          </cell>
          <cell r="BT99">
            <v>0.33369111508646454</v>
          </cell>
          <cell r="BU99">
            <v>0.40448430493273424</v>
          </cell>
          <cell r="BV99">
            <v>0.2491881566380143</v>
          </cell>
          <cell r="BW99">
            <v>0.50603756708407799</v>
          </cell>
          <cell r="BY99">
            <v>0.87476526871143756</v>
          </cell>
          <cell r="BZ99">
            <v>0.68474616858237747</v>
          </cell>
          <cell r="CA99">
            <v>0.29612355684685276</v>
          </cell>
          <cell r="CB99">
            <v>-0.27488245483791174</v>
          </cell>
          <cell r="CD99">
            <v>-5.6187546206863503E-2</v>
          </cell>
          <cell r="CE99">
            <v>-0.21919787743112396</v>
          </cell>
          <cell r="CF99">
            <v>-0.26763803680981635</v>
          </cell>
          <cell r="CG99">
            <v>-0.10726230291447403</v>
          </cell>
          <cell r="CI99">
            <v>-4.2615287428931614E-2</v>
          </cell>
          <cell r="CJ99">
            <v>0.24972694174757271</v>
          </cell>
          <cell r="CK99">
            <v>0.20755134917438633</v>
          </cell>
          <cell r="CL99">
            <v>0.14135304729129894</v>
          </cell>
        </row>
        <row r="100">
          <cell r="A100" t="str">
            <v>Total EBITDA Growth</v>
          </cell>
          <cell r="C100">
            <v>0.12379913305685197</v>
          </cell>
          <cell r="D100">
            <v>0.28546046787089119</v>
          </cell>
          <cell r="E100">
            <v>0.24234047454503549</v>
          </cell>
          <cell r="F100">
            <v>0.14815501576117196</v>
          </cell>
          <cell r="G100">
            <v>0.16650516795865644</v>
          </cell>
          <cell r="H100">
            <v>0.18814896857261521</v>
          </cell>
          <cell r="I100">
            <v>0.17921230482405015</v>
          </cell>
          <cell r="J100">
            <v>0.21541501976284616</v>
          </cell>
          <cell r="K100">
            <v>0.15609756097560945</v>
          </cell>
          <cell r="L100">
            <v>0.15400843881856563</v>
          </cell>
          <cell r="M100">
            <v>9.750152346130303E-3</v>
          </cell>
          <cell r="N100">
            <v>-7.4440362884189537E-2</v>
          </cell>
          <cell r="O100">
            <v>-9.3708780406287717E-2</v>
          </cell>
          <cell r="P100">
            <v>3.7316504305827225E-2</v>
          </cell>
          <cell r="Q100">
            <v>7.0573389884003079E-2</v>
          </cell>
          <cell r="R100">
            <v>4.275563653436909E-2</v>
          </cell>
          <cell r="S100">
            <v>4.0152886295809154E-2</v>
          </cell>
          <cell r="T100">
            <v>3.6836555899672385E-2</v>
          </cell>
          <cell r="U100">
            <v>3.4648482953384185E-2</v>
          </cell>
          <cell r="V100">
            <v>3.3193938779240595E-2</v>
          </cell>
          <cell r="W100">
            <v>3.1078044059792198E-2</v>
          </cell>
          <cell r="X100">
            <v>3.0509226074542983E-2</v>
          </cell>
          <cell r="Z100" t="str">
            <v>Total EBITDA Growth</v>
          </cell>
          <cell r="AF100">
            <v>9.2160085388395263E-2</v>
          </cell>
          <cell r="AG100">
            <v>0.12555465809952682</v>
          </cell>
          <cell r="AH100">
            <v>0.10033772876458458</v>
          </cell>
          <cell r="AI100">
            <v>0.1602027639006387</v>
          </cell>
          <cell r="AK100">
            <v>0.20101137800252822</v>
          </cell>
          <cell r="AL100">
            <v>0.22781456953642398</v>
          </cell>
          <cell r="AM100">
            <v>0.36041939711664495</v>
          </cell>
          <cell r="AN100">
            <v>0.33520599250936356</v>
          </cell>
          <cell r="AP100">
            <v>0.37789473684210528</v>
          </cell>
          <cell r="AQ100">
            <v>0.3106796116504853</v>
          </cell>
          <cell r="AR100">
            <v>0.2071290944123314</v>
          </cell>
          <cell r="AS100">
            <v>0.13394109396914433</v>
          </cell>
          <cell r="AU100">
            <v>0.10618792971734137</v>
          </cell>
          <cell r="AV100">
            <v>0.10205761316872453</v>
          </cell>
          <cell r="AW100">
            <v>0.11173184357541888</v>
          </cell>
          <cell r="AX100">
            <v>0.24427952999381541</v>
          </cell>
          <cell r="AZ100">
            <v>0.19267955801104986</v>
          </cell>
          <cell r="BA100">
            <v>0.19342793129200864</v>
          </cell>
          <cell r="BB100">
            <v>0.10337401292175175</v>
          </cell>
          <cell r="BC100">
            <v>0.17345924453280315</v>
          </cell>
          <cell r="BE100">
            <v>0.11349160393746405</v>
          </cell>
          <cell r="BF100">
            <v>0.21714643304130155</v>
          </cell>
          <cell r="BG100">
            <v>0.20624593363695509</v>
          </cell>
          <cell r="BH100">
            <v>0.21135112240576026</v>
          </cell>
          <cell r="BJ100">
            <v>9.7243889755590063E-2</v>
          </cell>
          <cell r="BK100">
            <v>0.12596401028277637</v>
          </cell>
          <cell r="BL100">
            <v>0.26213592233009697</v>
          </cell>
          <cell r="BM100">
            <v>0.21678321678321688</v>
          </cell>
          <cell r="BO100">
            <v>0.27962085308056861</v>
          </cell>
          <cell r="BP100">
            <v>0.26940639269406397</v>
          </cell>
          <cell r="BQ100">
            <v>0.15811965811965822</v>
          </cell>
          <cell r="BR100">
            <v>0.18103448275862077</v>
          </cell>
          <cell r="BT100">
            <v>0.19629629629629619</v>
          </cell>
          <cell r="BU100">
            <v>0.16546762589928066</v>
          </cell>
          <cell r="BV100">
            <v>0.12915129151291516</v>
          </cell>
          <cell r="BW100">
            <v>0.14111922141119226</v>
          </cell>
          <cell r="BY100">
            <v>9.9071207430340591E-2</v>
          </cell>
          <cell r="BZ100">
            <v>0.16666666666666674</v>
          </cell>
          <cell r="CA100">
            <v>0.19607843137254899</v>
          </cell>
          <cell r="CB100">
            <v>0.15565031982942434</v>
          </cell>
          <cell r="CD100">
            <v>6.7605633802816811E-2</v>
          </cell>
          <cell r="CE100">
            <v>1.3227513227513255E-2</v>
          </cell>
          <cell r="CF100">
            <v>-5.464480874316946E-3</v>
          </cell>
          <cell r="CG100">
            <v>-2.0295202952029467E-2</v>
          </cell>
          <cell r="CI100">
            <v>2.1108179419525142E-2</v>
          </cell>
          <cell r="CJ100">
            <v>1.0443864229765065E-2</v>
          </cell>
          <cell r="CK100">
            <v>-0.1428571428571429</v>
          </cell>
          <cell r="CL100">
            <v>-0.1569636182657288</v>
          </cell>
        </row>
        <row r="102">
          <cell r="A102" t="str">
            <v>Depreciation</v>
          </cell>
          <cell r="Z102" t="str">
            <v>Depreciation</v>
          </cell>
        </row>
        <row r="103">
          <cell r="A103" t="str">
            <v xml:space="preserve">  Domestic</v>
          </cell>
          <cell r="I103">
            <v>66.5</v>
          </cell>
          <cell r="J103">
            <v>68.599999999999994</v>
          </cell>
          <cell r="K103">
            <v>84.490000000000023</v>
          </cell>
          <cell r="L103">
            <v>120.54000000000002</v>
          </cell>
          <cell r="M103">
            <v>170.1</v>
          </cell>
          <cell r="N103">
            <v>197.64715373346962</v>
          </cell>
          <cell r="O103">
            <v>210.79750605175397</v>
          </cell>
          <cell r="P103">
            <v>224.32560683654069</v>
          </cell>
          <cell r="Q103">
            <v>240.46209432237882</v>
          </cell>
          <cell r="R103">
            <v>257.9159219869594</v>
          </cell>
          <cell r="S103">
            <v>276.77732460686804</v>
          </cell>
          <cell r="T103">
            <v>297.15993128867291</v>
          </cell>
          <cell r="U103">
            <v>317.75949956661213</v>
          </cell>
          <cell r="V103">
            <v>338.59384906091594</v>
          </cell>
          <cell r="W103">
            <v>359.6843964774755</v>
          </cell>
          <cell r="X103">
            <v>381.06838837603004</v>
          </cell>
          <cell r="Z103" t="str">
            <v xml:space="preserve">  Domestic</v>
          </cell>
          <cell r="BJ103">
            <v>16.625</v>
          </cell>
          <cell r="BK103">
            <v>16.625</v>
          </cell>
          <cell r="BL103">
            <v>16.625</v>
          </cell>
          <cell r="BM103">
            <v>16.625</v>
          </cell>
          <cell r="BO103">
            <v>17.149999999999999</v>
          </cell>
          <cell r="BP103">
            <v>17.149999999999999</v>
          </cell>
          <cell r="BQ103">
            <v>17.149999999999999</v>
          </cell>
          <cell r="BR103">
            <v>17.149999999999999</v>
          </cell>
          <cell r="BS103">
            <v>0</v>
          </cell>
          <cell r="BT103">
            <v>21.122500000000006</v>
          </cell>
          <cell r="BU103">
            <v>21.122500000000006</v>
          </cell>
          <cell r="BV103">
            <v>21.122500000000006</v>
          </cell>
          <cell r="BW103">
            <v>21.122500000000006</v>
          </cell>
          <cell r="BX103">
            <v>0</v>
          </cell>
          <cell r="BY103">
            <v>30.135000000000005</v>
          </cell>
          <cell r="BZ103">
            <v>30.135000000000005</v>
          </cell>
          <cell r="CA103">
            <v>30.135000000000005</v>
          </cell>
          <cell r="CB103">
            <v>30.135000000000005</v>
          </cell>
          <cell r="CC103">
            <v>0</v>
          </cell>
          <cell r="CD103">
            <v>42.524999999999999</v>
          </cell>
          <cell r="CE103">
            <v>42.524999999999999</v>
          </cell>
          <cell r="CF103">
            <v>42.524999999999999</v>
          </cell>
          <cell r="CG103">
            <v>42.524999999999999</v>
          </cell>
          <cell r="CH103">
            <v>0</v>
          </cell>
          <cell r="CI103">
            <v>49.411788433367406</v>
          </cell>
          <cell r="CJ103">
            <v>49.411788433367406</v>
          </cell>
          <cell r="CK103">
            <v>49.411788433367406</v>
          </cell>
          <cell r="CL103">
            <v>49.411788433367406</v>
          </cell>
          <cell r="CM103">
            <v>0</v>
          </cell>
        </row>
        <row r="104">
          <cell r="A104" t="str">
            <v xml:space="preserve">  United Kingdom</v>
          </cell>
          <cell r="I104">
            <v>9.5</v>
          </cell>
          <cell r="J104">
            <v>9.8000000000000007</v>
          </cell>
          <cell r="K104">
            <v>12.070000000000006</v>
          </cell>
          <cell r="L104">
            <v>17.220000000000006</v>
          </cell>
          <cell r="M104">
            <v>24.3</v>
          </cell>
          <cell r="N104">
            <v>28.235307676209949</v>
          </cell>
          <cell r="O104">
            <v>30.113929435964856</v>
          </cell>
          <cell r="P104">
            <v>32.046515262362959</v>
          </cell>
          <cell r="Q104">
            <v>34.351727760339834</v>
          </cell>
          <cell r="R104">
            <v>36.845131712422777</v>
          </cell>
          <cell r="S104">
            <v>39.539617800981148</v>
          </cell>
          <cell r="T104">
            <v>42.451418755524713</v>
          </cell>
          <cell r="U104">
            <v>45.39421422380174</v>
          </cell>
          <cell r="V104">
            <v>48.370549865845142</v>
          </cell>
          <cell r="W104">
            <v>51.383485211067935</v>
          </cell>
          <cell r="X104">
            <v>54.43834119657572</v>
          </cell>
          <cell r="Z104" t="str">
            <v xml:space="preserve">  United Kingdom</v>
          </cell>
          <cell r="BJ104">
            <v>2.375</v>
          </cell>
          <cell r="BK104">
            <v>2.375</v>
          </cell>
          <cell r="BL104">
            <v>2.375</v>
          </cell>
          <cell r="BM104">
            <v>2.375</v>
          </cell>
          <cell r="BO104">
            <v>2.4500000000000002</v>
          </cell>
          <cell r="BP104">
            <v>2.4500000000000002</v>
          </cell>
          <cell r="BQ104">
            <v>2.4500000000000002</v>
          </cell>
          <cell r="BR104">
            <v>2.4500000000000002</v>
          </cell>
          <cell r="BS104">
            <v>0</v>
          </cell>
          <cell r="BT104">
            <v>3.0175000000000014</v>
          </cell>
          <cell r="BU104">
            <v>3.0175000000000014</v>
          </cell>
          <cell r="BV104">
            <v>3.0175000000000014</v>
          </cell>
          <cell r="BW104">
            <v>3.0175000000000014</v>
          </cell>
          <cell r="BX104">
            <v>0</v>
          </cell>
          <cell r="BY104">
            <v>4.3050000000000015</v>
          </cell>
          <cell r="BZ104">
            <v>4.3050000000000015</v>
          </cell>
          <cell r="CA104">
            <v>4.3050000000000015</v>
          </cell>
          <cell r="CB104">
            <v>4.3050000000000015</v>
          </cell>
          <cell r="CC104">
            <v>0</v>
          </cell>
          <cell r="CD104">
            <v>6.0750000000000002</v>
          </cell>
          <cell r="CE104">
            <v>6.0750000000000002</v>
          </cell>
          <cell r="CF104">
            <v>6.0750000000000002</v>
          </cell>
          <cell r="CG104">
            <v>6.0750000000000002</v>
          </cell>
          <cell r="CH104">
            <v>0</v>
          </cell>
          <cell r="CI104">
            <v>7.0588269190524873</v>
          </cell>
          <cell r="CJ104">
            <v>7.0588269190524873</v>
          </cell>
          <cell r="CK104">
            <v>7.0588269190524873</v>
          </cell>
          <cell r="CL104">
            <v>7.0588269190524873</v>
          </cell>
          <cell r="CM104">
            <v>0</v>
          </cell>
        </row>
        <row r="105">
          <cell r="A105" t="str">
            <v xml:space="preserve">  Germany</v>
          </cell>
          <cell r="I105">
            <v>9.5</v>
          </cell>
          <cell r="J105">
            <v>9.8000000000000007</v>
          </cell>
          <cell r="K105">
            <v>12.070000000000006</v>
          </cell>
          <cell r="L105">
            <v>17.220000000000006</v>
          </cell>
          <cell r="M105">
            <v>24.3</v>
          </cell>
          <cell r="N105">
            <v>28.235307676209949</v>
          </cell>
          <cell r="O105">
            <v>30.113929435964856</v>
          </cell>
          <cell r="P105">
            <v>32.046515262362959</v>
          </cell>
          <cell r="Q105">
            <v>34.351727760339834</v>
          </cell>
          <cell r="R105">
            <v>36.845131712422777</v>
          </cell>
          <cell r="S105">
            <v>39.539617800981148</v>
          </cell>
          <cell r="T105">
            <v>42.451418755524713</v>
          </cell>
          <cell r="U105">
            <v>45.39421422380174</v>
          </cell>
          <cell r="V105">
            <v>48.370549865845142</v>
          </cell>
          <cell r="W105">
            <v>51.383485211067935</v>
          </cell>
          <cell r="X105">
            <v>54.43834119657572</v>
          </cell>
          <cell r="Z105" t="str">
            <v xml:space="preserve">  Germany</v>
          </cell>
          <cell r="BJ105">
            <v>2.375</v>
          </cell>
          <cell r="BK105">
            <v>2.375</v>
          </cell>
          <cell r="BL105">
            <v>2.375</v>
          </cell>
          <cell r="BM105">
            <v>2.375</v>
          </cell>
          <cell r="BO105">
            <v>2.4500000000000002</v>
          </cell>
          <cell r="BP105">
            <v>2.4500000000000002</v>
          </cell>
          <cell r="BQ105">
            <v>2.4500000000000002</v>
          </cell>
          <cell r="BR105">
            <v>2.4500000000000002</v>
          </cell>
          <cell r="BS105">
            <v>0</v>
          </cell>
          <cell r="BT105">
            <v>3.0175000000000014</v>
          </cell>
          <cell r="BU105">
            <v>3.0175000000000014</v>
          </cell>
          <cell r="BV105">
            <v>3.0175000000000014</v>
          </cell>
          <cell r="BW105">
            <v>3.0175000000000014</v>
          </cell>
          <cell r="BX105">
            <v>0</v>
          </cell>
          <cell r="BY105">
            <v>4.3050000000000015</v>
          </cell>
          <cell r="BZ105">
            <v>4.3050000000000015</v>
          </cell>
          <cell r="CA105">
            <v>4.3050000000000015</v>
          </cell>
          <cell r="CB105">
            <v>4.3050000000000015</v>
          </cell>
          <cell r="CC105">
            <v>0</v>
          </cell>
          <cell r="CD105">
            <v>6.0750000000000002</v>
          </cell>
          <cell r="CE105">
            <v>6.0750000000000002</v>
          </cell>
          <cell r="CF105">
            <v>6.0750000000000002</v>
          </cell>
          <cell r="CG105">
            <v>6.0750000000000002</v>
          </cell>
          <cell r="CH105">
            <v>0</v>
          </cell>
          <cell r="CI105">
            <v>7.0588269190524873</v>
          </cell>
          <cell r="CJ105">
            <v>7.0588269190524873</v>
          </cell>
          <cell r="CK105">
            <v>7.0588269190524873</v>
          </cell>
          <cell r="CL105">
            <v>7.0588269190524873</v>
          </cell>
          <cell r="CM105">
            <v>0</v>
          </cell>
        </row>
        <row r="106">
          <cell r="A106" t="str">
            <v xml:space="preserve">  Italy</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row>
        <row r="107">
          <cell r="A107" t="str">
            <v xml:space="preserve">  Japan</v>
          </cell>
          <cell r="I107">
            <v>9.5</v>
          </cell>
          <cell r="J107">
            <v>9.8000000000000114</v>
          </cell>
          <cell r="K107">
            <v>12.070000000000007</v>
          </cell>
          <cell r="L107">
            <v>17.220000000000027</v>
          </cell>
          <cell r="M107">
            <v>24.299999999999983</v>
          </cell>
          <cell r="N107">
            <v>28.23530767620997</v>
          </cell>
          <cell r="O107">
            <v>30.113929435964849</v>
          </cell>
          <cell r="P107">
            <v>32.046515262362959</v>
          </cell>
          <cell r="Q107">
            <v>34.351727760339827</v>
          </cell>
          <cell r="R107">
            <v>36.845131712422813</v>
          </cell>
          <cell r="S107">
            <v>39.539617800981148</v>
          </cell>
          <cell r="T107">
            <v>42.451418755524742</v>
          </cell>
          <cell r="U107">
            <v>45.394214223801782</v>
          </cell>
          <cell r="V107">
            <v>48.370549865845192</v>
          </cell>
          <cell r="W107">
            <v>51.383485211067978</v>
          </cell>
          <cell r="X107">
            <v>54.43834119657572</v>
          </cell>
          <cell r="Z107" t="str">
            <v xml:space="preserve">  Japan</v>
          </cell>
          <cell r="BJ107">
            <v>2.375</v>
          </cell>
          <cell r="BK107">
            <v>2.375</v>
          </cell>
          <cell r="BL107">
            <v>2.375</v>
          </cell>
          <cell r="BM107">
            <v>2.375</v>
          </cell>
          <cell r="BO107">
            <v>2.4500000000000028</v>
          </cell>
          <cell r="BP107">
            <v>2.4500000000000028</v>
          </cell>
          <cell r="BQ107">
            <v>2.4500000000000028</v>
          </cell>
          <cell r="BR107">
            <v>2.4500000000000028</v>
          </cell>
          <cell r="BS107">
            <v>0</v>
          </cell>
          <cell r="BT107">
            <v>3.0175000000000018</v>
          </cell>
          <cell r="BU107">
            <v>3.0175000000000018</v>
          </cell>
          <cell r="BV107">
            <v>3.0175000000000018</v>
          </cell>
          <cell r="BW107">
            <v>3.0175000000000018</v>
          </cell>
          <cell r="BX107">
            <v>0</v>
          </cell>
          <cell r="BY107">
            <v>4.3050000000000068</v>
          </cell>
          <cell r="BZ107">
            <v>4.3050000000000068</v>
          </cell>
          <cell r="CA107">
            <v>4.3050000000000068</v>
          </cell>
          <cell r="CB107">
            <v>4.3050000000000068</v>
          </cell>
          <cell r="CC107">
            <v>0</v>
          </cell>
          <cell r="CD107">
            <v>6.0749999999999957</v>
          </cell>
          <cell r="CE107">
            <v>6.0749999999999957</v>
          </cell>
          <cell r="CF107">
            <v>6.0749999999999957</v>
          </cell>
          <cell r="CG107">
            <v>6.0749999999999957</v>
          </cell>
          <cell r="CH107">
            <v>0</v>
          </cell>
          <cell r="CI107">
            <v>7.0588269190524926</v>
          </cell>
          <cell r="CJ107">
            <v>7.0588269190524926</v>
          </cell>
          <cell r="CK107">
            <v>7.0588269190524926</v>
          </cell>
          <cell r="CL107">
            <v>7.0588269190524926</v>
          </cell>
          <cell r="CM107">
            <v>0</v>
          </cell>
        </row>
        <row r="108">
          <cell r="A108" t="str">
            <v>Total Depreciation</v>
          </cell>
          <cell r="I108">
            <v>95</v>
          </cell>
          <cell r="J108">
            <v>98</v>
          </cell>
          <cell r="K108">
            <v>120.70000000000005</v>
          </cell>
          <cell r="L108">
            <v>172.20000000000005</v>
          </cell>
          <cell r="M108">
            <v>243</v>
          </cell>
          <cell r="N108">
            <v>282.35307676209948</v>
          </cell>
          <cell r="O108">
            <v>301.13929435964855</v>
          </cell>
          <cell r="P108">
            <v>320.46515262362959</v>
          </cell>
          <cell r="Q108">
            <v>343.51727760339833</v>
          </cell>
          <cell r="R108">
            <v>368.45131712422773</v>
          </cell>
          <cell r="S108">
            <v>395.39617800981148</v>
          </cell>
          <cell r="T108">
            <v>424.51418755524708</v>
          </cell>
          <cell r="U108">
            <v>453.94214223801737</v>
          </cell>
          <cell r="V108">
            <v>483.7054986584514</v>
          </cell>
          <cell r="W108">
            <v>513.83485211067932</v>
          </cell>
          <cell r="X108">
            <v>544.3834119657572</v>
          </cell>
          <cell r="Z108" t="str">
            <v>Total Depreciation</v>
          </cell>
          <cell r="BJ108">
            <v>23.75</v>
          </cell>
          <cell r="BK108">
            <v>23.75</v>
          </cell>
          <cell r="BL108">
            <v>23.75</v>
          </cell>
          <cell r="BM108">
            <v>23.75</v>
          </cell>
          <cell r="BO108">
            <v>24.5</v>
          </cell>
          <cell r="BP108">
            <v>24.5</v>
          </cell>
          <cell r="BQ108">
            <v>24.5</v>
          </cell>
          <cell r="BR108">
            <v>24.5</v>
          </cell>
          <cell r="BS108">
            <v>0</v>
          </cell>
          <cell r="BT108">
            <v>30.175000000000011</v>
          </cell>
          <cell r="BU108">
            <v>30.175000000000011</v>
          </cell>
          <cell r="BV108">
            <v>30.175000000000011</v>
          </cell>
          <cell r="BW108">
            <v>30.175000000000011</v>
          </cell>
          <cell r="BX108">
            <v>0</v>
          </cell>
          <cell r="BY108">
            <v>43.050000000000011</v>
          </cell>
          <cell r="BZ108">
            <v>43.050000000000011</v>
          </cell>
          <cell r="CA108">
            <v>43.050000000000011</v>
          </cell>
          <cell r="CB108">
            <v>43.050000000000011</v>
          </cell>
          <cell r="CC108">
            <v>0</v>
          </cell>
          <cell r="CD108">
            <v>60.75</v>
          </cell>
          <cell r="CE108">
            <v>60.75</v>
          </cell>
          <cell r="CF108">
            <v>60.75</v>
          </cell>
          <cell r="CG108">
            <v>60.75</v>
          </cell>
          <cell r="CH108">
            <v>0</v>
          </cell>
          <cell r="CI108">
            <v>70.588269190524869</v>
          </cell>
          <cell r="CJ108">
            <v>70.588269190524869</v>
          </cell>
          <cell r="CK108">
            <v>70.588269190524869</v>
          </cell>
          <cell r="CL108">
            <v>70.588269190524869</v>
          </cell>
          <cell r="CM108">
            <v>0</v>
          </cell>
        </row>
        <row r="110">
          <cell r="A110" t="str">
            <v>EBITA</v>
          </cell>
          <cell r="Z110" t="str">
            <v>EBITA</v>
          </cell>
        </row>
        <row r="111">
          <cell r="A111" t="str">
            <v xml:space="preserve">  Domestic</v>
          </cell>
          <cell r="I111">
            <v>820.49999999999989</v>
          </cell>
          <cell r="J111">
            <v>908.40000000000009</v>
          </cell>
          <cell r="K111">
            <v>999.51</v>
          </cell>
          <cell r="L111">
            <v>1094.46</v>
          </cell>
          <cell r="M111">
            <v>1073.9000000000003</v>
          </cell>
          <cell r="N111">
            <v>904.41978704601411</v>
          </cell>
          <cell r="O111">
            <v>785.35779317887636</v>
          </cell>
          <cell r="P111">
            <v>801.04245181114936</v>
          </cell>
          <cell r="Q111">
            <v>869.97701973352764</v>
          </cell>
          <cell r="R111">
            <v>893.00790047370174</v>
          </cell>
          <cell r="S111">
            <v>916.56275659825678</v>
          </cell>
          <cell r="T111">
            <v>938.86302025326268</v>
          </cell>
          <cell r="U111">
            <v>960.38830801497318</v>
          </cell>
          <cell r="V111">
            <v>982.16065018247173</v>
          </cell>
          <cell r="W111">
            <v>1003.5509575998622</v>
          </cell>
          <cell r="X111">
            <v>1027.3055907169594</v>
          </cell>
          <cell r="Z111" t="str">
            <v xml:space="preserve">  Domestic</v>
          </cell>
          <cell r="BJ111">
            <v>176.375</v>
          </cell>
          <cell r="BK111">
            <v>179.375</v>
          </cell>
          <cell r="BL111">
            <v>189.375</v>
          </cell>
          <cell r="BM111">
            <v>275.375</v>
          </cell>
          <cell r="BO111">
            <v>194.85</v>
          </cell>
          <cell r="BP111">
            <v>203.85</v>
          </cell>
          <cell r="BQ111">
            <v>192.85</v>
          </cell>
          <cell r="BR111">
            <v>316.85000000000002</v>
          </cell>
          <cell r="BS111">
            <v>0</v>
          </cell>
          <cell r="BT111">
            <v>219.8775</v>
          </cell>
          <cell r="BU111">
            <v>226.8775</v>
          </cell>
          <cell r="BV111">
            <v>213.8775</v>
          </cell>
          <cell r="BW111">
            <v>338.8775</v>
          </cell>
          <cell r="BX111">
            <v>0</v>
          </cell>
          <cell r="BY111">
            <v>226.86500000000001</v>
          </cell>
          <cell r="BZ111">
            <v>252.86500000000001</v>
          </cell>
          <cell r="CA111">
            <v>242.86500000000001</v>
          </cell>
          <cell r="CB111">
            <v>371.86500000000001</v>
          </cell>
          <cell r="CC111">
            <v>0</v>
          </cell>
          <cell r="CD111">
            <v>235.47499999999999</v>
          </cell>
          <cell r="CE111">
            <v>249.47499999999999</v>
          </cell>
          <cell r="CF111">
            <v>235.47499999999999</v>
          </cell>
          <cell r="CG111">
            <v>353.47500000000002</v>
          </cell>
          <cell r="CH111">
            <v>0</v>
          </cell>
          <cell r="CI111">
            <v>231.58821156663259</v>
          </cell>
          <cell r="CJ111">
            <v>236.58821156663259</v>
          </cell>
          <cell r="CK111">
            <v>171.58821156663259</v>
          </cell>
          <cell r="CL111">
            <v>264.65515234611632</v>
          </cell>
          <cell r="CM111">
            <v>0</v>
          </cell>
        </row>
        <row r="112">
          <cell r="A112" t="str">
            <v xml:space="preserve">  United Kingdom</v>
          </cell>
          <cell r="I112">
            <v>33.742999999999995</v>
          </cell>
          <cell r="J112">
            <v>64.378000000000014</v>
          </cell>
          <cell r="K112">
            <v>82.31899999999996</v>
          </cell>
          <cell r="L112">
            <v>103.65</v>
          </cell>
          <cell r="M112">
            <v>114.77099999999997</v>
          </cell>
          <cell r="N112">
            <v>104.17268997268391</v>
          </cell>
          <cell r="O112">
            <v>76.608618147511208</v>
          </cell>
          <cell r="P112">
            <v>78.877016440962038</v>
          </cell>
          <cell r="Q112">
            <v>80.139839237058709</v>
          </cell>
          <cell r="R112">
            <v>82.886463824520348</v>
          </cell>
          <cell r="S112">
            <v>83.494803510973071</v>
          </cell>
          <cell r="T112">
            <v>81.571562052147783</v>
          </cell>
          <cell r="U112">
            <v>79.619431722337154</v>
          </cell>
          <cell r="V112">
            <v>77.635696987797218</v>
          </cell>
          <cell r="W112">
            <v>75.617122504090972</v>
          </cell>
          <cell r="X112">
            <v>73.558205428423321</v>
          </cell>
          <cell r="Z112" t="str">
            <v xml:space="preserve">  United Kingdom</v>
          </cell>
          <cell r="BJ112">
            <v>4.625</v>
          </cell>
          <cell r="BK112">
            <v>5.625</v>
          </cell>
          <cell r="BL112">
            <v>7.9099999999999966</v>
          </cell>
          <cell r="BM112">
            <v>15.582999999999998</v>
          </cell>
          <cell r="BO112">
            <v>15.030000000000005</v>
          </cell>
          <cell r="BP112">
            <v>13.469999999999999</v>
          </cell>
          <cell r="BQ112">
            <v>16.91</v>
          </cell>
          <cell r="BR112">
            <v>18.967999999999996</v>
          </cell>
          <cell r="BS112">
            <v>0</v>
          </cell>
          <cell r="BT112">
            <v>21.162499999999994</v>
          </cell>
          <cell r="BU112">
            <v>17.941499999999994</v>
          </cell>
          <cell r="BV112">
            <v>16.58649999999999</v>
          </cell>
          <cell r="BW112">
            <v>26.628499999999995</v>
          </cell>
          <cell r="BX112">
            <v>0</v>
          </cell>
          <cell r="BY112">
            <v>19.018999999999998</v>
          </cell>
          <cell r="BZ112">
            <v>18.192</v>
          </cell>
          <cell r="CA112">
            <v>20.158999999999999</v>
          </cell>
          <cell r="CB112">
            <v>46.28</v>
          </cell>
          <cell r="CC112">
            <v>0</v>
          </cell>
          <cell r="CD112">
            <v>20.424999999999994</v>
          </cell>
          <cell r="CE112">
            <v>21.605</v>
          </cell>
          <cell r="CF112">
            <v>24.925000000000001</v>
          </cell>
          <cell r="CG112">
            <v>47.815999999999974</v>
          </cell>
          <cell r="CH112">
            <v>0</v>
          </cell>
          <cell r="CI112">
            <v>22.915173080947504</v>
          </cell>
          <cell r="CJ112">
            <v>21.040173080947511</v>
          </cell>
          <cell r="CK112">
            <v>21.045173080947507</v>
          </cell>
          <cell r="CL112">
            <v>39.172170729841369</v>
          </cell>
          <cell r="CM112">
            <v>0</v>
          </cell>
        </row>
        <row r="113">
          <cell r="A113" t="str">
            <v xml:space="preserve">  Germany</v>
          </cell>
          <cell r="I113">
            <v>41.98599999999999</v>
          </cell>
          <cell r="J113">
            <v>86.64</v>
          </cell>
          <cell r="K113">
            <v>117.55099999999997</v>
          </cell>
          <cell r="L113">
            <v>140.56</v>
          </cell>
          <cell r="M113">
            <v>126.105</v>
          </cell>
          <cell r="N113">
            <v>132.02241823221738</v>
          </cell>
          <cell r="O113">
            <v>104.3570348366934</v>
          </cell>
          <cell r="P113">
            <v>110.42715591186439</v>
          </cell>
          <cell r="Q113">
            <v>111.95646680826465</v>
          </cell>
          <cell r="R113">
            <v>111.15749396721074</v>
          </cell>
          <cell r="S113">
            <v>110.17285162019687</v>
          </cell>
          <cell r="T113">
            <v>108.98633815044798</v>
          </cell>
          <cell r="U113">
            <v>107.78430148810706</v>
          </cell>
          <cell r="V113">
            <v>106.56421988313576</v>
          </cell>
          <cell r="W113">
            <v>105.32305391156892</v>
          </cell>
          <cell r="X113">
            <v>104.05549879687044</v>
          </cell>
          <cell r="Z113" t="str">
            <v xml:space="preserve">  Germany</v>
          </cell>
          <cell r="BJ113">
            <v>3.625</v>
          </cell>
          <cell r="BK113">
            <v>4.625</v>
          </cell>
          <cell r="BL113">
            <v>11.220999999999997</v>
          </cell>
          <cell r="BM113">
            <v>22.514999999999997</v>
          </cell>
          <cell r="BO113">
            <v>21.3</v>
          </cell>
          <cell r="BP113">
            <v>20.79</v>
          </cell>
          <cell r="BQ113">
            <v>18.249999999999996</v>
          </cell>
          <cell r="BR113">
            <v>26.3</v>
          </cell>
          <cell r="BS113">
            <v>0</v>
          </cell>
          <cell r="BT113">
            <v>32.436500000000002</v>
          </cell>
          <cell r="BU113">
            <v>26.96749999999999</v>
          </cell>
          <cell r="BV113">
            <v>22.220499999999998</v>
          </cell>
          <cell r="BW113">
            <v>35.926500000000004</v>
          </cell>
          <cell r="BX113">
            <v>0</v>
          </cell>
          <cell r="BY113">
            <v>28.440000000000005</v>
          </cell>
          <cell r="BZ113">
            <v>25.984999999999992</v>
          </cell>
          <cell r="CA113">
            <v>30.326999999999991</v>
          </cell>
          <cell r="CB113">
            <v>55.808000000000035</v>
          </cell>
          <cell r="CC113">
            <v>0</v>
          </cell>
          <cell r="CD113">
            <v>28.849999999999998</v>
          </cell>
          <cell r="CE113">
            <v>24.285</v>
          </cell>
          <cell r="CF113">
            <v>24.095000000000002</v>
          </cell>
          <cell r="CG113">
            <v>48.874999999999993</v>
          </cell>
          <cell r="CH113">
            <v>0</v>
          </cell>
          <cell r="CI113">
            <v>31.078673080947503</v>
          </cell>
          <cell r="CJ113">
            <v>24.651173080947522</v>
          </cell>
          <cell r="CK113">
            <v>25.853673080947509</v>
          </cell>
          <cell r="CL113">
            <v>50.438898989374856</v>
          </cell>
          <cell r="CM113">
            <v>0</v>
          </cell>
        </row>
        <row r="114">
          <cell r="A114" t="str">
            <v xml:space="preserve">  Italy</v>
          </cell>
          <cell r="K114">
            <v>0</v>
          </cell>
          <cell r="L114">
            <v>0</v>
          </cell>
          <cell r="M114">
            <v>0</v>
          </cell>
          <cell r="N114">
            <v>0</v>
          </cell>
          <cell r="O114">
            <v>0</v>
          </cell>
          <cell r="P114">
            <v>-3.7425000000000015</v>
          </cell>
          <cell r="Q114">
            <v>-6.6366700000000023</v>
          </cell>
          <cell r="R114">
            <v>-1.6648139099999852</v>
          </cell>
          <cell r="S114">
            <v>3.1614590062800119</v>
          </cell>
          <cell r="T114">
            <v>7.8038830175946998</v>
          </cell>
          <cell r="U114">
            <v>12.259162276609388</v>
          </cell>
          <cell r="V114">
            <v>16.545826758698396</v>
          </cell>
          <cell r="W114">
            <v>19.915568963700991</v>
          </cell>
          <cell r="X114">
            <v>22.30171955444338</v>
          </cell>
        </row>
        <row r="115">
          <cell r="A115" t="str">
            <v xml:space="preserve">  Japan</v>
          </cell>
          <cell r="I115">
            <v>20.771000000000043</v>
          </cell>
          <cell r="J115">
            <v>72.581999999999965</v>
          </cell>
          <cell r="K115">
            <v>101.92000000000002</v>
          </cell>
          <cell r="L115">
            <v>130.13</v>
          </cell>
          <cell r="M115">
            <v>99.22399999999999</v>
          </cell>
          <cell r="N115">
            <v>110.68434668788314</v>
          </cell>
          <cell r="O115">
            <v>122.47288982543225</v>
          </cell>
          <cell r="P115">
            <v>134.73389249526605</v>
          </cell>
          <cell r="Q115">
            <v>144.60217310241364</v>
          </cell>
          <cell r="R115">
            <v>155.71346886426602</v>
          </cell>
          <cell r="S115">
            <v>165.39193322941969</v>
          </cell>
          <cell r="T115">
            <v>174.11201543836978</v>
          </cell>
          <cell r="U115">
            <v>182.00226473421486</v>
          </cell>
          <cell r="V115">
            <v>188.99988634557201</v>
          </cell>
          <cell r="W115">
            <v>195.03900834614149</v>
          </cell>
          <cell r="X115">
            <v>200.04884622748887</v>
          </cell>
          <cell r="Z115" t="str">
            <v xml:space="preserve">  Japan</v>
          </cell>
          <cell r="BJ115">
            <v>2.625</v>
          </cell>
          <cell r="BK115">
            <v>5.625</v>
          </cell>
          <cell r="BL115">
            <v>1.7439999999999998</v>
          </cell>
          <cell r="BM115">
            <v>10.777000000000044</v>
          </cell>
          <cell r="BO115">
            <v>14.319999999999979</v>
          </cell>
          <cell r="BP115">
            <v>15.39</v>
          </cell>
          <cell r="BQ115">
            <v>18.489999999999995</v>
          </cell>
          <cell r="BR115">
            <v>24.381999999999991</v>
          </cell>
          <cell r="BS115">
            <v>0</v>
          </cell>
          <cell r="BT115">
            <v>19.348499999999984</v>
          </cell>
          <cell r="BU115">
            <v>22.038499999999981</v>
          </cell>
          <cell r="BV115">
            <v>23.140500000000014</v>
          </cell>
          <cell r="BW115">
            <v>37.39249999999997</v>
          </cell>
          <cell r="BX115">
            <v>0</v>
          </cell>
          <cell r="BY115">
            <v>37.625999999999976</v>
          </cell>
          <cell r="BZ115">
            <v>37.908000000000015</v>
          </cell>
          <cell r="CA115">
            <v>29.59899999999999</v>
          </cell>
          <cell r="CB115">
            <v>24.996999999999957</v>
          </cell>
          <cell r="CC115">
            <v>0</v>
          </cell>
          <cell r="CD115">
            <v>33.499999999999993</v>
          </cell>
          <cell r="CE115">
            <v>26.884999999999984</v>
          </cell>
          <cell r="CF115">
            <v>18.754999999999988</v>
          </cell>
          <cell r="CG115">
            <v>20.084000000000053</v>
          </cell>
          <cell r="CH115">
            <v>0</v>
          </cell>
          <cell r="CI115">
            <v>30.829673080947529</v>
          </cell>
          <cell r="CJ115">
            <v>34.132173080947481</v>
          </cell>
          <cell r="CK115">
            <v>22.9246730809475</v>
          </cell>
          <cell r="CL115">
            <v>22.797827445040653</v>
          </cell>
          <cell r="CM115">
            <v>0</v>
          </cell>
        </row>
        <row r="116">
          <cell r="A116" t="str">
            <v>Total EBITA</v>
          </cell>
          <cell r="I116">
            <v>916.99999999999989</v>
          </cell>
          <cell r="J116">
            <v>1132</v>
          </cell>
          <cell r="K116">
            <v>1301.3</v>
          </cell>
          <cell r="L116">
            <v>1468.8000000000002</v>
          </cell>
          <cell r="M116">
            <v>1414.0000000000002</v>
          </cell>
          <cell r="N116">
            <v>1251.2992419387986</v>
          </cell>
          <cell r="O116">
            <v>1088.7963359885132</v>
          </cell>
          <cell r="P116">
            <v>1125.0805166592418</v>
          </cell>
          <cell r="Q116">
            <v>1206.6754988812647</v>
          </cell>
          <cell r="R116">
            <v>1242.765327129699</v>
          </cell>
          <cell r="S116">
            <v>1275.6223449588465</v>
          </cell>
          <cell r="T116">
            <v>1303.5329358942281</v>
          </cell>
          <cell r="U116">
            <v>1329.7943059596323</v>
          </cell>
          <cell r="V116">
            <v>1355.3604533989769</v>
          </cell>
          <cell r="W116">
            <v>1379.5301423616634</v>
          </cell>
          <cell r="X116">
            <v>1404.968141169742</v>
          </cell>
          <cell r="Z116" t="str">
            <v>Total EBITA</v>
          </cell>
          <cell r="BJ116">
            <v>187.25</v>
          </cell>
          <cell r="BK116">
            <v>195.25</v>
          </cell>
          <cell r="BL116">
            <v>210.25</v>
          </cell>
          <cell r="BM116">
            <v>324.25000000000006</v>
          </cell>
          <cell r="BN116">
            <v>0</v>
          </cell>
          <cell r="BO116">
            <v>245.5</v>
          </cell>
          <cell r="BP116">
            <v>253.5</v>
          </cell>
          <cell r="BQ116">
            <v>246.5</v>
          </cell>
          <cell r="BR116">
            <v>386.50000000000006</v>
          </cell>
          <cell r="BS116">
            <v>0</v>
          </cell>
          <cell r="BT116">
            <v>292.82499999999999</v>
          </cell>
          <cell r="BU116">
            <v>293.82499999999999</v>
          </cell>
          <cell r="BV116">
            <v>275.82499999999999</v>
          </cell>
          <cell r="BW116">
            <v>438.82499999999999</v>
          </cell>
          <cell r="BX116">
            <v>0</v>
          </cell>
          <cell r="BY116">
            <v>311.95</v>
          </cell>
          <cell r="BZ116">
            <v>334.95000000000005</v>
          </cell>
          <cell r="CA116">
            <v>322.95</v>
          </cell>
          <cell r="CB116">
            <v>498.95</v>
          </cell>
          <cell r="CC116">
            <v>0</v>
          </cell>
          <cell r="CD116">
            <v>318.25</v>
          </cell>
          <cell r="CE116">
            <v>322.25</v>
          </cell>
          <cell r="CF116">
            <v>303.25</v>
          </cell>
          <cell r="CG116">
            <v>470.25000000000006</v>
          </cell>
          <cell r="CH116">
            <v>0</v>
          </cell>
          <cell r="CI116">
            <v>316.41173080947516</v>
          </cell>
          <cell r="CJ116">
            <v>316.4117308094751</v>
          </cell>
          <cell r="CK116">
            <v>241.4117308094751</v>
          </cell>
          <cell r="CL116">
            <v>377.0640495103732</v>
          </cell>
          <cell r="CM116">
            <v>0</v>
          </cell>
        </row>
        <row r="118">
          <cell r="A118" t="str">
            <v>Total Depreciation and Amortization</v>
          </cell>
          <cell r="H118">
            <v>119</v>
          </cell>
          <cell r="I118">
            <v>222</v>
          </cell>
          <cell r="J118">
            <v>437</v>
          </cell>
          <cell r="K118">
            <v>449</v>
          </cell>
          <cell r="L118">
            <v>476</v>
          </cell>
          <cell r="M118">
            <v>516</v>
          </cell>
          <cell r="N118">
            <v>532.9530767620995</v>
          </cell>
          <cell r="O118">
            <v>537.03929435964847</v>
          </cell>
          <cell r="P118">
            <v>556.36515262362957</v>
          </cell>
          <cell r="Q118">
            <v>579.41727760339836</v>
          </cell>
          <cell r="R118">
            <v>604.35131712422776</v>
          </cell>
          <cell r="S118">
            <v>631.29617800981146</v>
          </cell>
          <cell r="T118">
            <v>660.41418755524705</v>
          </cell>
          <cell r="U118">
            <v>689.84214223801735</v>
          </cell>
          <cell r="V118">
            <v>719.60549865845132</v>
          </cell>
          <cell r="W118">
            <v>749.7348521106793</v>
          </cell>
          <cell r="X118">
            <v>780.28341196575718</v>
          </cell>
          <cell r="Z118" t="str">
            <v>Total Depreciation and Amortization</v>
          </cell>
          <cell r="BE118">
            <v>27</v>
          </cell>
          <cell r="BF118">
            <v>27</v>
          </cell>
          <cell r="BG118">
            <v>27</v>
          </cell>
          <cell r="BH118">
            <v>38</v>
          </cell>
          <cell r="BJ118">
            <v>31</v>
          </cell>
          <cell r="BK118">
            <v>34</v>
          </cell>
          <cell r="BL118">
            <v>43</v>
          </cell>
          <cell r="BM118">
            <v>114</v>
          </cell>
          <cell r="BO118">
            <v>108</v>
          </cell>
          <cell r="BP118">
            <v>106</v>
          </cell>
          <cell r="BQ118">
            <v>110</v>
          </cell>
          <cell r="BR118">
            <v>113</v>
          </cell>
          <cell r="BT118">
            <v>115</v>
          </cell>
          <cell r="BU118">
            <v>114</v>
          </cell>
          <cell r="BV118">
            <v>117</v>
          </cell>
          <cell r="BW118">
            <v>103</v>
          </cell>
          <cell r="BX118">
            <v>0</v>
          </cell>
          <cell r="BY118">
            <v>118</v>
          </cell>
          <cell r="BZ118">
            <v>120</v>
          </cell>
          <cell r="CA118">
            <v>119</v>
          </cell>
          <cell r="CB118">
            <v>119</v>
          </cell>
          <cell r="CC118">
            <v>0</v>
          </cell>
          <cell r="CD118">
            <v>120</v>
          </cell>
          <cell r="CE118">
            <v>134</v>
          </cell>
          <cell r="CF118">
            <v>129</v>
          </cell>
          <cell r="CG118">
            <v>133</v>
          </cell>
          <cell r="CH118">
            <v>0</v>
          </cell>
          <cell r="CI118">
            <v>132</v>
          </cell>
          <cell r="CJ118">
            <v>129</v>
          </cell>
          <cell r="CK118">
            <v>135</v>
          </cell>
          <cell r="CL118">
            <v>136.9530767620995</v>
          </cell>
          <cell r="CM118">
            <v>0</v>
          </cell>
        </row>
        <row r="119">
          <cell r="A119" t="str">
            <v>D&amp;A, as % of Revenue</v>
          </cell>
          <cell r="H119">
            <v>2.7163988312636965E-2</v>
          </cell>
          <cell r="I119">
            <v>4.5408058907752097E-2</v>
          </cell>
          <cell r="J119">
            <v>7.6841920168806047E-2</v>
          </cell>
          <cell r="K119">
            <v>6.9066297492693426E-2</v>
          </cell>
          <cell r="L119">
            <v>6.7288662708510041E-2</v>
          </cell>
          <cell r="M119">
            <v>6.9758010004055696E-2</v>
          </cell>
          <cell r="N119">
            <v>7.2420544599690356E-2</v>
          </cell>
          <cell r="O119">
            <v>7.7029871431824756E-2</v>
          </cell>
          <cell r="P119">
            <v>7.7802900098607394E-2</v>
          </cell>
          <cell r="Q119">
            <v>7.6993225182966543E-2</v>
          </cell>
          <cell r="R119">
            <v>7.7319190473595575E-2</v>
          </cell>
          <cell r="S119">
            <v>7.7853234279333036E-2</v>
          </cell>
          <cell r="T119">
            <v>7.8698346065404365E-2</v>
          </cell>
          <cell r="U119">
            <v>7.9565615818386656E-2</v>
          </cell>
          <cell r="V119">
            <v>8.041946670008393E-2</v>
          </cell>
          <cell r="W119">
            <v>8.1271316423442944E-2</v>
          </cell>
          <cell r="X119">
            <v>8.203179243775939E-2</v>
          </cell>
          <cell r="Z119" t="str">
            <v>D&amp;A, as % of Revenue</v>
          </cell>
          <cell r="BE119">
            <v>2.7176648213387014E-2</v>
          </cell>
          <cell r="BF119">
            <v>2.7149321266968326E-2</v>
          </cell>
          <cell r="BG119">
            <v>2.6685115635501088E-2</v>
          </cell>
          <cell r="BH119">
            <v>2.7516292541636494E-2</v>
          </cell>
          <cell r="BJ119">
            <v>2.9190207156308851E-2</v>
          </cell>
          <cell r="BK119">
            <v>3.0881017257039057E-2</v>
          </cell>
          <cell r="BL119">
            <v>3.7294015611448399E-2</v>
          </cell>
          <cell r="BM119">
            <v>7.2472981563890648E-2</v>
          </cell>
          <cell r="BO119">
            <v>8.4177708495713169E-2</v>
          </cell>
          <cell r="BP119">
            <v>8.2234290147401093E-2</v>
          </cell>
          <cell r="BQ119">
            <v>8.5139318885448914E-2</v>
          </cell>
          <cell r="BR119">
            <v>6.1985737794843662E-2</v>
          </cell>
          <cell r="BT119">
            <v>7.8551912568306015E-2</v>
          </cell>
          <cell r="BU119">
            <v>7.7079107505070993E-2</v>
          </cell>
          <cell r="BV119">
            <v>7.9322033898305083E-2</v>
          </cell>
          <cell r="BW119">
            <v>4.944791166586654E-2</v>
          </cell>
          <cell r="BY119">
            <v>7.588424437299035E-2</v>
          </cell>
          <cell r="BZ119">
            <v>7.3619631901840496E-2</v>
          </cell>
          <cell r="CA119">
            <v>7.199032062915911E-2</v>
          </cell>
          <cell r="CB119">
            <v>5.3220035778175315E-2</v>
          </cell>
          <cell r="CD119">
            <v>7.1258907363420429E-2</v>
          </cell>
          <cell r="CE119">
            <v>7.9149438865918492E-2</v>
          </cell>
          <cell r="CF119">
            <v>7.6512455516014238E-2</v>
          </cell>
          <cell r="CG119">
            <v>5.6983718937446443E-2</v>
          </cell>
          <cell r="CI119">
            <v>7.4787535410764869E-2</v>
          </cell>
          <cell r="CJ119">
            <v>7.3253833049403749E-2</v>
          </cell>
          <cell r="CK119">
            <v>8.226691042047532E-2</v>
          </cell>
          <cell r="CL119">
            <v>6.2474544148706845E-2</v>
          </cell>
        </row>
        <row r="120">
          <cell r="A120" t="str">
            <v>Total Amortization</v>
          </cell>
          <cell r="I120">
            <v>127</v>
          </cell>
          <cell r="J120">
            <v>339</v>
          </cell>
          <cell r="K120">
            <v>328.29999999999995</v>
          </cell>
          <cell r="L120">
            <v>303.79999999999995</v>
          </cell>
          <cell r="M120">
            <v>273</v>
          </cell>
          <cell r="N120">
            <v>250.60000000000002</v>
          </cell>
          <cell r="O120">
            <v>235.89999999999992</v>
          </cell>
          <cell r="P120">
            <v>235.89999999999998</v>
          </cell>
          <cell r="Q120">
            <v>235.90000000000003</v>
          </cell>
          <cell r="R120">
            <v>235.90000000000003</v>
          </cell>
          <cell r="S120">
            <v>235.89999999999998</v>
          </cell>
          <cell r="T120">
            <v>235.89999999999998</v>
          </cell>
          <cell r="U120">
            <v>235.89999999999998</v>
          </cell>
          <cell r="V120">
            <v>235.89999999999992</v>
          </cell>
          <cell r="W120">
            <v>235.89999999999998</v>
          </cell>
          <cell r="X120">
            <v>235.89999999999998</v>
          </cell>
          <cell r="Z120" t="str">
            <v>Total Amortization</v>
          </cell>
          <cell r="BE120">
            <v>27</v>
          </cell>
          <cell r="BF120">
            <v>27</v>
          </cell>
          <cell r="BG120">
            <v>27</v>
          </cell>
          <cell r="BH120">
            <v>38</v>
          </cell>
          <cell r="BJ120">
            <v>7.25</v>
          </cell>
          <cell r="BK120">
            <v>10.25</v>
          </cell>
          <cell r="BL120">
            <v>19.25</v>
          </cell>
          <cell r="BM120">
            <v>90.25</v>
          </cell>
          <cell r="BO120">
            <v>83.5</v>
          </cell>
          <cell r="BP120">
            <v>81.5</v>
          </cell>
          <cell r="BQ120">
            <v>85.5</v>
          </cell>
          <cell r="BR120">
            <v>88.5</v>
          </cell>
          <cell r="BT120">
            <v>84.824999999999989</v>
          </cell>
          <cell r="BU120">
            <v>83.824999999999989</v>
          </cell>
          <cell r="BV120">
            <v>86.824999999999989</v>
          </cell>
          <cell r="BW120">
            <v>72.824999999999989</v>
          </cell>
          <cell r="BY120">
            <v>74.949999999999989</v>
          </cell>
          <cell r="BZ120">
            <v>76.949999999999989</v>
          </cell>
          <cell r="CA120">
            <v>75.949999999999989</v>
          </cell>
          <cell r="CB120">
            <v>75.949999999999989</v>
          </cell>
          <cell r="CD120">
            <v>59.25</v>
          </cell>
          <cell r="CE120">
            <v>73.25</v>
          </cell>
          <cell r="CF120">
            <v>68.25</v>
          </cell>
          <cell r="CG120">
            <v>72.25</v>
          </cell>
          <cell r="CI120">
            <v>61.411730809475131</v>
          </cell>
          <cell r="CJ120">
            <v>58.411730809475131</v>
          </cell>
          <cell r="CK120">
            <v>64.411730809475131</v>
          </cell>
          <cell r="CL120">
            <v>66.36480757157463</v>
          </cell>
        </row>
        <row r="121">
          <cell r="A121" t="str">
            <v>Total EBIT</v>
          </cell>
          <cell r="H121">
            <v>739.2</v>
          </cell>
          <cell r="I121">
            <v>789.99999999999989</v>
          </cell>
          <cell r="J121">
            <v>793.00000000000023</v>
          </cell>
          <cell r="K121">
            <v>972.99999999999977</v>
          </cell>
          <cell r="L121">
            <v>1165</v>
          </cell>
          <cell r="M121">
            <v>1141</v>
          </cell>
          <cell r="N121">
            <v>1000.6992419387984</v>
          </cell>
          <cell r="O121">
            <v>852.8963359885131</v>
          </cell>
          <cell r="P121">
            <v>885.43801665924173</v>
          </cell>
          <cell r="Q121">
            <v>964.13882888126432</v>
          </cell>
          <cell r="R121">
            <v>1005.2005132196989</v>
          </cell>
          <cell r="S121">
            <v>1042.8838039651264</v>
          </cell>
          <cell r="T121">
            <v>1075.4368189118229</v>
          </cell>
          <cell r="U121">
            <v>1106.1534682362417</v>
          </cell>
          <cell r="V121">
            <v>1136.0062801576753</v>
          </cell>
          <cell r="W121">
            <v>1163.5457113253642</v>
          </cell>
          <cell r="X121">
            <v>1191.3698607241859</v>
          </cell>
          <cell r="Z121" t="str">
            <v>Total EBIT</v>
          </cell>
          <cell r="BE121">
            <v>165.3</v>
          </cell>
          <cell r="BF121">
            <v>167.5</v>
          </cell>
          <cell r="BG121">
            <v>158.4</v>
          </cell>
          <cell r="BH121">
            <v>248</v>
          </cell>
          <cell r="BJ121">
            <v>180</v>
          </cell>
          <cell r="BK121">
            <v>185</v>
          </cell>
          <cell r="BL121">
            <v>191</v>
          </cell>
          <cell r="BM121">
            <v>234</v>
          </cell>
          <cell r="BO121">
            <v>162</v>
          </cell>
          <cell r="BP121">
            <v>172</v>
          </cell>
          <cell r="BQ121">
            <v>161</v>
          </cell>
          <cell r="BR121">
            <v>298</v>
          </cell>
          <cell r="BT121">
            <v>208</v>
          </cell>
          <cell r="BU121">
            <v>210</v>
          </cell>
          <cell r="BV121">
            <v>189</v>
          </cell>
          <cell r="BW121">
            <v>366</v>
          </cell>
          <cell r="BX121">
            <v>0</v>
          </cell>
          <cell r="BY121">
            <v>237</v>
          </cell>
          <cell r="BZ121">
            <v>258</v>
          </cell>
          <cell r="CA121">
            <v>247</v>
          </cell>
          <cell r="CB121">
            <v>423</v>
          </cell>
          <cell r="CC121">
            <v>0</v>
          </cell>
          <cell r="CD121">
            <v>259</v>
          </cell>
          <cell r="CE121">
            <v>249</v>
          </cell>
          <cell r="CF121">
            <v>235</v>
          </cell>
          <cell r="CG121">
            <v>398</v>
          </cell>
          <cell r="CH121">
            <v>0</v>
          </cell>
          <cell r="CI121">
            <v>255</v>
          </cell>
          <cell r="CJ121">
            <v>258</v>
          </cell>
          <cell r="CK121">
            <v>177</v>
          </cell>
          <cell r="CL121">
            <v>310.69924193879854</v>
          </cell>
          <cell r="CM121">
            <v>0</v>
          </cell>
        </row>
        <row r="122">
          <cell r="A122" t="str">
            <v>EBIT Growth, %</v>
          </cell>
          <cell r="I122">
            <v>6.8722943722943519E-2</v>
          </cell>
          <cell r="J122">
            <v>3.7974683544308441E-3</v>
          </cell>
          <cell r="K122">
            <v>0.22698612862547218</v>
          </cell>
          <cell r="L122">
            <v>0.19732785200411129</v>
          </cell>
          <cell r="M122">
            <v>-2.0600858369098751E-2</v>
          </cell>
          <cell r="N122">
            <v>-0.12296297814303381</v>
          </cell>
          <cell r="O122">
            <v>-0.14769962817591975</v>
          </cell>
          <cell r="P122">
            <v>3.8154321102825017E-2</v>
          </cell>
          <cell r="Q122">
            <v>8.888347997408208E-2</v>
          </cell>
          <cell r="R122">
            <v>4.2588974853424721E-2</v>
          </cell>
          <cell r="S122">
            <v>3.7488332178349459E-2</v>
          </cell>
          <cell r="T122">
            <v>3.121442180128553E-2</v>
          </cell>
          <cell r="U122">
            <v>2.8562021296145712E-2</v>
          </cell>
          <cell r="V122">
            <v>2.6987947675139345E-2</v>
          </cell>
          <cell r="W122">
            <v>2.4242322994787013E-2</v>
          </cell>
          <cell r="X122">
            <v>2.3913241334651003E-2</v>
          </cell>
          <cell r="Z122" t="str">
            <v>EBIT Growth, %</v>
          </cell>
          <cell r="BJ122">
            <v>8.8929219600725862E-2</v>
          </cell>
          <cell r="BK122">
            <v>0.10447761194029859</v>
          </cell>
          <cell r="BL122">
            <v>0.20580808080808066</v>
          </cell>
          <cell r="BM122">
            <v>-5.6451612903225756E-2</v>
          </cell>
          <cell r="BO122">
            <v>-9.9999999999999978E-2</v>
          </cell>
          <cell r="BP122">
            <v>-7.0270270270270219E-2</v>
          </cell>
          <cell r="BQ122">
            <v>-0.15706806282722519</v>
          </cell>
          <cell r="BR122">
            <v>0.27350427350427342</v>
          </cell>
          <cell r="BT122">
            <v>0.28395061728395055</v>
          </cell>
          <cell r="BU122">
            <v>0.22093023255813948</v>
          </cell>
          <cell r="BV122">
            <v>0.17391304347826098</v>
          </cell>
          <cell r="BW122">
            <v>0.22818791946308714</v>
          </cell>
          <cell r="BY122">
            <v>0.13942307692307687</v>
          </cell>
          <cell r="BZ122">
            <v>0.22857142857142865</v>
          </cell>
          <cell r="CA122">
            <v>0.30687830687830697</v>
          </cell>
          <cell r="CB122">
            <v>0.15573770491803285</v>
          </cell>
          <cell r="CD122">
            <v>9.2827004219409259E-2</v>
          </cell>
          <cell r="CE122">
            <v>-3.4883720930232509E-2</v>
          </cell>
          <cell r="CF122">
            <v>-4.8582995951417018E-2</v>
          </cell>
          <cell r="CG122">
            <v>-5.9101654846335672E-2</v>
          </cell>
          <cell r="CI122">
            <v>-1.5444015444015413E-2</v>
          </cell>
          <cell r="CJ122">
            <v>3.6144578313253017E-2</v>
          </cell>
          <cell r="CK122">
            <v>-0.2468085106382979</v>
          </cell>
          <cell r="CL122">
            <v>-0.21934863834472729</v>
          </cell>
        </row>
        <row r="123">
          <cell r="A123" t="str">
            <v>EBIT Margin, %</v>
          </cell>
          <cell r="H123">
            <v>0.16873630387143904</v>
          </cell>
          <cell r="I123">
            <v>0.16158723665371238</v>
          </cell>
          <cell r="J123">
            <v>0.13944082996307372</v>
          </cell>
          <cell r="K123">
            <v>0.14966928164897705</v>
          </cell>
          <cell r="L123">
            <v>0.16468758835171049</v>
          </cell>
          <cell r="M123">
            <v>0.15425172367175882</v>
          </cell>
          <cell r="N123">
            <v>0.13598042161984722</v>
          </cell>
          <cell r="O123">
            <v>0.12233461460991739</v>
          </cell>
          <cell r="P123">
            <v>0.12382092089842044</v>
          </cell>
          <cell r="Q123">
            <v>0.12811519578211047</v>
          </cell>
          <cell r="R123">
            <v>0.12860283041265197</v>
          </cell>
          <cell r="S123">
            <v>0.12861138708645428</v>
          </cell>
          <cell r="T123">
            <v>0.12815457411583861</v>
          </cell>
          <cell r="U123">
            <v>0.12758249532904578</v>
          </cell>
          <cell r="V123">
            <v>0.12695430953285067</v>
          </cell>
          <cell r="W123">
            <v>0.12612844582594362</v>
          </cell>
          <cell r="X123">
            <v>0.12524962549866128</v>
          </cell>
          <cell r="Z123" t="str">
            <v>EBIT Margin, %</v>
          </cell>
          <cell r="BE123">
            <v>0.16638147961751384</v>
          </cell>
          <cell r="BF123">
            <v>0.16842634489693314</v>
          </cell>
          <cell r="BG123">
            <v>0.15655267839493972</v>
          </cell>
          <cell r="BH123">
            <v>0.17958001448225924</v>
          </cell>
          <cell r="BJ123">
            <v>0.16949152542372881</v>
          </cell>
          <cell r="BK123">
            <v>0.16802906448683017</v>
          </cell>
          <cell r="BL123">
            <v>0.16565481352992195</v>
          </cell>
          <cell r="BM123">
            <v>0.1487603305785124</v>
          </cell>
          <cell r="BO123">
            <v>0.12626656274356976</v>
          </cell>
          <cell r="BP123">
            <v>0.13343677269200932</v>
          </cell>
          <cell r="BQ123">
            <v>0.12461300309597523</v>
          </cell>
          <cell r="BR123">
            <v>0.1634668129456939</v>
          </cell>
          <cell r="BT123">
            <v>0.14207650273224043</v>
          </cell>
          <cell r="BU123">
            <v>0.14198782961460446</v>
          </cell>
          <cell r="BV123">
            <v>0.12813559322033899</v>
          </cell>
          <cell r="BW123">
            <v>0.17570811329812769</v>
          </cell>
          <cell r="BY123">
            <v>0.15241157556270096</v>
          </cell>
          <cell r="BZ123">
            <v>0.15828220858895706</v>
          </cell>
          <cell r="CA123">
            <v>0.14942528735632185</v>
          </cell>
          <cell r="CB123">
            <v>0.18917710196779963</v>
          </cell>
          <cell r="CD123">
            <v>0.15380047505938244</v>
          </cell>
          <cell r="CE123">
            <v>0.14707619610159481</v>
          </cell>
          <cell r="CF123">
            <v>0.13938315539739027</v>
          </cell>
          <cell r="CG123">
            <v>0.17052270779777207</v>
          </cell>
          <cell r="CI123">
            <v>0.14447592067988668</v>
          </cell>
          <cell r="CJ123">
            <v>0.1465076660988075</v>
          </cell>
          <cell r="CK123">
            <v>0.10786106032906764</v>
          </cell>
          <cell r="CL123">
            <v>0.14173316851576551</v>
          </cell>
        </row>
        <row r="124">
          <cell r="AN124" t="str">
            <v/>
          </cell>
          <cell r="AS124" t="str">
            <v/>
          </cell>
          <cell r="AX124" t="str">
            <v/>
          </cell>
          <cell r="BC124" t="str">
            <v/>
          </cell>
        </row>
        <row r="126">
          <cell r="A126" t="str">
            <v>OPERATING EFFICIENCY METRICS</v>
          </cell>
          <cell r="Z126" t="str">
            <v>OPERATING EFFICIENCY METRICS</v>
          </cell>
        </row>
        <row r="128">
          <cell r="A128" t="str">
            <v>Homes</v>
          </cell>
          <cell r="Z128" t="str">
            <v>Homes</v>
          </cell>
        </row>
        <row r="129">
          <cell r="A129" t="str">
            <v xml:space="preserve">  Domestic</v>
          </cell>
          <cell r="H129" t="str">
            <v>n.a.</v>
          </cell>
          <cell r="I129">
            <v>85.9</v>
          </cell>
          <cell r="J129">
            <v>88.4</v>
          </cell>
          <cell r="K129">
            <v>90.8</v>
          </cell>
          <cell r="L129">
            <v>90.7</v>
          </cell>
          <cell r="M129">
            <v>93.4</v>
          </cell>
          <cell r="N129">
            <v>95.095683068661373</v>
          </cell>
          <cell r="O129">
            <v>96.19569390681491</v>
          </cell>
          <cell r="P129">
            <v>97.222841396527684</v>
          </cell>
          <cell r="Q129">
            <v>98.420287366406555</v>
          </cell>
          <cell r="R129">
            <v>99.737078539643804</v>
          </cell>
          <cell r="S129">
            <v>101.03733402321465</v>
          </cell>
          <cell r="T129">
            <v>102.20704754737193</v>
          </cell>
          <cell r="U129">
            <v>103.25142434421102</v>
          </cell>
          <cell r="V129">
            <v>104.32110803138573</v>
          </cell>
          <cell r="W129">
            <v>105.18832992940267</v>
          </cell>
          <cell r="X129">
            <v>106.4505898885555</v>
          </cell>
          <cell r="Z129" t="str">
            <v xml:space="preserve">  Domestic</v>
          </cell>
          <cell r="BJ129" t="str">
            <v>n.a.</v>
          </cell>
          <cell r="BK129" t="str">
            <v>n.a.</v>
          </cell>
          <cell r="BL129">
            <v>86.7</v>
          </cell>
          <cell r="BM129">
            <v>85.9</v>
          </cell>
          <cell r="BO129">
            <v>87</v>
          </cell>
          <cell r="BP129">
            <v>87.3</v>
          </cell>
          <cell r="BQ129">
            <v>87.8</v>
          </cell>
          <cell r="BR129">
            <v>88.4</v>
          </cell>
          <cell r="BT129">
            <v>89.1</v>
          </cell>
          <cell r="BU129">
            <v>89.9</v>
          </cell>
          <cell r="BV129">
            <v>90.5</v>
          </cell>
          <cell r="BW129">
            <v>90.8</v>
          </cell>
          <cell r="BY129">
            <v>90.8</v>
          </cell>
          <cell r="BZ129">
            <v>91.1</v>
          </cell>
          <cell r="CA129">
            <v>90.3</v>
          </cell>
          <cell r="CB129">
            <v>90.7</v>
          </cell>
          <cell r="CD129">
            <v>91.2</v>
          </cell>
          <cell r="CE129">
            <v>90.9</v>
          </cell>
          <cell r="CF129">
            <v>92.7</v>
          </cell>
          <cell r="CG129">
            <v>93.4</v>
          </cell>
          <cell r="CI129">
            <v>93.75</v>
          </cell>
          <cell r="CJ129">
            <v>94.1</v>
          </cell>
          <cell r="CK129">
            <v>94.45</v>
          </cell>
          <cell r="CL129">
            <v>95.095683068661373</v>
          </cell>
        </row>
        <row r="130">
          <cell r="A130" t="str">
            <v xml:space="preserve">  United Kingdom</v>
          </cell>
          <cell r="H130" t="str">
            <v>n.a.</v>
          </cell>
          <cell r="I130">
            <v>13.1</v>
          </cell>
          <cell r="J130">
            <v>15.6</v>
          </cell>
          <cell r="K130">
            <v>17.8</v>
          </cell>
          <cell r="L130">
            <v>19.399999999999999</v>
          </cell>
          <cell r="M130">
            <v>21.8</v>
          </cell>
          <cell r="N130">
            <v>23.113573343469273</v>
          </cell>
          <cell r="O130">
            <v>24.207953103175502</v>
          </cell>
          <cell r="P130">
            <v>25.211806824989779</v>
          </cell>
          <cell r="Q130">
            <v>26.170479403594097</v>
          </cell>
          <cell r="R130">
            <v>27.181249687775725</v>
          </cell>
          <cell r="S130">
            <v>27.507424684029033</v>
          </cell>
          <cell r="T130">
            <v>27.837513780237384</v>
          </cell>
          <cell r="U130">
            <v>28.171563945600226</v>
          </cell>
          <cell r="V130">
            <v>28.509622712947433</v>
          </cell>
          <cell r="W130">
            <v>28.8517381855028</v>
          </cell>
          <cell r="X130">
            <v>29.197959043728837</v>
          </cell>
          <cell r="Z130" t="str">
            <v xml:space="preserve">  United Kingdom</v>
          </cell>
          <cell r="BM130">
            <v>13.1</v>
          </cell>
          <cell r="BO130">
            <v>14.1</v>
          </cell>
          <cell r="BP130">
            <v>14.4</v>
          </cell>
          <cell r="BQ130">
            <v>15.1</v>
          </cell>
          <cell r="BR130">
            <v>15.6</v>
          </cell>
          <cell r="BT130">
            <v>16.100000000000001</v>
          </cell>
          <cell r="BU130">
            <v>17.100000000000001</v>
          </cell>
          <cell r="BV130">
            <v>16.8</v>
          </cell>
          <cell r="BW130">
            <v>17.8</v>
          </cell>
          <cell r="BY130">
            <v>18.399999999999999</v>
          </cell>
          <cell r="BZ130">
            <v>18.7</v>
          </cell>
          <cell r="CA130">
            <v>19</v>
          </cell>
          <cell r="CB130">
            <v>19.399999999999999</v>
          </cell>
          <cell r="CD130">
            <v>20.2</v>
          </cell>
          <cell r="CE130">
            <v>21</v>
          </cell>
          <cell r="CF130">
            <v>21.1</v>
          </cell>
          <cell r="CG130">
            <v>21.8</v>
          </cell>
          <cell r="CI130">
            <v>22.1</v>
          </cell>
          <cell r="CJ130">
            <v>22.4</v>
          </cell>
          <cell r="CK130">
            <v>22.7</v>
          </cell>
          <cell r="CL130">
            <v>23.113573343469273</v>
          </cell>
        </row>
        <row r="131">
          <cell r="A131" t="str">
            <v xml:space="preserve">  Germany</v>
          </cell>
          <cell r="H131" t="str">
            <v>n.a.</v>
          </cell>
          <cell r="I131">
            <v>34.6</v>
          </cell>
          <cell r="J131">
            <v>35.700000000000003</v>
          </cell>
          <cell r="K131">
            <v>37.4</v>
          </cell>
          <cell r="L131">
            <v>37.9</v>
          </cell>
          <cell r="M131">
            <v>37.6</v>
          </cell>
          <cell r="N131">
            <v>38.351999999999997</v>
          </cell>
          <cell r="O131">
            <v>38.927279999999996</v>
          </cell>
          <cell r="P131">
            <v>39.511189199999997</v>
          </cell>
          <cell r="Q131">
            <v>40.103857037999987</v>
          </cell>
          <cell r="R131">
            <v>40.705414893569987</v>
          </cell>
          <cell r="S131">
            <v>41.31599611697353</v>
          </cell>
          <cell r="T131">
            <v>41.935736058728132</v>
          </cell>
          <cell r="U131">
            <v>42.564772099609051</v>
          </cell>
          <cell r="V131">
            <v>43.203243681103181</v>
          </cell>
          <cell r="W131">
            <v>43.851292336319723</v>
          </cell>
          <cell r="X131">
            <v>44.509061721364517</v>
          </cell>
          <cell r="Z131" t="str">
            <v xml:space="preserve">  Germany</v>
          </cell>
          <cell r="BM131">
            <v>34.6</v>
          </cell>
          <cell r="BO131">
            <v>34.700000000000003</v>
          </cell>
          <cell r="BP131">
            <v>35.200000000000003</v>
          </cell>
          <cell r="BQ131">
            <v>35.4</v>
          </cell>
          <cell r="BR131">
            <v>35.700000000000003</v>
          </cell>
          <cell r="BT131">
            <v>36.9</v>
          </cell>
          <cell r="BU131">
            <v>37.1</v>
          </cell>
          <cell r="BV131">
            <v>37.4</v>
          </cell>
          <cell r="BW131">
            <v>37.4</v>
          </cell>
          <cell r="BY131">
            <v>37.5</v>
          </cell>
          <cell r="BZ131">
            <v>37.6</v>
          </cell>
          <cell r="CA131">
            <v>37.799999999999997</v>
          </cell>
          <cell r="CB131">
            <v>37.9</v>
          </cell>
          <cell r="CD131">
            <v>37.6</v>
          </cell>
          <cell r="CE131">
            <v>37.700000000000003</v>
          </cell>
          <cell r="CF131">
            <v>37.799999999999997</v>
          </cell>
          <cell r="CG131">
            <v>37.6</v>
          </cell>
          <cell r="CI131">
            <v>37.799999999999997</v>
          </cell>
          <cell r="CJ131">
            <v>38</v>
          </cell>
          <cell r="CK131">
            <v>38.200000000000003</v>
          </cell>
          <cell r="CL131">
            <v>38.351999999999997</v>
          </cell>
        </row>
        <row r="132">
          <cell r="A132" t="str">
            <v xml:space="preserve">  Italy</v>
          </cell>
          <cell r="K132">
            <v>0</v>
          </cell>
          <cell r="L132">
            <v>0</v>
          </cell>
          <cell r="M132">
            <v>0</v>
          </cell>
          <cell r="N132">
            <v>0</v>
          </cell>
          <cell r="O132">
            <v>0</v>
          </cell>
          <cell r="P132">
            <v>21.5</v>
          </cell>
          <cell r="Q132">
            <v>21.93</v>
          </cell>
          <cell r="R132">
            <v>22.368600000000001</v>
          </cell>
          <cell r="S132">
            <v>22.815972000000002</v>
          </cell>
          <cell r="T132">
            <v>23.27229144</v>
          </cell>
          <cell r="U132">
            <v>23.7377372688</v>
          </cell>
          <cell r="V132">
            <v>24.212492014176</v>
          </cell>
          <cell r="W132">
            <v>24.696741854459521</v>
          </cell>
          <cell r="X132">
            <v>25.19067669154871</v>
          </cell>
        </row>
        <row r="133">
          <cell r="A133" t="str">
            <v xml:space="preserve">  Japan</v>
          </cell>
          <cell r="H133" t="str">
            <v>n.a.</v>
          </cell>
          <cell r="I133">
            <v>11.8</v>
          </cell>
          <cell r="J133">
            <v>14.7</v>
          </cell>
          <cell r="K133">
            <v>16.7</v>
          </cell>
          <cell r="L133">
            <v>18.7</v>
          </cell>
          <cell r="M133">
            <v>20.5</v>
          </cell>
          <cell r="N133">
            <v>22.1</v>
          </cell>
          <cell r="O133">
            <v>23.5</v>
          </cell>
          <cell r="P133">
            <v>24.7</v>
          </cell>
          <cell r="Q133">
            <v>25.7</v>
          </cell>
          <cell r="R133">
            <v>26.5</v>
          </cell>
          <cell r="S133">
            <v>27.2</v>
          </cell>
          <cell r="T133">
            <v>27.8</v>
          </cell>
          <cell r="U133">
            <v>28.3</v>
          </cell>
          <cell r="V133">
            <v>28.7</v>
          </cell>
          <cell r="W133">
            <v>29</v>
          </cell>
          <cell r="X133">
            <v>29.2</v>
          </cell>
          <cell r="Z133" t="str">
            <v xml:space="preserve">  Japan</v>
          </cell>
          <cell r="BM133">
            <v>11.8</v>
          </cell>
          <cell r="BO133">
            <v>12.4</v>
          </cell>
          <cell r="BP133">
            <v>13.7</v>
          </cell>
          <cell r="BQ133">
            <v>14.3</v>
          </cell>
          <cell r="BR133">
            <v>14.7</v>
          </cell>
          <cell r="BT133">
            <v>15.2</v>
          </cell>
          <cell r="BU133">
            <v>15.6</v>
          </cell>
          <cell r="BV133">
            <v>16.100000000000001</v>
          </cell>
          <cell r="BW133">
            <v>16.7</v>
          </cell>
          <cell r="BY133">
            <v>17.2</v>
          </cell>
          <cell r="BZ133">
            <v>17.8</v>
          </cell>
          <cell r="CA133">
            <v>18.2</v>
          </cell>
          <cell r="CB133">
            <v>18.7</v>
          </cell>
          <cell r="CD133">
            <v>19.600000000000005</v>
          </cell>
          <cell r="CE133">
            <v>19.899999999999999</v>
          </cell>
          <cell r="CF133">
            <v>20.2</v>
          </cell>
          <cell r="CG133">
            <v>21.1</v>
          </cell>
          <cell r="CI133">
            <v>20.9</v>
          </cell>
          <cell r="CJ133">
            <v>21.3</v>
          </cell>
          <cell r="CK133">
            <v>21.7</v>
          </cell>
          <cell r="CL133">
            <v>23.3</v>
          </cell>
        </row>
        <row r="134">
          <cell r="A134" t="str">
            <v>Total International</v>
          </cell>
          <cell r="H134" t="str">
            <v>n.a.</v>
          </cell>
          <cell r="I134">
            <v>59.5</v>
          </cell>
          <cell r="J134">
            <v>66</v>
          </cell>
          <cell r="K134">
            <v>71.900000000000006</v>
          </cell>
          <cell r="L134">
            <v>76</v>
          </cell>
          <cell r="M134">
            <v>79.900000000000006</v>
          </cell>
          <cell r="N134">
            <v>83.565573343469282</v>
          </cell>
          <cell r="O134">
            <v>86.635233103175494</v>
          </cell>
          <cell r="P134">
            <v>110.92299602498979</v>
          </cell>
          <cell r="Q134">
            <v>113.90433644159408</v>
          </cell>
          <cell r="R134">
            <v>116.75526458134571</v>
          </cell>
          <cell r="S134">
            <v>118.83939280100256</v>
          </cell>
          <cell r="T134">
            <v>120.84554127896551</v>
          </cell>
          <cell r="U134">
            <v>122.77407331400927</v>
          </cell>
          <cell r="V134">
            <v>124.62535840822663</v>
          </cell>
          <cell r="W134">
            <v>126.39977237628204</v>
          </cell>
          <cell r="X134">
            <v>128.09769745664204</v>
          </cell>
          <cell r="Z134" t="str">
            <v>Total International</v>
          </cell>
          <cell r="BJ134" t="str">
            <v>n.a.</v>
          </cell>
          <cell r="BK134" t="str">
            <v>n.a.</v>
          </cell>
          <cell r="BL134">
            <v>58</v>
          </cell>
          <cell r="BM134">
            <v>59.5</v>
          </cell>
          <cell r="BO134">
            <v>61.2</v>
          </cell>
          <cell r="BP134">
            <v>63.3</v>
          </cell>
          <cell r="BQ134">
            <v>64.8</v>
          </cell>
          <cell r="BR134">
            <v>66</v>
          </cell>
          <cell r="BT134">
            <v>68.2</v>
          </cell>
          <cell r="BU134">
            <v>69.8</v>
          </cell>
          <cell r="BV134">
            <v>70.300000000000011</v>
          </cell>
          <cell r="BW134">
            <v>71.900000000000006</v>
          </cell>
          <cell r="BY134">
            <v>73.099999999999994</v>
          </cell>
          <cell r="BZ134">
            <v>74.099999999999994</v>
          </cell>
          <cell r="CA134">
            <v>75</v>
          </cell>
          <cell r="CB134">
            <v>76</v>
          </cell>
          <cell r="CD134">
            <v>77.400000000000006</v>
          </cell>
          <cell r="CE134">
            <v>78.599999999999994</v>
          </cell>
          <cell r="CF134">
            <v>79.099999999999994</v>
          </cell>
          <cell r="CG134">
            <v>80.5</v>
          </cell>
          <cell r="CI134">
            <v>80.8</v>
          </cell>
          <cell r="CJ134">
            <v>81.7</v>
          </cell>
          <cell r="CK134">
            <v>82.600000000000009</v>
          </cell>
          <cell r="CL134">
            <v>84.765573343469271</v>
          </cell>
        </row>
        <row r="135">
          <cell r="A135" t="str">
            <v>Total Homes</v>
          </cell>
          <cell r="H135" t="str">
            <v>n.a.</v>
          </cell>
          <cell r="I135">
            <v>145.4</v>
          </cell>
          <cell r="J135">
            <v>154.4</v>
          </cell>
          <cell r="K135">
            <v>162.69999999999999</v>
          </cell>
          <cell r="L135">
            <v>166.7</v>
          </cell>
          <cell r="M135">
            <v>173.3</v>
          </cell>
          <cell r="N135">
            <v>178.66125641213065</v>
          </cell>
          <cell r="O135">
            <v>182.8309270099904</v>
          </cell>
          <cell r="P135">
            <v>208.14583742151746</v>
          </cell>
          <cell r="Q135">
            <v>212.32462380800064</v>
          </cell>
          <cell r="R135">
            <v>216.49234312098952</v>
          </cell>
          <cell r="S135">
            <v>219.8767268242172</v>
          </cell>
          <cell r="T135">
            <v>223.05258882633746</v>
          </cell>
          <cell r="U135">
            <v>226.02549765822027</v>
          </cell>
          <cell r="V135">
            <v>228.94646643961238</v>
          </cell>
          <cell r="W135">
            <v>231.58810230568471</v>
          </cell>
          <cell r="X135">
            <v>234.54828734519754</v>
          </cell>
          <cell r="Z135" t="str">
            <v>Total Homes</v>
          </cell>
          <cell r="BJ135" t="str">
            <v>n.a.</v>
          </cell>
          <cell r="BK135" t="str">
            <v>n.a.</v>
          </cell>
          <cell r="BL135">
            <v>144.69999999999999</v>
          </cell>
          <cell r="BM135">
            <v>145.4</v>
          </cell>
          <cell r="BO135">
            <v>148.19999999999999</v>
          </cell>
          <cell r="BP135">
            <v>150.6</v>
          </cell>
          <cell r="BQ135">
            <v>152.6</v>
          </cell>
          <cell r="BR135">
            <v>154.4</v>
          </cell>
          <cell r="BT135">
            <v>157.30000000000001</v>
          </cell>
          <cell r="BU135">
            <v>159.69999999999999</v>
          </cell>
          <cell r="BV135">
            <v>160.80000000000001</v>
          </cell>
          <cell r="BW135">
            <v>162.69999999999999</v>
          </cell>
          <cell r="BY135">
            <v>163.89999999999998</v>
          </cell>
          <cell r="BZ135">
            <v>165.2</v>
          </cell>
          <cell r="CA135">
            <v>165.3</v>
          </cell>
          <cell r="CB135">
            <v>166.7</v>
          </cell>
          <cell r="CD135">
            <v>168.60000000000002</v>
          </cell>
          <cell r="CE135">
            <v>169.5</v>
          </cell>
          <cell r="CF135">
            <v>171.8</v>
          </cell>
          <cell r="CG135">
            <v>173.9</v>
          </cell>
          <cell r="CI135">
            <v>174.55</v>
          </cell>
          <cell r="CJ135">
            <v>175.8</v>
          </cell>
          <cell r="CK135">
            <v>177.05</v>
          </cell>
          <cell r="CL135">
            <v>179.86125641213064</v>
          </cell>
        </row>
        <row r="137">
          <cell r="A137" t="str">
            <v>Homes, % Growth</v>
          </cell>
          <cell r="Z137" t="str">
            <v>Homes, % Growth</v>
          </cell>
        </row>
        <row r="138">
          <cell r="A138" t="str">
            <v xml:space="preserve">  Domestic</v>
          </cell>
          <cell r="J138">
            <v>2.9103608847497187E-2</v>
          </cell>
          <cell r="K138">
            <v>2.7149321266968229E-2</v>
          </cell>
          <cell r="L138">
            <v>-1.1013215859030367E-3</v>
          </cell>
          <cell r="M138">
            <v>2.9768467475193017E-2</v>
          </cell>
          <cell r="N138">
            <v>1.815506497496111E-2</v>
          </cell>
          <cell r="O138">
            <v>1.1567410871419881E-2</v>
          </cell>
          <cell r="P138">
            <v>1.0677686786144225E-2</v>
          </cell>
          <cell r="Q138">
            <v>1.2316508679221183E-2</v>
          </cell>
          <cell r="R138">
            <v>1.3379265682643249E-2</v>
          </cell>
          <cell r="S138">
            <v>1.3036831463376197E-2</v>
          </cell>
          <cell r="T138">
            <v>1.1577042639392188E-2</v>
          </cell>
          <cell r="U138">
            <v>1.0218246411579646E-2</v>
          </cell>
          <cell r="V138">
            <v>1.0359989646328671E-2</v>
          </cell>
          <cell r="W138">
            <v>8.3130050512503217E-3</v>
          </cell>
          <cell r="X138">
            <v>1.2000000000000011E-2</v>
          </cell>
          <cell r="Z138" t="str">
            <v xml:space="preserve">  Domestic</v>
          </cell>
          <cell r="BR138">
            <v>2.9103608847497187E-2</v>
          </cell>
          <cell r="BT138">
            <v>2.4137931034482696E-2</v>
          </cell>
          <cell r="BU138">
            <v>2.9782359679267012E-2</v>
          </cell>
          <cell r="BV138">
            <v>3.0751708428246038E-2</v>
          </cell>
          <cell r="BW138">
            <v>2.7149321266968229E-2</v>
          </cell>
          <cell r="BY138">
            <v>1.9079685746352437E-2</v>
          </cell>
          <cell r="BZ138">
            <v>1.3348164627363657E-2</v>
          </cell>
          <cell r="CA138">
            <v>-2.2099447513812542E-3</v>
          </cell>
          <cell r="CB138">
            <v>-1.1013215859030367E-3</v>
          </cell>
          <cell r="CD138">
            <v>4.405286343612369E-3</v>
          </cell>
          <cell r="CE138">
            <v>-2.1953896816683249E-3</v>
          </cell>
          <cell r="CF138">
            <v>2.6578073089701171E-2</v>
          </cell>
          <cell r="CG138">
            <v>2.9768467475193017E-2</v>
          </cell>
          <cell r="CI138">
            <v>2.796052631578938E-2</v>
          </cell>
          <cell r="CJ138">
            <v>3.5203520352035111E-2</v>
          </cell>
          <cell r="CK138">
            <v>1.8878101402373337E-2</v>
          </cell>
          <cell r="CL138">
            <v>1.815506497496111E-2</v>
          </cell>
        </row>
        <row r="139">
          <cell r="A139" t="str">
            <v xml:space="preserve">  United Kingdom</v>
          </cell>
          <cell r="J139">
            <v>0.19083969465648853</v>
          </cell>
          <cell r="K139">
            <v>0.14102564102564119</v>
          </cell>
          <cell r="L139">
            <v>8.9887640449437978E-2</v>
          </cell>
          <cell r="M139">
            <v>0.12371134020618579</v>
          </cell>
          <cell r="N139">
            <v>6.0255657957306141E-2</v>
          </cell>
          <cell r="O139">
            <v>4.7347925975947946E-2</v>
          </cell>
          <cell r="P139">
            <v>4.1467930705904932E-2</v>
          </cell>
          <cell r="Q139">
            <v>3.8024747105950718E-2</v>
          </cell>
          <cell r="R139">
            <v>3.8622536048874112E-2</v>
          </cell>
          <cell r="S139">
            <v>1.2000000000000011E-2</v>
          </cell>
          <cell r="T139">
            <v>1.2000000000000011E-2</v>
          </cell>
          <cell r="U139">
            <v>1.1999999999999789E-2</v>
          </cell>
          <cell r="V139">
            <v>1.2000000000000233E-2</v>
          </cell>
          <cell r="W139">
            <v>1.2000000000000011E-2</v>
          </cell>
          <cell r="X139">
            <v>1.2000000000000011E-2</v>
          </cell>
          <cell r="Z139" t="str">
            <v xml:space="preserve">  United Kingdom</v>
          </cell>
          <cell r="BR139">
            <v>0.19083969465648853</v>
          </cell>
          <cell r="BT139">
            <v>0.14184397163120588</v>
          </cell>
          <cell r="BU139">
            <v>0.1875</v>
          </cell>
          <cell r="BV139">
            <v>0.11258278145695377</v>
          </cell>
          <cell r="BW139">
            <v>0.14102564102564119</v>
          </cell>
          <cell r="BY139">
            <v>0.14285714285714257</v>
          </cell>
          <cell r="BZ139">
            <v>9.3567251461988077E-2</v>
          </cell>
          <cell r="CA139">
            <v>0.13095238095238093</v>
          </cell>
          <cell r="CB139">
            <v>8.9887640449437978E-2</v>
          </cell>
          <cell r="CD139">
            <v>9.7826086956521729E-2</v>
          </cell>
          <cell r="CE139">
            <v>0.12299465240641716</v>
          </cell>
          <cell r="CF139">
            <v>0.11052631578947381</v>
          </cell>
          <cell r="CG139">
            <v>0.12371134020618579</v>
          </cell>
          <cell r="CI139">
            <v>9.4059405940594143E-2</v>
          </cell>
          <cell r="CJ139">
            <v>6.6666666666666652E-2</v>
          </cell>
          <cell r="CK139">
            <v>7.5829383886255819E-2</v>
          </cell>
          <cell r="CL139">
            <v>6.0255657957306141E-2</v>
          </cell>
        </row>
        <row r="140">
          <cell r="A140" t="str">
            <v xml:space="preserve">  Germany</v>
          </cell>
          <cell r="J140">
            <v>3.1791907514450823E-2</v>
          </cell>
          <cell r="K140">
            <v>4.761904761904745E-2</v>
          </cell>
          <cell r="L140">
            <v>1.3368983957219305E-2</v>
          </cell>
          <cell r="M140">
            <v>-7.9155672823217893E-3</v>
          </cell>
          <cell r="N140">
            <v>1.9999999999999796E-2</v>
          </cell>
          <cell r="O140">
            <v>1.4999999999999902E-2</v>
          </cell>
          <cell r="P140">
            <v>1.5000000000000124E-2</v>
          </cell>
          <cell r="Q140">
            <v>1.499999999999968E-2</v>
          </cell>
          <cell r="R140">
            <v>1.4999999999999902E-2</v>
          </cell>
          <cell r="S140">
            <v>1.4999999999999902E-2</v>
          </cell>
          <cell r="T140">
            <v>1.4999999999999902E-2</v>
          </cell>
          <cell r="U140">
            <v>1.4999999999999902E-2</v>
          </cell>
          <cell r="V140">
            <v>1.4999999999999902E-2</v>
          </cell>
          <cell r="W140">
            <v>1.4999999999999902E-2</v>
          </cell>
          <cell r="X140">
            <v>1.4999999999999902E-2</v>
          </cell>
          <cell r="Z140" t="str">
            <v xml:space="preserve">  Germany</v>
          </cell>
          <cell r="BR140">
            <v>3.1791907514450823E-2</v>
          </cell>
          <cell r="BT140">
            <v>6.3400576368875861E-2</v>
          </cell>
          <cell r="BU140">
            <v>5.3977272727272707E-2</v>
          </cell>
          <cell r="BV140">
            <v>5.6497175141242861E-2</v>
          </cell>
          <cell r="BW140">
            <v>4.761904761904745E-2</v>
          </cell>
          <cell r="BY140">
            <v>1.6260162601626105E-2</v>
          </cell>
          <cell r="BZ140">
            <v>1.3477088948786964E-2</v>
          </cell>
          <cell r="CA140">
            <v>1.0695187165775444E-2</v>
          </cell>
          <cell r="CB140">
            <v>1.3368983957219305E-2</v>
          </cell>
          <cell r="CD140">
            <v>2.666666666666595E-3</v>
          </cell>
          <cell r="CE140">
            <v>2.6595744680850686E-3</v>
          </cell>
          <cell r="CF140">
            <v>0</v>
          </cell>
          <cell r="CG140">
            <v>-7.9155672823217893E-3</v>
          </cell>
          <cell r="CI140">
            <v>5.3191489361701372E-3</v>
          </cell>
          <cell r="CJ140">
            <v>7.9575596816976457E-3</v>
          </cell>
          <cell r="CK140">
            <v>1.0582010582010692E-2</v>
          </cell>
          <cell r="CL140">
            <v>1.9999999999999796E-2</v>
          </cell>
        </row>
        <row r="141">
          <cell r="A141" t="str">
            <v xml:space="preserve">  Italy</v>
          </cell>
          <cell r="K141" t="str">
            <v>--</v>
          </cell>
          <cell r="L141" t="str">
            <v>--</v>
          </cell>
          <cell r="M141" t="str">
            <v>--</v>
          </cell>
          <cell r="N141" t="str">
            <v>--</v>
          </cell>
          <cell r="O141" t="str">
            <v>--</v>
          </cell>
          <cell r="P141" t="str">
            <v>--</v>
          </cell>
          <cell r="Q141">
            <v>2.0000000000000018E-2</v>
          </cell>
          <cell r="R141">
            <v>2.0000000000000018E-2</v>
          </cell>
          <cell r="S141">
            <v>2.0000000000000018E-2</v>
          </cell>
          <cell r="T141">
            <v>1.9999999999999796E-2</v>
          </cell>
          <cell r="U141">
            <v>2.0000000000000018E-2</v>
          </cell>
          <cell r="V141">
            <v>2.0000000000000018E-2</v>
          </cell>
          <cell r="W141">
            <v>2.0000000000000018E-2</v>
          </cell>
          <cell r="X141">
            <v>2.0000000000000018E-2</v>
          </cell>
        </row>
        <row r="142">
          <cell r="A142" t="str">
            <v xml:space="preserve">  Japan</v>
          </cell>
          <cell r="J142">
            <v>0.24576271186440657</v>
          </cell>
          <cell r="K142">
            <v>0.13605442176870741</v>
          </cell>
          <cell r="L142">
            <v>0.11976047904191622</v>
          </cell>
          <cell r="M142">
            <v>9.625668449197855E-2</v>
          </cell>
          <cell r="N142">
            <v>7.8048780487804947E-2</v>
          </cell>
          <cell r="O142">
            <v>6.3348416289592757E-2</v>
          </cell>
          <cell r="P142">
            <v>5.1063829787234116E-2</v>
          </cell>
          <cell r="Q142">
            <v>4.0485829959514108E-2</v>
          </cell>
          <cell r="R142">
            <v>3.1128404669260812E-2</v>
          </cell>
          <cell r="S142">
            <v>2.6415094339622636E-2</v>
          </cell>
          <cell r="T142">
            <v>2.2058823529411908E-2</v>
          </cell>
          <cell r="U142">
            <v>1.7985611510791477E-2</v>
          </cell>
          <cell r="V142">
            <v>1.4134275618374437E-2</v>
          </cell>
          <cell r="W142">
            <v>1.0452961672473782E-2</v>
          </cell>
          <cell r="X142">
            <v>6.8965517241379448E-3</v>
          </cell>
          <cell r="Z142" t="str">
            <v xml:space="preserve">  Japan</v>
          </cell>
          <cell r="BR142">
            <v>0.24576271186440657</v>
          </cell>
          <cell r="BT142">
            <v>0.22580645161290303</v>
          </cell>
          <cell r="BU142">
            <v>0.13868613138686126</v>
          </cell>
          <cell r="BV142">
            <v>0.12587412587412583</v>
          </cell>
          <cell r="BW142">
            <v>0.13605442176870741</v>
          </cell>
          <cell r="BY142">
            <v>0.13157894736842102</v>
          </cell>
          <cell r="BZ142">
            <v>0.14102564102564119</v>
          </cell>
          <cell r="CA142">
            <v>0.13043478260869557</v>
          </cell>
          <cell r="CB142">
            <v>0.11976047904191622</v>
          </cell>
          <cell r="CD142">
            <v>0.13953488372093048</v>
          </cell>
          <cell r="CE142">
            <v>0.1179775280898876</v>
          </cell>
          <cell r="CF142">
            <v>0.10989010989010994</v>
          </cell>
          <cell r="CG142">
            <v>0.12834224598930488</v>
          </cell>
          <cell r="CI142">
            <v>6.6326530612244472E-2</v>
          </cell>
          <cell r="CJ142">
            <v>7.0351758793969932E-2</v>
          </cell>
          <cell r="CK142">
            <v>7.4257425742574323E-2</v>
          </cell>
          <cell r="CL142">
            <v>0.10426540284360186</v>
          </cell>
        </row>
        <row r="143">
          <cell r="A143" t="str">
            <v>Total International</v>
          </cell>
          <cell r="J143">
            <v>0.10924369747899165</v>
          </cell>
          <cell r="K143">
            <v>8.9393939393939581E-2</v>
          </cell>
          <cell r="L143">
            <v>5.7023643949930314E-2</v>
          </cell>
          <cell r="M143">
            <v>5.1315789473684204E-2</v>
          </cell>
          <cell r="N143">
            <v>4.5877013059690608E-2</v>
          </cell>
          <cell r="O143">
            <v>3.6733545129755463E-2</v>
          </cell>
          <cell r="P143">
            <v>0.28034509808370389</v>
          </cell>
          <cell r="Q143">
            <v>2.6877568434345411E-2</v>
          </cell>
          <cell r="R143">
            <v>2.5029144884343157E-2</v>
          </cell>
          <cell r="S143">
            <v>1.7850400383485843E-2</v>
          </cell>
          <cell r="T143">
            <v>1.6881174084440786E-2</v>
          </cell>
          <cell r="U143">
            <v>1.5958652794577199E-2</v>
          </cell>
          <cell r="V143">
            <v>1.5078795092857034E-2</v>
          </cell>
          <cell r="W143">
            <v>1.4237984874980958E-2</v>
          </cell>
          <cell r="X143">
            <v>1.3432975775505396E-2</v>
          </cell>
          <cell r="Z143" t="str">
            <v>Total International</v>
          </cell>
          <cell r="BR143">
            <v>0.10924369747899165</v>
          </cell>
          <cell r="BT143">
            <v>0.1143790849673203</v>
          </cell>
          <cell r="BU143">
            <v>0.10268562401263814</v>
          </cell>
          <cell r="BV143">
            <v>8.4876543209876809E-2</v>
          </cell>
          <cell r="BW143">
            <v>8.9393939393939581E-2</v>
          </cell>
          <cell r="BY143">
            <v>7.1847507331378235E-2</v>
          </cell>
          <cell r="BZ143">
            <v>6.1604584527220618E-2</v>
          </cell>
          <cell r="CA143">
            <v>6.6856330014224641E-2</v>
          </cell>
          <cell r="CB143">
            <v>5.7023643949930314E-2</v>
          </cell>
          <cell r="CD143">
            <v>5.8823529411764941E-2</v>
          </cell>
          <cell r="CE143">
            <v>6.0728744939271273E-2</v>
          </cell>
          <cell r="CF143">
            <v>5.4666666666666641E-2</v>
          </cell>
          <cell r="CG143">
            <v>5.921052631578938E-2</v>
          </cell>
          <cell r="CI143">
            <v>4.3927648578811151E-2</v>
          </cell>
          <cell r="CJ143">
            <v>3.9440203562341125E-2</v>
          </cell>
          <cell r="CK143">
            <v>4.424778761061976E-2</v>
          </cell>
          <cell r="CL143">
            <v>5.2988488738748618E-2</v>
          </cell>
        </row>
        <row r="144">
          <cell r="A144" t="str">
            <v>Total Homes, % Growth</v>
          </cell>
          <cell r="J144">
            <v>6.1898211829436001E-2</v>
          </cell>
          <cell r="K144">
            <v>5.3756476683937793E-2</v>
          </cell>
          <cell r="L144">
            <v>2.4585125998770829E-2</v>
          </cell>
          <cell r="M144">
            <v>3.9592081583683436E-2</v>
          </cell>
          <cell r="N144">
            <v>3.0936274738203373E-2</v>
          </cell>
          <cell r="O144">
            <v>2.3338415287091019E-2</v>
          </cell>
          <cell r="P144">
            <v>0.13846076714441091</v>
          </cell>
          <cell r="Q144">
            <v>2.0076242879749184E-2</v>
          </cell>
          <cell r="R144">
            <v>1.9628996572520263E-2</v>
          </cell>
          <cell r="S144">
            <v>1.5632810169809552E-2</v>
          </cell>
          <cell r="T144">
            <v>1.4443829722184498E-2</v>
          </cell>
          <cell r="U144">
            <v>1.3328286605081452E-2</v>
          </cell>
          <cell r="V144">
            <v>1.2923182612826212E-2</v>
          </cell>
          <cell r="W144">
            <v>1.1538225101932698E-2</v>
          </cell>
          <cell r="X144">
            <v>1.2782111904891869E-2</v>
          </cell>
          <cell r="Z144" t="str">
            <v>Total Homes, % Growth</v>
          </cell>
          <cell r="BO144" t="str">
            <v>n.a.</v>
          </cell>
          <cell r="BP144" t="str">
            <v>n.a.</v>
          </cell>
          <cell r="BQ144" t="str">
            <v>n.a.</v>
          </cell>
          <cell r="BR144">
            <v>6.1898211829436001E-2</v>
          </cell>
          <cell r="BT144">
            <v>6.1403508771930015E-2</v>
          </cell>
          <cell r="BU144">
            <v>6.0424966799468738E-2</v>
          </cell>
          <cell r="BV144">
            <v>5.3735255570118046E-2</v>
          </cell>
          <cell r="BW144">
            <v>5.3756476683937793E-2</v>
          </cell>
          <cell r="BY144">
            <v>4.1958041958041647E-2</v>
          </cell>
          <cell r="BZ144">
            <v>3.4439574201628131E-2</v>
          </cell>
          <cell r="CA144">
            <v>2.7985074626865725E-2</v>
          </cell>
          <cell r="CB144">
            <v>2.4585125998770829E-2</v>
          </cell>
          <cell r="CD144">
            <v>2.8676021964612941E-2</v>
          </cell>
          <cell r="CE144">
            <v>2.6029055690072633E-2</v>
          </cell>
          <cell r="CF144">
            <v>3.9322444041137272E-2</v>
          </cell>
          <cell r="CG144">
            <v>4.3191361727654476E-2</v>
          </cell>
          <cell r="CI144">
            <v>3.5290628706998728E-2</v>
          </cell>
          <cell r="CJ144">
            <v>3.7168141592920367E-2</v>
          </cell>
          <cell r="CK144">
            <v>3.055878928987199E-2</v>
          </cell>
          <cell r="CL144">
            <v>3.4279795354402731E-2</v>
          </cell>
        </row>
        <row r="146">
          <cell r="A146" t="str">
            <v>FTEs</v>
          </cell>
          <cell r="Z146" t="str">
            <v>FTEs</v>
          </cell>
        </row>
        <row r="147">
          <cell r="A147" t="str">
            <v xml:space="preserve">  Domestic</v>
          </cell>
          <cell r="B147">
            <v>54000</v>
          </cell>
          <cell r="C147">
            <v>61700</v>
          </cell>
          <cell r="D147">
            <v>64700</v>
          </cell>
          <cell r="E147">
            <v>66700</v>
          </cell>
          <cell r="F147">
            <v>70300</v>
          </cell>
          <cell r="G147">
            <v>73500</v>
          </cell>
          <cell r="H147">
            <v>75900</v>
          </cell>
          <cell r="I147">
            <v>79565.5</v>
          </cell>
          <cell r="J147">
            <v>78280</v>
          </cell>
          <cell r="K147">
            <v>79062.533927811921</v>
          </cell>
          <cell r="L147">
            <v>79953.973026177904</v>
          </cell>
          <cell r="M147">
            <v>82334.080271720144</v>
          </cell>
          <cell r="N147">
            <v>83828.860848706885</v>
          </cell>
          <cell r="O147">
            <v>84798.543725026961</v>
          </cell>
          <cell r="P147">
            <v>85703.996014843957</v>
          </cell>
          <cell r="Q147">
            <v>86759.570025604713</v>
          </cell>
          <cell r="R147">
            <v>87920.349363489178</v>
          </cell>
          <cell r="S147">
            <v>89066.552140342144</v>
          </cell>
          <cell r="T147">
            <v>90097.679412214537</v>
          </cell>
          <cell r="U147">
            <v>91018.319701560045</v>
          </cell>
          <cell r="V147">
            <v>91961.268551294459</v>
          </cell>
          <cell r="W147">
            <v>92725.743041280744</v>
          </cell>
          <cell r="X147">
            <v>93838.451957776109</v>
          </cell>
          <cell r="Z147" t="str">
            <v xml:space="preserve">  Domestic</v>
          </cell>
          <cell r="BJ147">
            <v>75500</v>
          </cell>
          <cell r="BK147">
            <v>76500</v>
          </cell>
          <cell r="BL147">
            <v>76250</v>
          </cell>
          <cell r="BM147">
            <v>76000</v>
          </cell>
          <cell r="BO147">
            <v>79315.5</v>
          </cell>
          <cell r="BP147">
            <v>72027.054922701383</v>
          </cell>
          <cell r="BQ147">
            <v>72377.054922701383</v>
          </cell>
          <cell r="BR147">
            <v>78280</v>
          </cell>
          <cell r="BT147">
            <v>78475.633481952973</v>
          </cell>
          <cell r="BU147">
            <v>78671.266963905946</v>
          </cell>
          <cell r="BV147">
            <v>78866.900445858919</v>
          </cell>
          <cell r="BW147">
            <v>79062.533927811921</v>
          </cell>
          <cell r="BY147">
            <v>79285.393702403409</v>
          </cell>
          <cell r="BZ147">
            <v>79508.253476994898</v>
          </cell>
          <cell r="CA147">
            <v>79731.113251586386</v>
          </cell>
          <cell r="CB147">
            <v>79953.973026177904</v>
          </cell>
          <cell r="CD147">
            <v>80394.733627204245</v>
          </cell>
          <cell r="CE147">
            <v>80130.27726658844</v>
          </cell>
          <cell r="CF147">
            <v>81717.015430283267</v>
          </cell>
          <cell r="CG147">
            <v>82334.080271720144</v>
          </cell>
          <cell r="CI147">
            <v>83828.860848706885</v>
          </cell>
          <cell r="CJ147">
            <v>84798.543725026961</v>
          </cell>
          <cell r="CK147">
            <v>85703.996014843957</v>
          </cell>
          <cell r="CL147">
            <v>86759.570025604713</v>
          </cell>
        </row>
        <row r="148">
          <cell r="A148" t="str">
            <v xml:space="preserve">  United Kingdom</v>
          </cell>
          <cell r="B148">
            <v>5400</v>
          </cell>
          <cell r="C148">
            <v>6600</v>
          </cell>
          <cell r="D148">
            <v>6325</v>
          </cell>
          <cell r="E148">
            <v>8100</v>
          </cell>
          <cell r="F148">
            <v>8900</v>
          </cell>
          <cell r="G148">
            <v>10100</v>
          </cell>
          <cell r="H148">
            <v>10590</v>
          </cell>
          <cell r="I148">
            <v>13100</v>
          </cell>
          <cell r="J148">
            <v>15600</v>
          </cell>
          <cell r="K148">
            <v>17800</v>
          </cell>
          <cell r="L148">
            <v>19400</v>
          </cell>
          <cell r="M148">
            <v>21800</v>
          </cell>
          <cell r="N148">
            <v>23113.573343469274</v>
          </cell>
          <cell r="O148">
            <v>24207.953103175503</v>
          </cell>
          <cell r="P148">
            <v>25211.806824989781</v>
          </cell>
          <cell r="Q148">
            <v>26170.479403594098</v>
          </cell>
          <cell r="R148">
            <v>27181.249687775726</v>
          </cell>
          <cell r="S148">
            <v>27507.424684029033</v>
          </cell>
          <cell r="T148">
            <v>27837.513780237383</v>
          </cell>
          <cell r="U148">
            <v>28171.563945600228</v>
          </cell>
          <cell r="V148">
            <v>28509.622712947432</v>
          </cell>
          <cell r="W148">
            <v>28851.7381855028</v>
          </cell>
          <cell r="X148">
            <v>29197.959043728835</v>
          </cell>
          <cell r="Z148" t="str">
            <v xml:space="preserve">  United Kingdom</v>
          </cell>
          <cell r="BJ148">
            <v>12410</v>
          </cell>
          <cell r="BK148">
            <v>11790</v>
          </cell>
          <cell r="BL148">
            <v>12790</v>
          </cell>
          <cell r="BM148">
            <v>13100</v>
          </cell>
          <cell r="BO148">
            <v>14100</v>
          </cell>
          <cell r="BP148">
            <v>14400</v>
          </cell>
          <cell r="BQ148">
            <v>15100</v>
          </cell>
          <cell r="BR148">
            <v>15600</v>
          </cell>
          <cell r="BT148">
            <v>16100.000000000002</v>
          </cell>
          <cell r="BU148">
            <v>17100</v>
          </cell>
          <cell r="BV148">
            <v>16800</v>
          </cell>
          <cell r="BW148">
            <v>17800</v>
          </cell>
          <cell r="BY148">
            <v>18400</v>
          </cell>
          <cell r="BZ148">
            <v>18700</v>
          </cell>
          <cell r="CA148">
            <v>19000</v>
          </cell>
          <cell r="CB148">
            <v>19400</v>
          </cell>
          <cell r="CD148">
            <v>20200</v>
          </cell>
          <cell r="CE148">
            <v>21000</v>
          </cell>
          <cell r="CF148">
            <v>21100</v>
          </cell>
          <cell r="CG148">
            <v>21800</v>
          </cell>
          <cell r="CI148">
            <v>23113.573343469274</v>
          </cell>
          <cell r="CJ148">
            <v>24207.953103175503</v>
          </cell>
          <cell r="CK148">
            <v>25211.806824989781</v>
          </cell>
          <cell r="CL148">
            <v>26170.479403594098</v>
          </cell>
        </row>
        <row r="149">
          <cell r="A149" t="str">
            <v xml:space="preserve">  Germany</v>
          </cell>
          <cell r="B149">
            <v>4500</v>
          </cell>
          <cell r="C149">
            <v>4900</v>
          </cell>
          <cell r="D149">
            <v>5300</v>
          </cell>
          <cell r="E149">
            <v>19400</v>
          </cell>
          <cell r="F149">
            <v>23200</v>
          </cell>
          <cell r="G149">
            <v>24400</v>
          </cell>
          <cell r="H149">
            <v>26800</v>
          </cell>
          <cell r="I149">
            <v>27680</v>
          </cell>
          <cell r="J149">
            <v>28560</v>
          </cell>
          <cell r="K149">
            <v>29920</v>
          </cell>
          <cell r="L149">
            <v>30320</v>
          </cell>
          <cell r="M149">
            <v>30080</v>
          </cell>
          <cell r="N149">
            <v>30681.600000000002</v>
          </cell>
          <cell r="O149">
            <v>31141.824000000001</v>
          </cell>
          <cell r="P149">
            <v>31608.951359999995</v>
          </cell>
          <cell r="Q149">
            <v>32083.08563039999</v>
          </cell>
          <cell r="R149">
            <v>32564.331914855989</v>
          </cell>
          <cell r="S149">
            <v>33052.79689357883</v>
          </cell>
          <cell r="T149">
            <v>33548.588846982508</v>
          </cell>
          <cell r="U149">
            <v>34051.817679687243</v>
          </cell>
          <cell r="V149">
            <v>34562.594944882549</v>
          </cell>
          <cell r="W149">
            <v>35081.033869055784</v>
          </cell>
          <cell r="X149">
            <v>35607.249377091612</v>
          </cell>
          <cell r="Z149" t="str">
            <v xml:space="preserve">  Germany</v>
          </cell>
          <cell r="BJ149">
            <v>25200</v>
          </cell>
          <cell r="BK149">
            <v>27400</v>
          </cell>
          <cell r="BL149">
            <v>27320</v>
          </cell>
          <cell r="BM149">
            <v>27680</v>
          </cell>
          <cell r="BO149">
            <v>27760</v>
          </cell>
          <cell r="BP149">
            <v>28160</v>
          </cell>
          <cell r="BQ149">
            <v>28320</v>
          </cell>
          <cell r="BR149">
            <v>28560</v>
          </cell>
          <cell r="BT149">
            <v>29520</v>
          </cell>
          <cell r="BU149">
            <v>29680</v>
          </cell>
          <cell r="BV149">
            <v>29920</v>
          </cell>
          <cell r="BW149">
            <v>29920</v>
          </cell>
          <cell r="BY149">
            <v>30000</v>
          </cell>
          <cell r="BZ149">
            <v>30080</v>
          </cell>
          <cell r="CA149">
            <v>30240</v>
          </cell>
          <cell r="CB149">
            <v>30320</v>
          </cell>
          <cell r="CD149">
            <v>30080</v>
          </cell>
          <cell r="CE149">
            <v>30160</v>
          </cell>
          <cell r="CF149">
            <v>30240</v>
          </cell>
          <cell r="CG149">
            <v>30080</v>
          </cell>
          <cell r="CI149">
            <v>30681.600000000002</v>
          </cell>
          <cell r="CJ149">
            <v>31141.824000000001</v>
          </cell>
          <cell r="CK149">
            <v>31608.951359999995</v>
          </cell>
          <cell r="CL149">
            <v>32083.08563039999</v>
          </cell>
        </row>
        <row r="150">
          <cell r="A150" t="str">
            <v xml:space="preserve">  Italy</v>
          </cell>
          <cell r="K150">
            <v>0</v>
          </cell>
          <cell r="L150">
            <v>0</v>
          </cell>
          <cell r="M150">
            <v>0</v>
          </cell>
          <cell r="N150">
            <v>0</v>
          </cell>
          <cell r="O150">
            <v>0</v>
          </cell>
          <cell r="P150">
            <v>8800</v>
          </cell>
          <cell r="Q150">
            <v>8976</v>
          </cell>
          <cell r="R150">
            <v>9155.52</v>
          </cell>
          <cell r="S150">
            <v>9338.6304</v>
          </cell>
          <cell r="T150">
            <v>9525.4030079999993</v>
          </cell>
          <cell r="U150">
            <v>9715.9110681599996</v>
          </cell>
          <cell r="V150">
            <v>9910.2292895232004</v>
          </cell>
          <cell r="W150">
            <v>10108.433875313664</v>
          </cell>
          <cell r="X150">
            <v>10310.602552819937</v>
          </cell>
        </row>
        <row r="151">
          <cell r="A151" t="str">
            <v xml:space="preserve">  Japan</v>
          </cell>
          <cell r="H151">
            <v>11800</v>
          </cell>
          <cell r="I151">
            <v>11800</v>
          </cell>
          <cell r="J151">
            <v>14700</v>
          </cell>
          <cell r="K151">
            <v>16700</v>
          </cell>
          <cell r="L151">
            <v>18700</v>
          </cell>
          <cell r="M151">
            <v>20500</v>
          </cell>
          <cell r="N151">
            <v>22100</v>
          </cell>
          <cell r="O151">
            <v>23500</v>
          </cell>
          <cell r="P151">
            <v>24700</v>
          </cell>
          <cell r="Q151">
            <v>25700</v>
          </cell>
          <cell r="R151">
            <v>26500</v>
          </cell>
          <cell r="S151">
            <v>27200</v>
          </cell>
          <cell r="T151">
            <v>27800</v>
          </cell>
          <cell r="U151">
            <v>28300</v>
          </cell>
          <cell r="V151">
            <v>28700</v>
          </cell>
          <cell r="W151">
            <v>29000</v>
          </cell>
          <cell r="X151">
            <v>29200</v>
          </cell>
          <cell r="Z151" t="str">
            <v xml:space="preserve">  Japan</v>
          </cell>
          <cell r="BJ151">
            <v>11800</v>
          </cell>
          <cell r="BK151">
            <v>11800</v>
          </cell>
          <cell r="BL151">
            <v>11800</v>
          </cell>
          <cell r="BM151">
            <v>11800</v>
          </cell>
          <cell r="BO151">
            <v>12400</v>
          </cell>
          <cell r="BP151">
            <v>13700</v>
          </cell>
          <cell r="BQ151">
            <v>14300</v>
          </cell>
          <cell r="BR151">
            <v>14700</v>
          </cell>
          <cell r="BT151">
            <v>15200</v>
          </cell>
          <cell r="BU151">
            <v>15600</v>
          </cell>
          <cell r="BV151">
            <v>16100.000000000002</v>
          </cell>
          <cell r="BW151">
            <v>16700</v>
          </cell>
          <cell r="BY151">
            <v>17200</v>
          </cell>
          <cell r="BZ151">
            <v>17800</v>
          </cell>
          <cell r="CA151">
            <v>18200</v>
          </cell>
          <cell r="CB151">
            <v>18700</v>
          </cell>
          <cell r="CD151">
            <v>19600.000000000004</v>
          </cell>
          <cell r="CE151">
            <v>19900</v>
          </cell>
          <cell r="CF151">
            <v>20200</v>
          </cell>
          <cell r="CG151">
            <v>21100</v>
          </cell>
          <cell r="CI151">
            <v>22100</v>
          </cell>
          <cell r="CJ151">
            <v>23500</v>
          </cell>
          <cell r="CK151">
            <v>24700</v>
          </cell>
          <cell r="CL151">
            <v>25700</v>
          </cell>
        </row>
        <row r="152">
          <cell r="A152" t="str">
            <v>Total FTEs</v>
          </cell>
          <cell r="B152">
            <v>63900</v>
          </cell>
          <cell r="C152">
            <v>73200</v>
          </cell>
          <cell r="D152">
            <v>76325</v>
          </cell>
          <cell r="E152">
            <v>94200</v>
          </cell>
          <cell r="F152">
            <v>102400</v>
          </cell>
          <cell r="G152">
            <v>108000</v>
          </cell>
          <cell r="H152">
            <v>125090</v>
          </cell>
          <cell r="I152">
            <v>132145.5</v>
          </cell>
          <cell r="J152">
            <v>137140</v>
          </cell>
          <cell r="K152">
            <v>143482.53392781192</v>
          </cell>
          <cell r="L152">
            <v>148373.9730261779</v>
          </cell>
          <cell r="M152">
            <v>154714.08027172013</v>
          </cell>
          <cell r="N152">
            <v>159724.03419217616</v>
          </cell>
          <cell r="O152">
            <v>163648.32082820247</v>
          </cell>
          <cell r="P152">
            <v>176024.75419983373</v>
          </cell>
          <cell r="Q152">
            <v>179689.1350595988</v>
          </cell>
          <cell r="R152">
            <v>183321.45096612087</v>
          </cell>
          <cell r="S152">
            <v>186165.40411795001</v>
          </cell>
          <cell r="T152">
            <v>188809.18504743441</v>
          </cell>
          <cell r="U152">
            <v>191257.61239500751</v>
          </cell>
          <cell r="V152">
            <v>193643.71549864765</v>
          </cell>
          <cell r="W152">
            <v>195766.948971153</v>
          </cell>
          <cell r="X152">
            <v>198154.26293141651</v>
          </cell>
          <cell r="Z152" t="str">
            <v>Total FTEs</v>
          </cell>
          <cell r="BJ152">
            <v>124910</v>
          </cell>
          <cell r="BK152">
            <v>127490</v>
          </cell>
          <cell r="BL152">
            <v>128160</v>
          </cell>
          <cell r="BM152">
            <v>128580</v>
          </cell>
          <cell r="BO152">
            <v>133575.5</v>
          </cell>
          <cell r="BP152">
            <v>128287.05492270138</v>
          </cell>
          <cell r="BQ152">
            <v>130097.05492270138</v>
          </cell>
          <cell r="BR152">
            <v>137140</v>
          </cell>
          <cell r="BT152">
            <v>139295.63348195297</v>
          </cell>
          <cell r="BU152">
            <v>141051.26696390595</v>
          </cell>
          <cell r="BV152">
            <v>141686.90044585892</v>
          </cell>
          <cell r="BW152">
            <v>143482.53392781192</v>
          </cell>
          <cell r="BY152">
            <v>144885.39370240341</v>
          </cell>
          <cell r="BZ152">
            <v>146088.2534769949</v>
          </cell>
          <cell r="CA152">
            <v>147171.11325158639</v>
          </cell>
          <cell r="CB152">
            <v>148373.9730261779</v>
          </cell>
          <cell r="CD152">
            <v>150274.73362720426</v>
          </cell>
          <cell r="CE152">
            <v>151190.27726658844</v>
          </cell>
          <cell r="CF152">
            <v>153257.01543028327</v>
          </cell>
          <cell r="CG152">
            <v>155314.08027172013</v>
          </cell>
          <cell r="CI152">
            <v>159724.03419217616</v>
          </cell>
          <cell r="CJ152">
            <v>163648.32082820247</v>
          </cell>
          <cell r="CK152">
            <v>167224.75419983373</v>
          </cell>
          <cell r="CL152">
            <v>170713.1350595988</v>
          </cell>
        </row>
        <row r="154">
          <cell r="A154" t="str">
            <v>FTE Growth</v>
          </cell>
          <cell r="Z154" t="str">
            <v>FTE Growth</v>
          </cell>
        </row>
        <row r="155">
          <cell r="A155" t="str">
            <v xml:space="preserve">  Domestic</v>
          </cell>
          <cell r="C155">
            <v>0.1425925925925926</v>
          </cell>
          <cell r="D155">
            <v>4.8622366288492813E-2</v>
          </cell>
          <cell r="E155">
            <v>3.0911901081916549E-2</v>
          </cell>
          <cell r="F155">
            <v>5.3973013493253452E-2</v>
          </cell>
          <cell r="G155">
            <v>4.5519203413940224E-2</v>
          </cell>
          <cell r="H155">
            <v>3.2653061224489743E-2</v>
          </cell>
          <cell r="I155">
            <v>4.8293807641633713E-2</v>
          </cell>
          <cell r="J155">
            <v>-1.6156499990573781E-2</v>
          </cell>
          <cell r="K155">
            <v>9.9966010195697841E-3</v>
          </cell>
          <cell r="L155">
            <v>1.1275114192266011E-2</v>
          </cell>
          <cell r="M155">
            <v>2.9768467475193017E-2</v>
          </cell>
          <cell r="N155">
            <v>1.815506497496111E-2</v>
          </cell>
          <cell r="O155">
            <v>1.1567410871419881E-2</v>
          </cell>
          <cell r="P155">
            <v>1.0677686786144225E-2</v>
          </cell>
          <cell r="Q155">
            <v>1.2316508679221183E-2</v>
          </cell>
          <cell r="R155">
            <v>1.3379265682643249E-2</v>
          </cell>
          <cell r="S155">
            <v>1.3036831463376197E-2</v>
          </cell>
          <cell r="T155">
            <v>1.1577042639392188E-2</v>
          </cell>
          <cell r="U155">
            <v>1.0218246411579646E-2</v>
          </cell>
          <cell r="V155">
            <v>1.0359989646328893E-2</v>
          </cell>
          <cell r="W155">
            <v>8.3130050512500997E-3</v>
          </cell>
          <cell r="X155">
            <v>1.2000000000000011E-2</v>
          </cell>
          <cell r="Z155" t="str">
            <v xml:space="preserve">  Domestic</v>
          </cell>
          <cell r="BO155">
            <v>5.0536423841059497E-2</v>
          </cell>
          <cell r="BP155">
            <v>-5.8469870291485204E-2</v>
          </cell>
          <cell r="BQ155">
            <v>-5.0792722325227802E-2</v>
          </cell>
          <cell r="BR155">
            <v>3.0000000000000027E-2</v>
          </cell>
          <cell r="BT155">
            <v>-1.0588933033858772E-2</v>
          </cell>
          <cell r="BU155">
            <v>9.2246060155243725E-2</v>
          </cell>
          <cell r="BV155">
            <v>8.9667167724476915E-2</v>
          </cell>
          <cell r="BW155">
            <v>9.9966010195697841E-3</v>
          </cell>
          <cell r="BY155">
            <v>1.0318619736107815E-2</v>
          </cell>
          <cell r="BZ155">
            <v>1.0639036911315403E-2</v>
          </cell>
          <cell r="CA155">
            <v>1.0957864463314815E-2</v>
          </cell>
          <cell r="CB155">
            <v>1.1275114192266011E-2</v>
          </cell>
          <cell r="CD155">
            <v>1.3991731301287613E-2</v>
          </cell>
          <cell r="CE155">
            <v>7.8233864082239979E-3</v>
          </cell>
          <cell r="CF155">
            <v>2.4907493420172067E-2</v>
          </cell>
          <cell r="CG155">
            <v>2.9768467475193017E-2</v>
          </cell>
          <cell r="CI155">
            <v>4.2715823121286967E-2</v>
          </cell>
          <cell r="CJ155">
            <v>5.8258458820846126E-2</v>
          </cell>
          <cell r="CK155">
            <v>4.8790090577429002E-2</v>
          </cell>
          <cell r="CL155">
            <v>5.3750400068592441E-2</v>
          </cell>
        </row>
        <row r="156">
          <cell r="A156" t="str">
            <v xml:space="preserve">  United Kingdom</v>
          </cell>
          <cell r="C156">
            <v>0.22222222222222232</v>
          </cell>
          <cell r="D156">
            <v>-4.166666666666663E-2</v>
          </cell>
          <cell r="E156">
            <v>0.28063241106719361</v>
          </cell>
          <cell r="F156">
            <v>9.8765432098765427E-2</v>
          </cell>
          <cell r="G156">
            <v>0.13483146067415741</v>
          </cell>
          <cell r="H156">
            <v>4.8514851485148558E-2</v>
          </cell>
          <cell r="I156">
            <v>0.23701605288007555</v>
          </cell>
          <cell r="J156">
            <v>0.19083969465648853</v>
          </cell>
          <cell r="K156">
            <v>0.14102564102564097</v>
          </cell>
          <cell r="L156">
            <v>8.98876404494382E-2</v>
          </cell>
          <cell r="M156">
            <v>0.12371134020618557</v>
          </cell>
          <cell r="N156">
            <v>6.0255657957306141E-2</v>
          </cell>
          <cell r="O156">
            <v>4.7347925975947946E-2</v>
          </cell>
          <cell r="P156">
            <v>4.1467930705904932E-2</v>
          </cell>
          <cell r="Q156">
            <v>3.8024747105950718E-2</v>
          </cell>
          <cell r="R156">
            <v>3.8622536048874112E-2</v>
          </cell>
          <cell r="S156">
            <v>1.2000000000000011E-2</v>
          </cell>
          <cell r="T156">
            <v>1.2000000000000011E-2</v>
          </cell>
          <cell r="U156">
            <v>1.1999999999999789E-2</v>
          </cell>
          <cell r="V156">
            <v>1.2000000000000011E-2</v>
          </cell>
          <cell r="W156">
            <v>1.2000000000000011E-2</v>
          </cell>
          <cell r="X156">
            <v>1.2000000000000011E-2</v>
          </cell>
          <cell r="Z156" t="str">
            <v xml:space="preserve">  United Kingdom</v>
          </cell>
          <cell r="BO156">
            <v>0.13618049959709921</v>
          </cell>
          <cell r="BP156">
            <v>0.22137404580152675</v>
          </cell>
          <cell r="BQ156">
            <v>0.18060985144644248</v>
          </cell>
          <cell r="BR156">
            <v>0.19083969465648853</v>
          </cell>
          <cell r="BT156">
            <v>0.14184397163120588</v>
          </cell>
          <cell r="BU156">
            <v>0.1875</v>
          </cell>
          <cell r="BV156">
            <v>0.11258278145695355</v>
          </cell>
          <cell r="BW156">
            <v>0.14102564102564097</v>
          </cell>
          <cell r="BY156">
            <v>0.14285714285714279</v>
          </cell>
          <cell r="BZ156">
            <v>9.3567251461988299E-2</v>
          </cell>
          <cell r="CA156">
            <v>0.13095238095238093</v>
          </cell>
          <cell r="CB156">
            <v>8.98876404494382E-2</v>
          </cell>
          <cell r="CD156">
            <v>9.7826086956521729E-2</v>
          </cell>
          <cell r="CE156">
            <v>0.12299465240641716</v>
          </cell>
          <cell r="CF156">
            <v>0.11052631578947358</v>
          </cell>
          <cell r="CG156">
            <v>0.12371134020618557</v>
          </cell>
          <cell r="CI156">
            <v>0.14423630413214217</v>
          </cell>
          <cell r="CJ156">
            <v>0.15275967157978587</v>
          </cell>
          <cell r="CK156">
            <v>0.19487236137392316</v>
          </cell>
          <cell r="CL156">
            <v>0.20048070658688522</v>
          </cell>
        </row>
        <row r="157">
          <cell r="A157" t="str">
            <v xml:space="preserve">  Germany</v>
          </cell>
          <cell r="C157">
            <v>8.8888888888888795E-2</v>
          </cell>
          <cell r="D157">
            <v>8.163265306122458E-2</v>
          </cell>
          <cell r="E157">
            <v>2.6603773584905661</v>
          </cell>
          <cell r="F157">
            <v>0.19587628865979378</v>
          </cell>
          <cell r="G157">
            <v>5.1724137931034475E-2</v>
          </cell>
          <cell r="H157">
            <v>9.8360655737705027E-2</v>
          </cell>
          <cell r="I157">
            <v>3.2835820895522394E-2</v>
          </cell>
          <cell r="J157">
            <v>3.1791907514450823E-2</v>
          </cell>
          <cell r="K157">
            <v>4.7619047619047672E-2</v>
          </cell>
          <cell r="L157">
            <v>1.3368983957219305E-2</v>
          </cell>
          <cell r="M157">
            <v>-7.9155672823219003E-3</v>
          </cell>
          <cell r="N157">
            <v>2.0000000000000018E-2</v>
          </cell>
          <cell r="O157">
            <v>1.4999999999999902E-2</v>
          </cell>
          <cell r="P157">
            <v>1.4999999999999902E-2</v>
          </cell>
          <cell r="Q157">
            <v>1.4999999999999902E-2</v>
          </cell>
          <cell r="R157">
            <v>1.4999999999999902E-2</v>
          </cell>
          <cell r="S157">
            <v>1.5000000000000124E-2</v>
          </cell>
          <cell r="T157">
            <v>1.4999999999999902E-2</v>
          </cell>
          <cell r="U157">
            <v>1.4999999999999902E-2</v>
          </cell>
          <cell r="V157">
            <v>1.4999999999999902E-2</v>
          </cell>
          <cell r="W157">
            <v>1.4999999999999902E-2</v>
          </cell>
          <cell r="X157">
            <v>1.499999999999968E-2</v>
          </cell>
          <cell r="Z157" t="str">
            <v xml:space="preserve">  Germany</v>
          </cell>
          <cell r="BO157">
            <v>0.10158730158730167</v>
          </cell>
          <cell r="BP157">
            <v>2.7737226277372296E-2</v>
          </cell>
          <cell r="BQ157">
            <v>3.6603221083455262E-2</v>
          </cell>
          <cell r="BR157">
            <v>3.1791907514450823E-2</v>
          </cell>
          <cell r="BT157">
            <v>6.3400576368876083E-2</v>
          </cell>
          <cell r="BU157">
            <v>5.3977272727272707E-2</v>
          </cell>
          <cell r="BV157">
            <v>5.6497175141242861E-2</v>
          </cell>
          <cell r="BW157">
            <v>4.7619047619047672E-2</v>
          </cell>
          <cell r="BY157">
            <v>1.6260162601626105E-2</v>
          </cell>
          <cell r="BZ157">
            <v>1.3477088948786964E-2</v>
          </cell>
          <cell r="CA157">
            <v>1.0695187165775444E-2</v>
          </cell>
          <cell r="CB157">
            <v>1.3368983957219305E-2</v>
          </cell>
          <cell r="CD157">
            <v>2.666666666666595E-3</v>
          </cell>
          <cell r="CE157">
            <v>2.6595744680850686E-3</v>
          </cell>
          <cell r="CF157">
            <v>0</v>
          </cell>
          <cell r="CG157">
            <v>-7.9155672823219003E-3</v>
          </cell>
          <cell r="CI157">
            <v>2.0000000000000018E-2</v>
          </cell>
          <cell r="CJ157">
            <v>3.2553846153846155E-2</v>
          </cell>
          <cell r="CK157">
            <v>4.5269555555555341E-2</v>
          </cell>
          <cell r="CL157">
            <v>6.6591942499999668E-2</v>
          </cell>
        </row>
        <row r="158">
          <cell r="A158" t="str">
            <v xml:space="preserve">  Italy</v>
          </cell>
          <cell r="K158" t="str">
            <v>--</v>
          </cell>
          <cell r="L158" t="str">
            <v>--</v>
          </cell>
          <cell r="M158" t="str">
            <v>--</v>
          </cell>
          <cell r="N158" t="str">
            <v>--</v>
          </cell>
          <cell r="O158" t="str">
            <v>--</v>
          </cell>
          <cell r="P158" t="str">
            <v>--</v>
          </cell>
          <cell r="Q158">
            <v>2.0000000000000018E-2</v>
          </cell>
          <cell r="R158">
            <v>2.0000000000000018E-2</v>
          </cell>
          <cell r="S158">
            <v>2.0000000000000018E-2</v>
          </cell>
          <cell r="T158">
            <v>2.0000000000000018E-2</v>
          </cell>
          <cell r="U158">
            <v>2.0000000000000018E-2</v>
          </cell>
          <cell r="V158">
            <v>2.0000000000000018E-2</v>
          </cell>
          <cell r="W158">
            <v>2.0000000000000018E-2</v>
          </cell>
          <cell r="X158">
            <v>2.0000000000000018E-2</v>
          </cell>
          <cell r="Z158" t="str">
            <v xml:space="preserve">  Italy</v>
          </cell>
          <cell r="CD158" t="str">
            <v>--</v>
          </cell>
          <cell r="CE158" t="str">
            <v>--</v>
          </cell>
          <cell r="CF158" t="str">
            <v>--</v>
          </cell>
          <cell r="CG158" t="str">
            <v>--</v>
          </cell>
          <cell r="CI158" t="str">
            <v>--</v>
          </cell>
          <cell r="CJ158" t="str">
            <v>--</v>
          </cell>
          <cell r="CK158" t="str">
            <v>--</v>
          </cell>
          <cell r="CL158" t="str">
            <v>--</v>
          </cell>
        </row>
        <row r="159">
          <cell r="A159" t="str">
            <v xml:space="preserve">  Japan</v>
          </cell>
          <cell r="K159">
            <v>0.13605442176870741</v>
          </cell>
          <cell r="L159">
            <v>0.11976047904191622</v>
          </cell>
          <cell r="M159">
            <v>9.625668449197855E-2</v>
          </cell>
          <cell r="N159">
            <v>7.8048780487804947E-2</v>
          </cell>
          <cell r="O159">
            <v>6.3348416289592757E-2</v>
          </cell>
          <cell r="P159">
            <v>5.1063829787234116E-2</v>
          </cell>
          <cell r="Q159">
            <v>4.0485829959514108E-2</v>
          </cell>
          <cell r="R159">
            <v>3.112840466926059E-2</v>
          </cell>
          <cell r="S159">
            <v>2.6415094339622636E-2</v>
          </cell>
          <cell r="T159">
            <v>2.2058823529411686E-2</v>
          </cell>
          <cell r="U159">
            <v>1.7985611510791477E-2</v>
          </cell>
          <cell r="V159">
            <v>1.4134275618374659E-2</v>
          </cell>
          <cell r="W159">
            <v>1.0452961672473782E-2</v>
          </cell>
          <cell r="X159">
            <v>6.8965517241379448E-3</v>
          </cell>
          <cell r="Z159" t="str">
            <v xml:space="preserve">  Japan</v>
          </cell>
          <cell r="CD159">
            <v>0.13953488372093048</v>
          </cell>
          <cell r="CE159">
            <v>0.1179775280898876</v>
          </cell>
          <cell r="CF159">
            <v>0.10989010989010994</v>
          </cell>
          <cell r="CG159">
            <v>0.12834224598930488</v>
          </cell>
          <cell r="CI159">
            <v>0.12755102040816313</v>
          </cell>
          <cell r="CJ159">
            <v>0.18090452261306522</v>
          </cell>
          <cell r="CK159">
            <v>0.22277227722772275</v>
          </cell>
          <cell r="CL159">
            <v>0.21800947867298581</v>
          </cell>
        </row>
        <row r="160">
          <cell r="A160" t="str">
            <v>Total</v>
          </cell>
          <cell r="C160">
            <v>0.14553990610328649</v>
          </cell>
          <cell r="D160">
            <v>4.2691256830601043E-2</v>
          </cell>
          <cell r="E160">
            <v>0.23419587291189004</v>
          </cell>
          <cell r="F160">
            <v>8.7048832271762189E-2</v>
          </cell>
          <cell r="G160">
            <v>5.46875E-2</v>
          </cell>
          <cell r="H160">
            <v>0.15824074074074068</v>
          </cell>
          <cell r="I160">
            <v>5.640338955951707E-2</v>
          </cell>
          <cell r="J160">
            <v>3.7795460307010087E-2</v>
          </cell>
          <cell r="K160">
            <v>4.6248606736268849E-2</v>
          </cell>
          <cell r="L160">
            <v>3.4090832970840479E-2</v>
          </cell>
          <cell r="M160">
            <v>4.2730588904724032E-2</v>
          </cell>
          <cell r="N160">
            <v>3.2382016631305799E-2</v>
          </cell>
          <cell r="O160">
            <v>2.456916803957454E-2</v>
          </cell>
          <cell r="P160">
            <v>7.5628233207623241E-2</v>
          </cell>
          <cell r="Q160">
            <v>2.0817417847975195E-2</v>
          </cell>
          <cell r="R160">
            <v>2.0214443713123309E-2</v>
          </cell>
          <cell r="S160">
            <v>1.5513477210884252E-2</v>
          </cell>
          <cell r="T160">
            <v>1.4201247229637559E-2</v>
          </cell>
          <cell r="U160">
            <v>1.29677343131267E-2</v>
          </cell>
          <cell r="V160">
            <v>1.2475859516180021E-2</v>
          </cell>
          <cell r="W160">
            <v>1.0964639193365322E-2</v>
          </cell>
          <cell r="X160">
            <v>1.2194673170369041E-2</v>
          </cell>
          <cell r="Z160" t="str">
            <v>Total</v>
          </cell>
          <cell r="BO160">
            <v>6.9373949243455302E-2</v>
          </cell>
          <cell r="BP160">
            <v>6.2519015036581749E-3</v>
          </cell>
          <cell r="BQ160">
            <v>1.5114348647794706E-2</v>
          </cell>
          <cell r="BR160">
            <v>6.6573339555140665E-2</v>
          </cell>
          <cell r="BT160">
            <v>4.282322343508338E-2</v>
          </cell>
          <cell r="BU160">
            <v>9.9497272338940013E-2</v>
          </cell>
          <cell r="BV160">
            <v>8.9086148260956177E-2</v>
          </cell>
          <cell r="BW160">
            <v>4.6248606736268849E-2</v>
          </cell>
          <cell r="BY160">
            <v>4.0128754080253737E-2</v>
          </cell>
          <cell r="BZ160">
            <v>3.5710324490583201E-2</v>
          </cell>
          <cell r="CA160">
            <v>3.8706562063746119E-2</v>
          </cell>
          <cell r="CB160">
            <v>3.4090832970840479E-2</v>
          </cell>
          <cell r="CD160">
            <v>3.7197261829378325E-2</v>
          </cell>
          <cell r="CE160">
            <v>3.492425755091233E-2</v>
          </cell>
          <cell r="CF160">
            <v>4.1352559236900843E-2</v>
          </cell>
          <cell r="CG160">
            <v>4.6774424813156301E-2</v>
          </cell>
          <cell r="CI160">
            <v>6.2880168454753971E-2</v>
          </cell>
          <cell r="CJ160">
            <v>8.2399766617579528E-2</v>
          </cell>
          <cell r="CK160">
            <v>9.1139310852000666E-2</v>
          </cell>
          <cell r="CL160">
            <v>9.9147834896476938E-2</v>
          </cell>
        </row>
        <row r="161">
          <cell r="BO161">
            <v>6.9373949243455302E-2</v>
          </cell>
          <cell r="BP161">
            <v>6.2519015036581749E-3</v>
          </cell>
          <cell r="BQ161">
            <v>1.5114348647794706E-2</v>
          </cell>
          <cell r="BR161">
            <v>6.6573339555140665E-2</v>
          </cell>
          <cell r="BT161">
            <v>4.282322343508338E-2</v>
          </cell>
          <cell r="BU161">
            <v>9.9497272338940013E-2</v>
          </cell>
          <cell r="BV161">
            <v>8.9086148260956177E-2</v>
          </cell>
          <cell r="BW161">
            <v>4.6248606736268849E-2</v>
          </cell>
          <cell r="BY161">
            <v>4.0128754080253737E-2</v>
          </cell>
          <cell r="BZ161">
            <v>3.5710324490583201E-2</v>
          </cell>
          <cell r="CA161">
            <v>3.8706562063746119E-2</v>
          </cell>
          <cell r="CB161">
            <v>3.4090832970840479E-2</v>
          </cell>
        </row>
        <row r="162">
          <cell r="A162" t="str">
            <v>Sales per FTE</v>
          </cell>
          <cell r="Z162" t="str">
            <v>Sales per FTE</v>
          </cell>
        </row>
        <row r="163">
          <cell r="A163" t="str">
            <v xml:space="preserve">  Domestic</v>
          </cell>
          <cell r="B163">
            <v>31.18095579986538</v>
          </cell>
          <cell r="C163">
            <v>31.865512337933918</v>
          </cell>
          <cell r="D163">
            <v>37.079113924050631</v>
          </cell>
          <cell r="E163">
            <v>40.746787603930464</v>
          </cell>
          <cell r="F163">
            <v>44.537226277372262</v>
          </cell>
          <cell r="G163">
            <v>46.913769123783041</v>
          </cell>
          <cell r="H163">
            <v>49.327065144392201</v>
          </cell>
          <cell r="I163">
            <v>50.550534100246509</v>
          </cell>
          <cell r="J163">
            <v>54.847752977162159</v>
          </cell>
          <cell r="K163">
            <v>58.906359979815193</v>
          </cell>
          <cell r="L163">
            <v>62.585026584454745</v>
          </cell>
          <cell r="M163">
            <v>64.418362537538641</v>
          </cell>
          <cell r="N163">
            <v>59.425939440879397</v>
          </cell>
          <cell r="O163">
            <v>55.860383074426629</v>
          </cell>
          <cell r="P163">
            <v>55.860383074426629</v>
          </cell>
          <cell r="Q163">
            <v>57.256892651287288</v>
          </cell>
          <cell r="R163">
            <v>58.688314967569468</v>
          </cell>
          <cell r="S163">
            <v>60.155522841758703</v>
          </cell>
          <cell r="T163">
            <v>61.659410912802663</v>
          </cell>
          <cell r="U163">
            <v>63.200896185622724</v>
          </cell>
          <cell r="V163">
            <v>64.780918590263283</v>
          </cell>
          <cell r="W163">
            <v>66.400441555019853</v>
          </cell>
          <cell r="X163">
            <v>68.060452593895349</v>
          </cell>
          <cell r="Z163" t="str">
            <v xml:space="preserve">  Domestic</v>
          </cell>
          <cell r="AA163">
            <v>7.9055852534562208</v>
          </cell>
          <cell r="AB163">
            <v>6.9696115627822941</v>
          </cell>
          <cell r="AC163">
            <v>7.2586157941437444</v>
          </cell>
          <cell r="AD163">
            <v>9.0246045694200347</v>
          </cell>
          <cell r="AF163">
            <v>7.7129930795847752</v>
          </cell>
          <cell r="AG163">
            <v>7.2382154882154879</v>
          </cell>
          <cell r="AH163">
            <v>7.3816982687551524</v>
          </cell>
          <cell r="AI163">
            <v>9.4906122448979584</v>
          </cell>
          <cell r="AK163">
            <v>8.6675530984450226</v>
          </cell>
          <cell r="AL163">
            <v>8.2236263535543284</v>
          </cell>
          <cell r="AM163">
            <v>8.8172314657510036</v>
          </cell>
          <cell r="AN163">
            <v>11.37977165663246</v>
          </cell>
          <cell r="AP163">
            <v>9.4067278287461775</v>
          </cell>
          <cell r="AQ163">
            <v>9.0211800302571863</v>
          </cell>
          <cell r="AR163">
            <v>9.6671686746987948</v>
          </cell>
          <cell r="AS163">
            <v>12.623688155922039</v>
          </cell>
          <cell r="AU163">
            <v>10.290989660265879</v>
          </cell>
          <cell r="AV163">
            <v>9.5072254335260116</v>
          </cell>
          <cell r="AW163">
            <v>10.164520743919885</v>
          </cell>
          <cell r="AX163">
            <v>14.041310541310541</v>
          </cell>
          <cell r="AZ163">
            <v>10.665254237288135</v>
          </cell>
          <cell r="BA163">
            <v>10.555090655509066</v>
          </cell>
          <cell r="BB163">
            <v>10.709141274238227</v>
          </cell>
          <cell r="BC163">
            <v>14.924554183813443</v>
          </cell>
          <cell r="BE163">
            <v>11.454421768707483</v>
          </cell>
          <cell r="BF163">
            <v>11.284366576819407</v>
          </cell>
          <cell r="BG163">
            <v>11.232620320855615</v>
          </cell>
          <cell r="BH163">
            <v>15.312084993359894</v>
          </cell>
          <cell r="BJ163">
            <v>11.202113606340818</v>
          </cell>
          <cell r="BK163">
            <v>11.342105263157896</v>
          </cell>
          <cell r="BL163">
            <v>11.797054009819968</v>
          </cell>
          <cell r="BM163">
            <v>16.210180623973727</v>
          </cell>
          <cell r="BO163">
            <v>11.732051031904382</v>
          </cell>
          <cell r="BP163">
            <v>12.29</v>
          </cell>
          <cell r="BQ163">
            <v>12.908219869888571</v>
          </cell>
          <cell r="BR163">
            <v>17.881671730422639</v>
          </cell>
          <cell r="BT163">
            <v>13.077679917870469</v>
          </cell>
          <cell r="BU163">
            <v>13.159661400464454</v>
          </cell>
          <cell r="BV163">
            <v>13.190454314445688</v>
          </cell>
          <cell r="BW163">
            <v>19.527708765821732</v>
          </cell>
          <cell r="BY163">
            <v>13.74189124269148</v>
          </cell>
          <cell r="BZ163">
            <v>14.358257024124857</v>
          </cell>
          <cell r="CA163">
            <v>14.45622428230131</v>
          </cell>
          <cell r="CB163">
            <v>20.089540449756484</v>
          </cell>
          <cell r="CD163">
            <v>14.643086614197363</v>
          </cell>
          <cell r="CE163">
            <v>14.751595323464752</v>
          </cell>
          <cell r="CF163">
            <v>14.507502478880722</v>
          </cell>
          <cell r="CG163">
            <v>20.432658408383098</v>
          </cell>
          <cell r="CI163">
            <v>14.256559261440485</v>
          </cell>
          <cell r="CJ163">
            <v>14.263822690544593</v>
          </cell>
          <cell r="CK163">
            <v>12.91131326963753</v>
          </cell>
          <cell r="CL163">
            <v>17.971141750482527</v>
          </cell>
        </row>
        <row r="164">
          <cell r="A164" t="str">
            <v xml:space="preserve">  United Kingdom</v>
          </cell>
          <cell r="B164">
            <v>18.329999999999998</v>
          </cell>
          <cell r="C164">
            <v>26.49</v>
          </cell>
          <cell r="D164">
            <v>43.375253549695742</v>
          </cell>
          <cell r="E164">
            <v>42.766721044045674</v>
          </cell>
          <cell r="F164">
            <v>35.80952380952381</v>
          </cell>
          <cell r="G164">
            <v>29.693989071038253</v>
          </cell>
          <cell r="H164">
            <v>28.441247002398082</v>
          </cell>
          <cell r="I164">
            <v>30.306132896488176</v>
          </cell>
          <cell r="J164">
            <v>33.615185504745476</v>
          </cell>
          <cell r="K164">
            <v>33.223388305847074</v>
          </cell>
          <cell r="L164">
            <v>32.7710843373494</v>
          </cell>
          <cell r="M164">
            <v>34.113389626055486</v>
          </cell>
          <cell r="N164">
            <v>31.043184559710493</v>
          </cell>
          <cell r="O164">
            <v>24.834547647768396</v>
          </cell>
          <cell r="P164">
            <v>24.337856694813027</v>
          </cell>
          <cell r="Q164">
            <v>23.851099560916765</v>
          </cell>
          <cell r="R164">
            <v>23.612588565307597</v>
          </cell>
          <cell r="S164">
            <v>23.612588565307597</v>
          </cell>
          <cell r="T164">
            <v>23.612588565307597</v>
          </cell>
          <cell r="U164">
            <v>23.612588565307597</v>
          </cell>
          <cell r="V164">
            <v>23.612588565307597</v>
          </cell>
          <cell r="W164">
            <v>23.612588565307597</v>
          </cell>
          <cell r="X164">
            <v>23.612588565307597</v>
          </cell>
          <cell r="Z164" t="str">
            <v xml:space="preserve">  United Kingdom</v>
          </cell>
          <cell r="AA164">
            <v>4.3265306122448983</v>
          </cell>
          <cell r="AB164">
            <v>4.0920716112531972</v>
          </cell>
          <cell r="AC164">
            <v>4.3456790123456788</v>
          </cell>
          <cell r="AD164">
            <v>6.6825775656324584</v>
          </cell>
          <cell r="AF164">
            <v>5.8928571428571432</v>
          </cell>
          <cell r="AG164">
            <v>6.101694915254237</v>
          </cell>
          <cell r="AH164">
            <v>6.5306122448979593</v>
          </cell>
          <cell r="AI164">
            <v>8.9411764705882355</v>
          </cell>
          <cell r="AK164">
            <v>9.053709677419354</v>
          </cell>
          <cell r="AL164">
            <v>10.555796178343948</v>
          </cell>
          <cell r="AM164">
            <v>10.489917525773196</v>
          </cell>
          <cell r="AN164">
            <v>13.695330661322645</v>
          </cell>
          <cell r="AP164">
            <v>10.121621621621621</v>
          </cell>
          <cell r="AQ164">
            <v>9.8815789473684212</v>
          </cell>
          <cell r="AR164">
            <v>9.8322580645161288</v>
          </cell>
          <cell r="AS164">
            <v>12.848101265822784</v>
          </cell>
          <cell r="AU164">
            <v>9.6341463414634152</v>
          </cell>
          <cell r="AV164">
            <v>8.6144578313253017</v>
          </cell>
          <cell r="AW164">
            <v>7.8571428571428568</v>
          </cell>
          <cell r="AX164">
            <v>9.6896551724137936</v>
          </cell>
          <cell r="AZ164">
            <v>7.7191011235955056</v>
          </cell>
          <cell r="BA164">
            <v>6.9565217391304346</v>
          </cell>
          <cell r="BB164">
            <v>6.5164835164835164</v>
          </cell>
          <cell r="BC164">
            <v>8.4787234042553195</v>
          </cell>
          <cell r="BE164">
            <v>7.041666666666667</v>
          </cell>
          <cell r="BF164">
            <v>6.3557692307692299</v>
          </cell>
          <cell r="BG164">
            <v>6.4905660377358494</v>
          </cell>
          <cell r="BH164">
            <v>8.468468468468469</v>
          </cell>
          <cell r="BJ164">
            <v>6.8695652173913047</v>
          </cell>
          <cell r="BK164">
            <v>6.8595041322314048</v>
          </cell>
          <cell r="BL164">
            <v>6.9161920260374288</v>
          </cell>
          <cell r="BM164">
            <v>9.5017381228273461</v>
          </cell>
          <cell r="BO164">
            <v>8.235294117647058</v>
          </cell>
          <cell r="BP164">
            <v>7.6491228070175437</v>
          </cell>
          <cell r="BQ164">
            <v>7.593220338983051</v>
          </cell>
          <cell r="BR164">
            <v>10.032573289902279</v>
          </cell>
          <cell r="BT164">
            <v>8.2018927444794958</v>
          </cell>
          <cell r="BU164">
            <v>7.7710843373493974</v>
          </cell>
          <cell r="BV164">
            <v>7.610619469026549</v>
          </cell>
          <cell r="BW164">
            <v>9.595375722543352</v>
          </cell>
          <cell r="BY164">
            <v>7.403314917127072</v>
          </cell>
          <cell r="BZ164">
            <v>7.3854447439353104</v>
          </cell>
          <cell r="CA164">
            <v>7.6392572944297079</v>
          </cell>
          <cell r="CB164">
            <v>10.260416666666666</v>
          </cell>
          <cell r="CD164">
            <v>7.6767676767676765</v>
          </cell>
          <cell r="CE164">
            <v>7.766990291262136</v>
          </cell>
          <cell r="CF164">
            <v>8.0285035629453674</v>
          </cell>
          <cell r="CG164">
            <v>10.536130536130536</v>
          </cell>
          <cell r="CI164">
            <v>7.8359908883826881</v>
          </cell>
          <cell r="CJ164">
            <v>7.3258426966292136</v>
          </cell>
          <cell r="CK164">
            <v>7.0953436807095347</v>
          </cell>
          <cell r="CL164">
            <v>8.8240300206802633</v>
          </cell>
        </row>
        <row r="165">
          <cell r="A165" t="str">
            <v xml:space="preserve">  Germany</v>
          </cell>
          <cell r="B165">
            <v>0.1111111111111111</v>
          </cell>
          <cell r="C165">
            <v>2.4713684210526314</v>
          </cell>
          <cell r="D165">
            <v>8.4077669902912628</v>
          </cell>
          <cell r="E165">
            <v>6.1137724550898209</v>
          </cell>
          <cell r="F165">
            <v>6.460093896713615</v>
          </cell>
          <cell r="G165">
            <v>8.525862068965516</v>
          </cell>
          <cell r="H165">
            <v>11.042084168336673</v>
          </cell>
          <cell r="I165">
            <v>16.013437849944008</v>
          </cell>
          <cell r="J165">
            <v>22.866287339971549</v>
          </cell>
          <cell r="K165">
            <v>26.243279569892472</v>
          </cell>
          <cell r="L165">
            <v>28.116710875331567</v>
          </cell>
          <cell r="M165">
            <v>28.865295288652952</v>
          </cell>
          <cell r="N165">
            <v>32.329130723291307</v>
          </cell>
          <cell r="O165">
            <v>27.479761114797611</v>
          </cell>
          <cell r="P165">
            <v>27.479761114797611</v>
          </cell>
          <cell r="Q165">
            <v>27.479761114797611</v>
          </cell>
          <cell r="R165">
            <v>27.479761114797611</v>
          </cell>
          <cell r="S165">
            <v>27.479761114797611</v>
          </cell>
          <cell r="T165">
            <v>27.479761114797611</v>
          </cell>
          <cell r="U165">
            <v>27.479761114797611</v>
          </cell>
          <cell r="V165">
            <v>27.479761114797611</v>
          </cell>
          <cell r="W165">
            <v>27.479761114797611</v>
          </cell>
          <cell r="X165">
            <v>27.479761114797611</v>
          </cell>
          <cell r="Z165" t="str">
            <v xml:space="preserve">  Germany</v>
          </cell>
          <cell r="AA165">
            <v>0</v>
          </cell>
          <cell r="AB165">
            <v>0</v>
          </cell>
          <cell r="AC165">
            <v>0</v>
          </cell>
          <cell r="AD165">
            <v>0.1111111111111111</v>
          </cell>
          <cell r="AF165">
            <v>0.1932608695652174</v>
          </cell>
          <cell r="AG165">
            <v>0.37234042553191488</v>
          </cell>
          <cell r="AH165">
            <v>0.60416666666666663</v>
          </cell>
          <cell r="AI165">
            <v>1.2653061224489797</v>
          </cell>
          <cell r="AK165">
            <v>1.6696658097686379</v>
          </cell>
          <cell r="AL165">
            <v>1.5496244770401733</v>
          </cell>
          <cell r="AM165">
            <v>1.9693494166501873</v>
          </cell>
          <cell r="AN165">
            <v>3.1713149342775373</v>
          </cell>
          <cell r="AP165">
            <v>2.1800000000000002</v>
          </cell>
          <cell r="AQ165">
            <v>2.0090909090909093</v>
          </cell>
          <cell r="AR165">
            <v>1.7142857142857142</v>
          </cell>
          <cell r="AS165">
            <v>2.0479041916167664</v>
          </cell>
          <cell r="AU165">
            <v>1.7128712871287128</v>
          </cell>
          <cell r="AV165">
            <v>1.3623853211009174</v>
          </cell>
          <cell r="AW165">
            <v>1.527027027027027</v>
          </cell>
          <cell r="AX165">
            <v>1.7511111111111111</v>
          </cell>
          <cell r="AZ165">
            <v>2.0219298245614037</v>
          </cell>
          <cell r="BA165">
            <v>1.8095238095238095</v>
          </cell>
          <cell r="BB165">
            <v>1.9656652360515021</v>
          </cell>
          <cell r="BC165">
            <v>2.7161016949152539</v>
          </cell>
          <cell r="BE165">
            <v>2.5</v>
          </cell>
          <cell r="BF165">
            <v>2.5201612903225805</v>
          </cell>
          <cell r="BG165">
            <v>2.6095617529880477</v>
          </cell>
          <cell r="BH165">
            <v>3.6058200400971785</v>
          </cell>
          <cell r="BJ165">
            <v>3.6538461538461537</v>
          </cell>
          <cell r="BK165">
            <v>3.8022813688212929</v>
          </cell>
          <cell r="BL165">
            <v>3.7646198830409356</v>
          </cell>
          <cell r="BM165">
            <v>4.7636363636363637</v>
          </cell>
          <cell r="BO165">
            <v>5.591630591630592</v>
          </cell>
          <cell r="BP165">
            <v>5.4363376251788269</v>
          </cell>
          <cell r="BQ165">
            <v>5.1345609065155804</v>
          </cell>
          <cell r="BR165">
            <v>6.7158931082981717</v>
          </cell>
          <cell r="BT165">
            <v>6.6804407713498621</v>
          </cell>
          <cell r="BU165">
            <v>6.25</v>
          </cell>
          <cell r="BV165">
            <v>5.973154362416107</v>
          </cell>
          <cell r="BW165">
            <v>7.4866310160427805</v>
          </cell>
          <cell r="BY165">
            <v>6.5086782376502006</v>
          </cell>
          <cell r="BZ165">
            <v>6.3249001331557926</v>
          </cell>
          <cell r="CA165">
            <v>6.6976127320954904</v>
          </cell>
          <cell r="CB165">
            <v>8.6195508586525751</v>
          </cell>
          <cell r="CD165">
            <v>7.1192052980132452</v>
          </cell>
          <cell r="CE165">
            <v>6.5737051792828689</v>
          </cell>
          <cell r="CF165">
            <v>6.4238410596026494</v>
          </cell>
          <cell r="CG165">
            <v>8.7201591511936343</v>
          </cell>
          <cell r="CI165">
            <v>8.2559681697612728</v>
          </cell>
          <cell r="CJ165">
            <v>7.3878627968337733</v>
          </cell>
          <cell r="CK165">
            <v>7.5131233595800522</v>
          </cell>
          <cell r="CL165">
            <v>9.1501480914335556</v>
          </cell>
        </row>
        <row r="166">
          <cell r="A166" t="str">
            <v xml:space="preserve">  Italy</v>
          </cell>
          <cell r="K166">
            <v>0</v>
          </cell>
          <cell r="L166">
            <v>0</v>
          </cell>
          <cell r="M166">
            <v>0</v>
          </cell>
          <cell r="N166">
            <v>0</v>
          </cell>
          <cell r="O166">
            <v>0</v>
          </cell>
          <cell r="P166">
            <v>4.0625</v>
          </cell>
          <cell r="Q166">
            <v>17.0625</v>
          </cell>
          <cell r="R166">
            <v>18.768750000000004</v>
          </cell>
          <cell r="S166">
            <v>20.176406250000003</v>
          </cell>
          <cell r="T166">
            <v>21.311329101562503</v>
          </cell>
          <cell r="U166">
            <v>22.210400798034673</v>
          </cell>
          <cell r="V166">
            <v>22.913151760784991</v>
          </cell>
          <cell r="W166">
            <v>23.600546313608543</v>
          </cell>
          <cell r="X166">
            <v>24.308562703016797</v>
          </cell>
          <cell r="Z166" t="str">
            <v xml:space="preserve">  Italy</v>
          </cell>
          <cell r="CD166">
            <v>0</v>
          </cell>
          <cell r="CE166">
            <v>0</v>
          </cell>
          <cell r="CF166">
            <v>0</v>
          </cell>
          <cell r="CG166">
            <v>0</v>
          </cell>
          <cell r="CI166">
            <v>0</v>
          </cell>
          <cell r="CJ166">
            <v>0</v>
          </cell>
          <cell r="CK166">
            <v>0</v>
          </cell>
          <cell r="CL166">
            <v>0</v>
          </cell>
        </row>
        <row r="167">
          <cell r="A167" t="str">
            <v xml:space="preserve">  Japan</v>
          </cell>
          <cell r="H167">
            <v>7.3220338983050839</v>
          </cell>
          <cell r="I167">
            <v>20.762711864406779</v>
          </cell>
          <cell r="J167">
            <v>31.015843429636533</v>
          </cell>
          <cell r="K167">
            <v>33.610223642172521</v>
          </cell>
          <cell r="L167">
            <v>35.104311543810852</v>
          </cell>
          <cell r="M167">
            <v>30.6</v>
          </cell>
          <cell r="N167">
            <v>34.596662942302444</v>
          </cell>
          <cell r="O167">
            <v>36.183557548232145</v>
          </cell>
          <cell r="P167">
            <v>36.907228699196793</v>
          </cell>
          <cell r="Q167">
            <v>37.645373273180731</v>
          </cell>
          <cell r="R167">
            <v>38.398280738644345</v>
          </cell>
          <cell r="S167">
            <v>39.166246353417229</v>
          </cell>
          <cell r="T167">
            <v>39.949571280485586</v>
          </cell>
          <cell r="U167">
            <v>40.748562706095292</v>
          </cell>
          <cell r="V167">
            <v>41.563533960217192</v>
          </cell>
          <cell r="W167">
            <v>42.394804639421537</v>
          </cell>
          <cell r="X167">
            <v>43.242700732209961</v>
          </cell>
          <cell r="Z167" t="str">
            <v xml:space="preserve">  Japan</v>
          </cell>
          <cell r="BE167">
            <v>0.93220338983050843</v>
          </cell>
          <cell r="BF167">
            <v>1.3644067796610171</v>
          </cell>
          <cell r="BG167">
            <v>2.101694915254237</v>
          </cell>
          <cell r="BH167">
            <v>2.9237288135593222</v>
          </cell>
          <cell r="BJ167">
            <v>3.3898305084745761</v>
          </cell>
          <cell r="BK167">
            <v>4.7457627118644066</v>
          </cell>
          <cell r="BL167">
            <v>5.4237288135593218</v>
          </cell>
          <cell r="BM167">
            <v>7.2033898305084749</v>
          </cell>
          <cell r="BO167">
            <v>6.9421487603305785</v>
          </cell>
          <cell r="BP167">
            <v>7.509578544061303</v>
          </cell>
          <cell r="BQ167">
            <v>7.3571428571428568</v>
          </cell>
          <cell r="BR167">
            <v>9.0344827586206904</v>
          </cell>
          <cell r="BT167">
            <v>7.6923076923076925</v>
          </cell>
          <cell r="BU167">
            <v>8.5064935064935057</v>
          </cell>
          <cell r="BV167">
            <v>8.1388012618296521</v>
          </cell>
          <cell r="BW167">
            <v>9.2073170731707314</v>
          </cell>
          <cell r="BY167">
            <v>8.1415929203539825</v>
          </cell>
          <cell r="BZ167">
            <v>9.3142857142857149</v>
          </cell>
          <cell r="CA167">
            <v>8.6666666666666661</v>
          </cell>
          <cell r="CB167">
            <v>9.4308943089430901</v>
          </cell>
          <cell r="CD167">
            <v>7.4673629242819839</v>
          </cell>
          <cell r="CE167">
            <v>7.6455696202531644</v>
          </cell>
          <cell r="CF167">
            <v>7.4314214463840402</v>
          </cell>
          <cell r="CG167">
            <v>8.1840193704600477</v>
          </cell>
          <cell r="CI167">
            <v>8</v>
          </cell>
          <cell r="CJ167">
            <v>9.1469194312796205</v>
          </cell>
          <cell r="CK167">
            <v>8.3255813953488378</v>
          </cell>
          <cell r="CL167">
            <v>9.2640507400804211</v>
          </cell>
        </row>
        <row r="169">
          <cell r="A169" t="str">
            <v>Sales per FTE Growth</v>
          </cell>
          <cell r="Z169" t="str">
            <v>Sales per FTE Growth</v>
          </cell>
        </row>
        <row r="170">
          <cell r="A170" t="str">
            <v xml:space="preserve">  Domestic</v>
          </cell>
          <cell r="C170">
            <v>2.195431539887216E-2</v>
          </cell>
          <cell r="D170">
            <v>0.16361267099133525</v>
          </cell>
          <cell r="E170">
            <v>9.8914814614835533E-2</v>
          </cell>
          <cell r="F170">
            <v>9.3024233230012188E-2</v>
          </cell>
          <cell r="G170">
            <v>5.3360818467004911E-2</v>
          </cell>
          <cell r="H170">
            <v>5.1441102808039707E-2</v>
          </cell>
          <cell r="I170">
            <v>2.4803197844285307E-2</v>
          </cell>
          <cell r="J170">
            <v>8.5008377327801421E-2</v>
          </cell>
          <cell r="K170">
            <v>7.3997689647249176E-2</v>
          </cell>
          <cell r="L170">
            <v>6.2449396056726059E-2</v>
          </cell>
          <cell r="M170">
            <v>2.929352359721249E-2</v>
          </cell>
          <cell r="N170">
            <v>-7.7500000000000013E-2</v>
          </cell>
          <cell r="O170">
            <v>-6.0000000000000053E-2</v>
          </cell>
          <cell r="P170">
            <v>0</v>
          </cell>
          <cell r="Q170">
            <v>2.4999999999999911E-2</v>
          </cell>
          <cell r="R170">
            <v>2.4999999999999911E-2</v>
          </cell>
          <cell r="S170">
            <v>2.4999999999999911E-2</v>
          </cell>
          <cell r="T170">
            <v>2.4999999999999911E-2</v>
          </cell>
          <cell r="U170">
            <v>2.4999999999999911E-2</v>
          </cell>
          <cell r="V170">
            <v>2.4999999999999911E-2</v>
          </cell>
          <cell r="W170">
            <v>2.4999999999999911E-2</v>
          </cell>
          <cell r="X170">
            <v>2.4999999999999911E-2</v>
          </cell>
          <cell r="Z170" t="str">
            <v xml:space="preserve">  Domestic</v>
          </cell>
          <cell r="BJ170">
            <v>-2.2027140912162846E-2</v>
          </cell>
          <cell r="BK170">
            <v>5.1166971531302341E-3</v>
          </cell>
          <cell r="BL170">
            <v>5.0249511943029734E-2</v>
          </cell>
          <cell r="BM170">
            <v>5.865273285795447E-2</v>
          </cell>
          <cell r="BO170">
            <v>4.7306914050898374E-2</v>
          </cell>
          <cell r="BP170">
            <v>8.3573085846867512E-2</v>
          </cell>
          <cell r="BQ170">
            <v>9.4190113832119282E-2</v>
          </cell>
          <cell r="BR170">
            <v>0.10311366327262839</v>
          </cell>
          <cell r="BT170">
            <v>0.11469681493088957</v>
          </cell>
          <cell r="BU170">
            <v>7.0761708744056628E-2</v>
          </cell>
          <cell r="BV170">
            <v>2.186470693883158E-2</v>
          </cell>
          <cell r="BW170">
            <v>9.2051630306949406E-2</v>
          </cell>
          <cell r="BY170">
            <v>5.0789691213758426E-2</v>
          </cell>
          <cell r="BZ170">
            <v>9.1081038271858539E-2</v>
          </cell>
          <cell r="CA170">
            <v>9.5961059238831359E-2</v>
          </cell>
          <cell r="CB170">
            <v>2.8770998721472818E-2</v>
          </cell>
          <cell r="CD170">
            <v>6.5580156005468071E-2</v>
          </cell>
          <cell r="CE170">
            <v>2.7394571547159519E-2</v>
          </cell>
          <cell r="CF170">
            <v>3.5471362077712509E-3</v>
          </cell>
          <cell r="CG170">
            <v>1.7079432926041527E-2</v>
          </cell>
          <cell r="CI170">
            <v>-2.6396576277990302E-2</v>
          </cell>
          <cell r="CJ170">
            <v>-3.3065754735305042E-2</v>
          </cell>
          <cell r="CK170">
            <v>-0.11002508609368444</v>
          </cell>
          <cell r="CL170">
            <v>-0.12046972100755438</v>
          </cell>
        </row>
        <row r="171">
          <cell r="A171" t="str">
            <v xml:space="preserve">  United Kingdom</v>
          </cell>
          <cell r="C171">
            <v>0.44517184942716859</v>
          </cell>
          <cell r="D171">
            <v>0.63741991505080198</v>
          </cell>
          <cell r="E171">
            <v>-1.4029485843877865E-2</v>
          </cell>
          <cell r="F171">
            <v>-0.16267782669979791</v>
          </cell>
          <cell r="G171">
            <v>-0.17077956051621901</v>
          </cell>
          <cell r="H171">
            <v>-4.218840606572527E-2</v>
          </cell>
          <cell r="I171">
            <v>6.5569765416152448E-2</v>
          </cell>
          <cell r="J171">
            <v>0.10918755684070613</v>
          </cell>
          <cell r="K171">
            <v>-1.1655363283450959E-2</v>
          </cell>
          <cell r="L171">
            <v>-1.361402287851754E-2</v>
          </cell>
          <cell r="M171">
            <v>4.0960051089192984E-2</v>
          </cell>
          <cell r="N171">
            <v>-8.9999999999999969E-2</v>
          </cell>
          <cell r="O171">
            <v>-0.19999999999999996</v>
          </cell>
          <cell r="P171">
            <v>-2.0000000000000018E-2</v>
          </cell>
          <cell r="Q171">
            <v>-2.0000000000000018E-2</v>
          </cell>
          <cell r="R171">
            <v>-1.0000000000000009E-2</v>
          </cell>
          <cell r="S171">
            <v>0</v>
          </cell>
          <cell r="T171">
            <v>0</v>
          </cell>
          <cell r="U171">
            <v>0</v>
          </cell>
          <cell r="V171">
            <v>0</v>
          </cell>
          <cell r="W171">
            <v>0</v>
          </cell>
          <cell r="X171">
            <v>0</v>
          </cell>
          <cell r="Z171" t="str">
            <v xml:space="preserve">  United Kingdom</v>
          </cell>
          <cell r="BJ171">
            <v>-2.4440442500643145E-2</v>
          </cell>
          <cell r="BK171">
            <v>7.9256323376801996E-2</v>
          </cell>
          <cell r="BL171">
            <v>6.5576097034836245E-2</v>
          </cell>
          <cell r="BM171">
            <v>0.12201375705727169</v>
          </cell>
          <cell r="BO171">
            <v>0.19880863737900212</v>
          </cell>
          <cell r="BP171">
            <v>0.11511308391460573</v>
          </cell>
          <cell r="BQ171">
            <v>9.789032901296113E-2</v>
          </cell>
          <cell r="BR171">
            <v>5.5867164534837421E-2</v>
          </cell>
          <cell r="BT171">
            <v>-4.0558810274896606E-3</v>
          </cell>
          <cell r="BU171">
            <v>1.5944511992925792E-2</v>
          </cell>
          <cell r="BV171">
            <v>2.2914032869785217E-3</v>
          </cell>
          <cell r="BW171">
            <v>-4.3577809473763218E-2</v>
          </cell>
          <cell r="BY171">
            <v>-9.7365065873353251E-2</v>
          </cell>
          <cell r="BZ171">
            <v>-4.9624939927704226E-2</v>
          </cell>
          <cell r="CA171">
            <v>3.7628770587871951E-3</v>
          </cell>
          <cell r="CB171">
            <v>6.9308483935742959E-2</v>
          </cell>
          <cell r="CD171">
            <v>3.693652947384285E-2</v>
          </cell>
          <cell r="CE171">
            <v>5.1661824108851118E-2</v>
          </cell>
          <cell r="CF171">
            <v>5.0953417788334621E-2</v>
          </cell>
          <cell r="CG171">
            <v>2.6871605551808564E-2</v>
          </cell>
          <cell r="CI171">
            <v>2.0740918355113269E-2</v>
          </cell>
          <cell r="CJ171">
            <v>-5.67977528089888E-2</v>
          </cell>
          <cell r="CK171">
            <v>-0.11623086107138625</v>
          </cell>
          <cell r="CL171">
            <v>-0.1624980356478245</v>
          </cell>
        </row>
        <row r="172">
          <cell r="A172" t="str">
            <v xml:space="preserve">  Germany</v>
          </cell>
          <cell r="C172" t="str">
            <v>NM</v>
          </cell>
          <cell r="D172">
            <v>2.4020694440653805</v>
          </cell>
          <cell r="E172">
            <v>-0.27284230614982508</v>
          </cell>
          <cell r="F172">
            <v>5.6646112390963399E-2</v>
          </cell>
          <cell r="G172">
            <v>0.3197737068965516</v>
          </cell>
          <cell r="H172">
            <v>0.29512817343483744</v>
          </cell>
          <cell r="I172">
            <v>0.45021878169184393</v>
          </cell>
          <cell r="J172">
            <v>0.42794367794367805</v>
          </cell>
          <cell r="K172">
            <v>0.14768432582484659</v>
          </cell>
          <cell r="L172">
            <v>7.138708789995829E-2</v>
          </cell>
          <cell r="M172">
            <v>2.6624181492656884E-2</v>
          </cell>
          <cell r="N172">
            <v>0.12000000000000011</v>
          </cell>
          <cell r="O172">
            <v>-0.15000000000000002</v>
          </cell>
          <cell r="P172">
            <v>0</v>
          </cell>
          <cell r="Q172">
            <v>0</v>
          </cell>
          <cell r="R172">
            <v>0</v>
          </cell>
          <cell r="S172">
            <v>0</v>
          </cell>
          <cell r="T172">
            <v>0</v>
          </cell>
          <cell r="U172">
            <v>0</v>
          </cell>
          <cell r="V172">
            <v>0</v>
          </cell>
          <cell r="W172">
            <v>0</v>
          </cell>
          <cell r="X172">
            <v>0</v>
          </cell>
          <cell r="Z172" t="str">
            <v xml:space="preserve">  Germany</v>
          </cell>
          <cell r="BJ172">
            <v>0.46153846153846145</v>
          </cell>
          <cell r="BK172">
            <v>0.50874524714828917</v>
          </cell>
          <cell r="BL172">
            <v>0.44262532922637376</v>
          </cell>
          <cell r="BM172">
            <v>0.32109653578495867</v>
          </cell>
          <cell r="BO172">
            <v>0.53034100402521478</v>
          </cell>
          <cell r="BP172">
            <v>0.42975679542203138</v>
          </cell>
          <cell r="BQ172">
            <v>0.36389889710938128</v>
          </cell>
          <cell r="BR172">
            <v>0.40982488914656279</v>
          </cell>
          <cell r="BT172">
            <v>0.1947214076246333</v>
          </cell>
          <cell r="BU172">
            <v>0.14967105263157898</v>
          </cell>
          <cell r="BV172">
            <v>0.16332330479055779</v>
          </cell>
          <cell r="BW172">
            <v>0.11476327799087271</v>
          </cell>
          <cell r="BY172">
            <v>-2.5711257621846229E-2</v>
          </cell>
          <cell r="BZ172">
            <v>1.1984021304926706E-2</v>
          </cell>
          <cell r="CA172">
            <v>0.12128572705868335</v>
          </cell>
          <cell r="CB172">
            <v>0.15132572183430826</v>
          </cell>
          <cell r="CD172">
            <v>9.3802003735778516E-2</v>
          </cell>
          <cell r="CE172">
            <v>3.9337387292933457E-2</v>
          </cell>
          <cell r="CF172">
            <v>-4.0876008130614316E-2</v>
          </cell>
          <cell r="CG172">
            <v>1.1672103824303726E-2</v>
          </cell>
          <cell r="CI172">
            <v>0.15967552896181592</v>
          </cell>
          <cell r="CJ172">
            <v>0.12385064363956189</v>
          </cell>
          <cell r="CK172">
            <v>0.16956868793462654</v>
          </cell>
          <cell r="CL172">
            <v>4.9309758318007768E-2</v>
          </cell>
        </row>
        <row r="173">
          <cell r="A173" t="str">
            <v xml:space="preserve">  Italy</v>
          </cell>
          <cell r="K173" t="str">
            <v>--</v>
          </cell>
          <cell r="L173" t="str">
            <v>--</v>
          </cell>
          <cell r="M173" t="str">
            <v>--</v>
          </cell>
          <cell r="N173" t="str">
            <v>--</v>
          </cell>
          <cell r="O173" t="str">
            <v>--</v>
          </cell>
          <cell r="P173" t="str">
            <v>--</v>
          </cell>
          <cell r="Q173">
            <v>3.2</v>
          </cell>
          <cell r="R173">
            <v>0.10000000000000031</v>
          </cell>
          <cell r="S173">
            <v>7.4999999999999956E-2</v>
          </cell>
          <cell r="T173">
            <v>5.6249999999999911E-2</v>
          </cell>
          <cell r="U173">
            <v>4.2187500000000044E-2</v>
          </cell>
          <cell r="V173">
            <v>3.1640625000000089E-2</v>
          </cell>
          <cell r="W173">
            <v>3.0000000000000027E-2</v>
          </cell>
          <cell r="X173">
            <v>2.9999999999999805E-2</v>
          </cell>
          <cell r="Z173" t="str">
            <v xml:space="preserve">  Italy</v>
          </cell>
          <cell r="CD173" t="str">
            <v>--</v>
          </cell>
          <cell r="CE173" t="str">
            <v>--</v>
          </cell>
          <cell r="CF173" t="str">
            <v>--</v>
          </cell>
          <cell r="CG173" t="str">
            <v>--</v>
          </cell>
          <cell r="CI173" t="str">
            <v>--</v>
          </cell>
          <cell r="CJ173" t="str">
            <v>--</v>
          </cell>
          <cell r="CK173" t="str">
            <v>--</v>
          </cell>
          <cell r="CL173" t="str">
            <v>--</v>
          </cell>
        </row>
        <row r="174">
          <cell r="A174" t="str">
            <v xml:space="preserve">  Japan</v>
          </cell>
          <cell r="K174">
            <v>8.3646934136151208E-2</v>
          </cell>
          <cell r="L174">
            <v>4.4453375780684201E-2</v>
          </cell>
          <cell r="M174">
            <v>-0.12831220285261491</v>
          </cell>
          <cell r="N174">
            <v>0.1306099000752432</v>
          </cell>
          <cell r="O174">
            <v>4.5868429812904177E-2</v>
          </cell>
          <cell r="P174">
            <v>2.000000000000024E-2</v>
          </cell>
          <cell r="Q174">
            <v>2.0000000000000018E-2</v>
          </cell>
          <cell r="R174">
            <v>2.0000000000000018E-2</v>
          </cell>
          <cell r="S174">
            <v>2.0000000000000018E-2</v>
          </cell>
          <cell r="T174">
            <v>2.000000000000024E-2</v>
          </cell>
          <cell r="U174">
            <v>1.9999999999999796E-2</v>
          </cell>
          <cell r="V174">
            <v>1.9999999999999796E-2</v>
          </cell>
          <cell r="W174">
            <v>2.0000000000000018E-2</v>
          </cell>
          <cell r="X174">
            <v>1.9999999999999796E-2</v>
          </cell>
          <cell r="Z174" t="str">
            <v xml:space="preserve">  Japan</v>
          </cell>
          <cell r="BJ174">
            <v>2.6363636363636362</v>
          </cell>
          <cell r="BK174">
            <v>2.4782608695652169</v>
          </cell>
          <cell r="BL174">
            <v>1.580645161290323</v>
          </cell>
          <cell r="BM174">
            <v>1.4637681159420288</v>
          </cell>
          <cell r="BO174">
            <v>1.0479338842975205</v>
          </cell>
          <cell r="BP174">
            <v>0.58237547892720309</v>
          </cell>
          <cell r="BQ174">
            <v>0.35647321428571432</v>
          </cell>
          <cell r="BR174">
            <v>0.25419878296146048</v>
          </cell>
          <cell r="BT174">
            <v>0.10805860805860812</v>
          </cell>
          <cell r="BU174">
            <v>0.13275245163000249</v>
          </cell>
          <cell r="BV174">
            <v>0.10624483170500132</v>
          </cell>
          <cell r="BW174">
            <v>1.913051573263802E-2</v>
          </cell>
          <cell r="BY174">
            <v>5.8407079646017657E-2</v>
          </cell>
          <cell r="BZ174">
            <v>9.4961832061068785E-2</v>
          </cell>
          <cell r="CA174">
            <v>6.4857881136950901E-2</v>
          </cell>
          <cell r="CB174">
            <v>2.428256070640189E-2</v>
          </cell>
          <cell r="CD174">
            <v>-8.2813032126234587E-2</v>
          </cell>
          <cell r="CE174">
            <v>-0.17915663586239039</v>
          </cell>
          <cell r="CF174">
            <v>-0.14252829464799532</v>
          </cell>
          <cell r="CG174">
            <v>-0.13221173916673634</v>
          </cell>
          <cell r="CI174">
            <v>7.1328671328671378E-2</v>
          </cell>
          <cell r="CJ174">
            <v>0.19636860111107612</v>
          </cell>
          <cell r="CK174">
            <v>0.12032152333385371</v>
          </cell>
          <cell r="CL174">
            <v>0.13196833007491549</v>
          </cell>
        </row>
        <row r="176">
          <cell r="A176" t="str">
            <v>Fixed Cost Growth</v>
          </cell>
          <cell r="Z176" t="str">
            <v>Fixed Cost Growth</v>
          </cell>
        </row>
        <row r="177">
          <cell r="A177" t="str">
            <v xml:space="preserve">  Domestic</v>
          </cell>
          <cell r="F177">
            <v>5.2940056132056323E-2</v>
          </cell>
          <cell r="G177">
            <v>0.31423269830573131</v>
          </cell>
          <cell r="H177">
            <v>6.4814227404832891E-2</v>
          </cell>
          <cell r="I177">
            <v>-2.2106090596787475E-2</v>
          </cell>
          <cell r="J177">
            <v>6.0424238626394233E-2</v>
          </cell>
          <cell r="K177">
            <v>-1.3744232199224715E-2</v>
          </cell>
          <cell r="L177">
            <v>1.8115500609159341E-2</v>
          </cell>
          <cell r="M177">
            <v>-3.9042863777628556E-3</v>
          </cell>
          <cell r="N177">
            <v>-0.29540933887389964</v>
          </cell>
          <cell r="O177">
            <v>2.0000000000000018E-2</v>
          </cell>
          <cell r="P177">
            <v>5.0000000000000044E-2</v>
          </cell>
          <cell r="Q177">
            <v>5.0000000000000044E-2</v>
          </cell>
          <cell r="R177">
            <v>5.0000000000000044E-2</v>
          </cell>
          <cell r="S177">
            <v>5.0000000000000044E-2</v>
          </cell>
          <cell r="T177">
            <v>5.0000000000000044E-2</v>
          </cell>
          <cell r="U177">
            <v>5.0000000000000044E-2</v>
          </cell>
          <cell r="V177">
            <v>5.0000000000000044E-2</v>
          </cell>
          <cell r="W177">
            <v>5.0000000000000044E-2</v>
          </cell>
          <cell r="X177">
            <v>5.0000000000000044E-2</v>
          </cell>
          <cell r="Z177" t="str">
            <v xml:space="preserve">  Domestic</v>
          </cell>
        </row>
        <row r="178">
          <cell r="A178" t="str">
            <v xml:space="preserve">  United Kingdom</v>
          </cell>
          <cell r="F178">
            <v>0.45414011867039838</v>
          </cell>
          <cell r="G178">
            <v>-0.19592192114459195</v>
          </cell>
          <cell r="H178">
            <v>8.2695946192141045E-2</v>
          </cell>
          <cell r="I178">
            <v>0.307676242420303</v>
          </cell>
          <cell r="J178">
            <v>0.10794162635908866</v>
          </cell>
          <cell r="K178">
            <v>0.11940298507462699</v>
          </cell>
          <cell r="L178">
            <v>2.0000000000000018E-2</v>
          </cell>
          <cell r="M178">
            <v>2.0000000000000018E-2</v>
          </cell>
          <cell r="N178">
            <v>-5.0000000000000044E-2</v>
          </cell>
          <cell r="O178">
            <v>-5.0000000000000044E-2</v>
          </cell>
          <cell r="P178">
            <v>2.0000000000000018E-2</v>
          </cell>
          <cell r="Q178">
            <v>2.0000000000000018E-2</v>
          </cell>
          <cell r="R178">
            <v>2.0000000000000018E-2</v>
          </cell>
          <cell r="S178">
            <v>2.0000000000000018E-2</v>
          </cell>
          <cell r="T178">
            <v>2.0000000000000018E-2</v>
          </cell>
          <cell r="U178">
            <v>2.0000000000000018E-2</v>
          </cell>
          <cell r="V178">
            <v>2.0000000000000018E-2</v>
          </cell>
          <cell r="W178">
            <v>2.0000000000000018E-2</v>
          </cell>
          <cell r="X178">
            <v>2.0000000000000018E-2</v>
          </cell>
          <cell r="Z178" t="str">
            <v xml:space="preserve">  United Kingdom</v>
          </cell>
        </row>
        <row r="179">
          <cell r="A179" t="str">
            <v xml:space="preserve">  Germany</v>
          </cell>
          <cell r="F179">
            <v>1.9507000226367088E-2</v>
          </cell>
          <cell r="G179">
            <v>0.1363551494619839</v>
          </cell>
          <cell r="H179">
            <v>6.0068505925439108E-3</v>
          </cell>
          <cell r="I179">
            <v>0.42400164797975326</v>
          </cell>
          <cell r="J179">
            <v>0.355845336750088</v>
          </cell>
          <cell r="K179">
            <v>0.37178392878917199</v>
          </cell>
          <cell r="L179">
            <v>5.0000000000000044E-2</v>
          </cell>
          <cell r="M179">
            <v>0</v>
          </cell>
          <cell r="N179">
            <v>0.10000000000000009</v>
          </cell>
          <cell r="O179">
            <v>-7.4999999999999956E-2</v>
          </cell>
          <cell r="P179">
            <v>2.0000000000000018E-2</v>
          </cell>
          <cell r="Q179">
            <v>2.0000000000000018E-2</v>
          </cell>
          <cell r="R179">
            <v>2.0000000000000018E-2</v>
          </cell>
          <cell r="S179">
            <v>2.0000000000000018E-2</v>
          </cell>
          <cell r="T179">
            <v>2.0000000000000018E-2</v>
          </cell>
          <cell r="U179">
            <v>2.0000000000000018E-2</v>
          </cell>
          <cell r="V179">
            <v>2.0000000000000018E-2</v>
          </cell>
          <cell r="W179">
            <v>2.0000000000000018E-2</v>
          </cell>
          <cell r="X179">
            <v>2.0000000000000018E-2</v>
          </cell>
          <cell r="Z179" t="str">
            <v xml:space="preserve">  Germany</v>
          </cell>
        </row>
        <row r="182">
          <cell r="A182" t="str">
            <v>Total</v>
          </cell>
          <cell r="Z182" t="str">
            <v>Total</v>
          </cell>
        </row>
        <row r="184">
          <cell r="A184" t="str">
            <v>PP&amp;E and D&amp;A Analysis</v>
          </cell>
          <cell r="Z184" t="str">
            <v>PP&amp;E and D&amp;A Analysis</v>
          </cell>
        </row>
        <row r="186">
          <cell r="A186" t="str">
            <v>PP&amp;E</v>
          </cell>
          <cell r="Z186" t="str">
            <v>PP&amp;E</v>
          </cell>
        </row>
        <row r="187">
          <cell r="A187" t="str">
            <v xml:space="preserve">  Domestic</v>
          </cell>
          <cell r="H187">
            <v>413</v>
          </cell>
          <cell r="I187">
            <v>434.34999999999997</v>
          </cell>
          <cell r="J187">
            <v>497.33249999999998</v>
          </cell>
          <cell r="K187">
            <v>568.85587500000008</v>
          </cell>
          <cell r="L187">
            <v>717.6421962500001</v>
          </cell>
          <cell r="M187">
            <v>876.84810992201028</v>
          </cell>
          <cell r="N187">
            <v>941.50570442590981</v>
          </cell>
          <cell r="O187">
            <v>997.8313512502267</v>
          </cell>
          <cell r="P187">
            <v>1065.9642316459478</v>
          </cell>
          <cell r="Q187">
            <v>1146.2870361199373</v>
          </cell>
          <cell r="R187">
            <v>1226.5394461600888</v>
          </cell>
          <cell r="S187">
            <v>1319.8119402230968</v>
          </cell>
          <cell r="T187">
            <v>1414.0594276326942</v>
          </cell>
          <cell r="U187">
            <v>1509.3279683801375</v>
          </cell>
          <cell r="V187">
            <v>1605.7354429802888</v>
          </cell>
          <cell r="W187">
            <v>1703.3610046124861</v>
          </cell>
          <cell r="X187">
            <v>1802.4681684469897</v>
          </cell>
          <cell r="Z187" t="str">
            <v xml:space="preserve">  Domestic</v>
          </cell>
        </row>
        <row r="188">
          <cell r="A188" t="str">
            <v xml:space="preserve">  United Kingdom</v>
          </cell>
          <cell r="H188">
            <v>59</v>
          </cell>
          <cell r="I188">
            <v>62.050000000000004</v>
          </cell>
          <cell r="J188">
            <v>71.047499999999999</v>
          </cell>
          <cell r="K188">
            <v>81.265125000000012</v>
          </cell>
          <cell r="L188">
            <v>102.52031375000001</v>
          </cell>
          <cell r="M188">
            <v>125.26401570314434</v>
          </cell>
          <cell r="N188">
            <v>134.50081491798713</v>
          </cell>
          <cell r="O188">
            <v>142.54733589288955</v>
          </cell>
          <cell r="P188">
            <v>152.28060452084969</v>
          </cell>
          <cell r="Q188">
            <v>163.75529087427677</v>
          </cell>
          <cell r="R188">
            <v>175.21992088001269</v>
          </cell>
          <cell r="S188">
            <v>188.54456288901386</v>
          </cell>
          <cell r="T188">
            <v>202.00848966181348</v>
          </cell>
          <cell r="U188">
            <v>215.61828119716253</v>
          </cell>
          <cell r="V188">
            <v>229.39077756861272</v>
          </cell>
          <cell r="W188">
            <v>243.33728637321235</v>
          </cell>
          <cell r="X188">
            <v>257.49545263528427</v>
          </cell>
          <cell r="Z188" t="str">
            <v xml:space="preserve">  United Kingdom</v>
          </cell>
        </row>
        <row r="189">
          <cell r="A189" t="str">
            <v xml:space="preserve">  Germany</v>
          </cell>
          <cell r="H189">
            <v>59</v>
          </cell>
          <cell r="I189">
            <v>62.050000000000004</v>
          </cell>
          <cell r="J189">
            <v>71.047499999999999</v>
          </cell>
          <cell r="K189">
            <v>81.265125000000012</v>
          </cell>
          <cell r="L189">
            <v>102.52031375000001</v>
          </cell>
          <cell r="M189">
            <v>125.26401570314434</v>
          </cell>
          <cell r="N189">
            <v>134.50081491798713</v>
          </cell>
          <cell r="O189">
            <v>142.54733589288955</v>
          </cell>
          <cell r="P189">
            <v>152.28060452084969</v>
          </cell>
          <cell r="Q189">
            <v>163.75529087427677</v>
          </cell>
          <cell r="R189">
            <v>175.21992088001269</v>
          </cell>
          <cell r="S189">
            <v>188.54456288901386</v>
          </cell>
          <cell r="T189">
            <v>202.00848966181348</v>
          </cell>
          <cell r="U189">
            <v>215.61828119716253</v>
          </cell>
          <cell r="V189">
            <v>229.39077756861272</v>
          </cell>
          <cell r="W189">
            <v>243.33728637321235</v>
          </cell>
          <cell r="X189">
            <v>257.49545263528427</v>
          </cell>
          <cell r="Z189" t="str">
            <v xml:space="preserve">  Germany</v>
          </cell>
        </row>
        <row r="190">
          <cell r="A190" t="str">
            <v xml:space="preserve">  Italy</v>
          </cell>
          <cell r="K190">
            <v>0</v>
          </cell>
          <cell r="L190">
            <v>0</v>
          </cell>
          <cell r="M190">
            <v>0</v>
          </cell>
          <cell r="N190">
            <v>0</v>
          </cell>
          <cell r="O190">
            <v>0</v>
          </cell>
          <cell r="P190">
            <v>15</v>
          </cell>
          <cell r="Q190">
            <v>33.799999999999997</v>
          </cell>
          <cell r="R190">
            <v>36.095999999999997</v>
          </cell>
          <cell r="S190">
            <v>38.458320000000001</v>
          </cell>
          <cell r="T190">
            <v>40.894154400000005</v>
          </cell>
          <cell r="U190">
            <v>43.410747048000005</v>
          </cell>
          <cell r="V190">
            <v>46.015418534160005</v>
          </cell>
          <cell r="W190">
            <v>48.715592863927206</v>
          </cell>
          <cell r="X190">
            <v>51.518823637938034</v>
          </cell>
          <cell r="Z190" t="str">
            <v xml:space="preserve">  Italy</v>
          </cell>
        </row>
        <row r="191">
          <cell r="A191" t="str">
            <v xml:space="preserve">  Japan</v>
          </cell>
          <cell r="H191">
            <v>59</v>
          </cell>
          <cell r="I191">
            <v>62.050000000000068</v>
          </cell>
          <cell r="J191">
            <v>71.047500000000014</v>
          </cell>
          <cell r="K191">
            <v>81.265125000000012</v>
          </cell>
          <cell r="L191">
            <v>102.52031375000001</v>
          </cell>
          <cell r="M191">
            <v>125.26401570314442</v>
          </cell>
          <cell r="N191">
            <v>134.5008149179871</v>
          </cell>
          <cell r="O191">
            <v>142.54733589288958</v>
          </cell>
          <cell r="P191">
            <v>137.28060452084969</v>
          </cell>
          <cell r="Q191">
            <v>129.95529087427667</v>
          </cell>
          <cell r="R191">
            <v>139.12392088001252</v>
          </cell>
          <cell r="S191">
            <v>150.0862428890141</v>
          </cell>
          <cell r="T191">
            <v>161.11433526181372</v>
          </cell>
          <cell r="U191">
            <v>172.20753414916248</v>
          </cell>
          <cell r="V191">
            <v>183.37535903445314</v>
          </cell>
          <cell r="W191">
            <v>194.62169350928525</v>
          </cell>
          <cell r="X191">
            <v>205.97662899734587</v>
          </cell>
          <cell r="Z191" t="str">
            <v xml:space="preserve">  Japan</v>
          </cell>
        </row>
        <row r="192">
          <cell r="A192" t="str">
            <v>Total PP&amp;E</v>
          </cell>
          <cell r="H192">
            <v>590</v>
          </cell>
          <cell r="I192">
            <v>620.5</v>
          </cell>
          <cell r="J192">
            <v>710.47500000000002</v>
          </cell>
          <cell r="K192">
            <v>812.65125000000012</v>
          </cell>
          <cell r="L192">
            <v>1025.2031375000001</v>
          </cell>
          <cell r="M192">
            <v>1252.6401570314433</v>
          </cell>
          <cell r="N192">
            <v>1345.0081491798712</v>
          </cell>
          <cell r="O192">
            <v>1425.4733589288953</v>
          </cell>
          <cell r="P192">
            <v>1522.8060452084969</v>
          </cell>
          <cell r="Q192">
            <v>1637.5529087427676</v>
          </cell>
          <cell r="R192">
            <v>1752.1992088001268</v>
          </cell>
          <cell r="S192">
            <v>1885.4456288901386</v>
          </cell>
          <cell r="T192">
            <v>2020.0848966181347</v>
          </cell>
          <cell r="U192">
            <v>2156.1828119716251</v>
          </cell>
          <cell r="V192">
            <v>2293.907775686127</v>
          </cell>
          <cell r="W192">
            <v>2433.3728637321233</v>
          </cell>
          <cell r="X192">
            <v>2574.9545263528425</v>
          </cell>
          <cell r="Z192" t="str">
            <v>Total PP&amp;E</v>
          </cell>
        </row>
        <row r="194">
          <cell r="A194" t="str">
            <v>Total Consolidated PP&amp;E</v>
          </cell>
          <cell r="Z194" t="str">
            <v>Total Consolidated PP&amp;E</v>
          </cell>
        </row>
        <row r="195">
          <cell r="A195" t="str">
            <v>Beginning PP&amp;E</v>
          </cell>
          <cell r="H195">
            <v>500</v>
          </cell>
          <cell r="I195">
            <v>590</v>
          </cell>
          <cell r="J195">
            <v>620.5</v>
          </cell>
          <cell r="K195">
            <v>710.47500000000002</v>
          </cell>
          <cell r="L195">
            <v>812.65125000000012</v>
          </cell>
          <cell r="M195">
            <v>1025.2031375000001</v>
          </cell>
          <cell r="N195">
            <v>1252.6401570314433</v>
          </cell>
          <cell r="O195">
            <v>1345.0081491798712</v>
          </cell>
          <cell r="P195">
            <v>1425.4733589288953</v>
          </cell>
          <cell r="Q195">
            <v>1522.8060452084969</v>
          </cell>
          <cell r="R195">
            <v>1637.5529087427676</v>
          </cell>
          <cell r="S195">
            <v>1752.1992088001268</v>
          </cell>
          <cell r="T195">
            <v>1885.4456288901386</v>
          </cell>
          <cell r="U195">
            <v>2020.0848966181347</v>
          </cell>
          <cell r="V195">
            <v>2156.1828119716251</v>
          </cell>
          <cell r="W195">
            <v>2293.907775686127</v>
          </cell>
          <cell r="X195">
            <v>2433.3728637321233</v>
          </cell>
          <cell r="Z195" t="str">
            <v>Beginning PP&amp;E</v>
          </cell>
        </row>
        <row r="196">
          <cell r="A196" t="str">
            <v>Capital Expenditures</v>
          </cell>
          <cell r="H196">
            <v>115</v>
          </cell>
          <cell r="I196">
            <v>60</v>
          </cell>
          <cell r="J196">
            <v>121</v>
          </cell>
          <cell r="K196">
            <v>137.70000000000002</v>
          </cell>
          <cell r="L196">
            <v>253.18445</v>
          </cell>
          <cell r="M196">
            <v>278.69717640644342</v>
          </cell>
          <cell r="N196">
            <v>155</v>
          </cell>
          <cell r="O196">
            <v>147.71561720801759</v>
          </cell>
          <cell r="P196">
            <v>168.60635422604636</v>
          </cell>
          <cell r="Q196">
            <v>190.88716579469573</v>
          </cell>
          <cell r="R196">
            <v>196.52394549449755</v>
          </cell>
          <cell r="S196">
            <v>220.85638053001793</v>
          </cell>
          <cell r="T196">
            <v>228.91154917250313</v>
          </cell>
          <cell r="U196">
            <v>237.10216018439732</v>
          </cell>
          <cell r="V196">
            <v>245.53410431308299</v>
          </cell>
          <cell r="W196">
            <v>254.16047683030288</v>
          </cell>
          <cell r="X196">
            <v>263.25030580732528</v>
          </cell>
          <cell r="Z196" t="str">
            <v>Capital Expenditures</v>
          </cell>
        </row>
        <row r="197">
          <cell r="A197" t="str">
            <v>Retirements</v>
          </cell>
          <cell r="H197">
            <v>-25</v>
          </cell>
          <cell r="I197">
            <v>-29.5</v>
          </cell>
          <cell r="J197">
            <v>-31.025000000000002</v>
          </cell>
          <cell r="K197">
            <v>-35.52375</v>
          </cell>
          <cell r="L197">
            <v>-40.632562500000006</v>
          </cell>
          <cell r="M197">
            <v>-51.260156875000007</v>
          </cell>
          <cell r="N197">
            <v>-62.632007851572169</v>
          </cell>
          <cell r="O197">
            <v>-67.250407458993564</v>
          </cell>
          <cell r="P197">
            <v>-71.273667946444775</v>
          </cell>
          <cell r="Q197">
            <v>-76.140302260424846</v>
          </cell>
          <cell r="R197">
            <v>-81.877645437138383</v>
          </cell>
          <cell r="S197">
            <v>-87.609960440006347</v>
          </cell>
          <cell r="T197">
            <v>-94.27228144450693</v>
          </cell>
          <cell r="U197">
            <v>-101.00424483090674</v>
          </cell>
          <cell r="V197">
            <v>-107.80914059858127</v>
          </cell>
          <cell r="W197">
            <v>-114.69538878430636</v>
          </cell>
          <cell r="X197">
            <v>-121.66864318660618</v>
          </cell>
          <cell r="Z197" t="str">
            <v>Retirements</v>
          </cell>
        </row>
        <row r="198">
          <cell r="A198" t="str">
            <v>Ending PP&amp;E</v>
          </cell>
          <cell r="H198">
            <v>590</v>
          </cell>
          <cell r="I198">
            <v>620.5</v>
          </cell>
          <cell r="J198">
            <v>710.47500000000002</v>
          </cell>
          <cell r="K198">
            <v>812.65125000000012</v>
          </cell>
          <cell r="L198">
            <v>1025.2031375000001</v>
          </cell>
          <cell r="M198">
            <v>1252.6401570314433</v>
          </cell>
          <cell r="N198">
            <v>1345.0081491798712</v>
          </cell>
          <cell r="O198">
            <v>1425.4733589288953</v>
          </cell>
          <cell r="P198">
            <v>1522.8060452084969</v>
          </cell>
          <cell r="Q198">
            <v>1637.5529087427676</v>
          </cell>
          <cell r="R198">
            <v>1752.1992088001268</v>
          </cell>
          <cell r="S198">
            <v>1885.4456288901386</v>
          </cell>
          <cell r="T198">
            <v>2020.0848966181347</v>
          </cell>
          <cell r="U198">
            <v>2156.1828119716251</v>
          </cell>
          <cell r="V198">
            <v>2293.907775686127</v>
          </cell>
          <cell r="W198">
            <v>2433.3728637321233</v>
          </cell>
          <cell r="X198">
            <v>2574.9545263528425</v>
          </cell>
          <cell r="Z198" t="str">
            <v>Ending PP&amp;E</v>
          </cell>
        </row>
        <row r="199">
          <cell r="A199" t="str">
            <v>Average</v>
          </cell>
          <cell r="H199">
            <v>545</v>
          </cell>
          <cell r="I199">
            <v>605.25</v>
          </cell>
          <cell r="J199">
            <v>665.48749999999995</v>
          </cell>
          <cell r="K199">
            <v>761.56312500000013</v>
          </cell>
          <cell r="L199">
            <v>918.92719375000013</v>
          </cell>
          <cell r="M199">
            <v>1138.9216472657217</v>
          </cell>
          <cell r="N199">
            <v>1298.8241531056574</v>
          </cell>
          <cell r="O199">
            <v>1385.2407540543832</v>
          </cell>
          <cell r="P199">
            <v>1474.1397020686961</v>
          </cell>
          <cell r="Q199">
            <v>1580.1794769756323</v>
          </cell>
          <cell r="R199">
            <v>1694.8760587714473</v>
          </cell>
          <cell r="S199">
            <v>1818.8224188451327</v>
          </cell>
          <cell r="T199">
            <v>1952.7652627541365</v>
          </cell>
          <cell r="U199">
            <v>2088.1338542948797</v>
          </cell>
          <cell r="V199">
            <v>2225.0452938288763</v>
          </cell>
          <cell r="W199">
            <v>2363.6403197091249</v>
          </cell>
          <cell r="X199">
            <v>2504.1636950424827</v>
          </cell>
          <cell r="Z199" t="str">
            <v>Average</v>
          </cell>
        </row>
        <row r="200">
          <cell r="A200" t="str">
            <v>Depreciation</v>
          </cell>
          <cell r="H200">
            <v>99</v>
          </cell>
          <cell r="I200">
            <v>95</v>
          </cell>
          <cell r="J200">
            <v>98</v>
          </cell>
          <cell r="K200">
            <v>120.70000000000005</v>
          </cell>
          <cell r="L200">
            <v>172.20000000000005</v>
          </cell>
          <cell r="M200">
            <v>243</v>
          </cell>
          <cell r="N200">
            <v>282.35307676209948</v>
          </cell>
          <cell r="O200">
            <v>301.13929435964855</v>
          </cell>
          <cell r="P200">
            <v>320.46515262362959</v>
          </cell>
          <cell r="Q200">
            <v>343.51727760339833</v>
          </cell>
          <cell r="R200">
            <v>368.45131712422773</v>
          </cell>
          <cell r="S200">
            <v>395.39617800981148</v>
          </cell>
          <cell r="T200">
            <v>424.51418755524708</v>
          </cell>
          <cell r="U200">
            <v>453.94214223801737</v>
          </cell>
          <cell r="V200">
            <v>483.7054986584514</v>
          </cell>
          <cell r="W200">
            <v>513.83485211067932</v>
          </cell>
          <cell r="X200">
            <v>544.3834119657572</v>
          </cell>
          <cell r="Z200" t="str">
            <v>Depreciation</v>
          </cell>
        </row>
        <row r="201">
          <cell r="A201" t="str">
            <v>Average Life</v>
          </cell>
          <cell r="J201">
            <v>6.7906887755102039</v>
          </cell>
          <cell r="K201">
            <v>6.3095536454018211</v>
          </cell>
          <cell r="L201">
            <v>5.3363948533681755</v>
          </cell>
          <cell r="M201">
            <v>4.6869203591181963</v>
          </cell>
          <cell r="N201">
            <v>4.5999999999999996</v>
          </cell>
          <cell r="O201">
            <v>4.5999999999999996</v>
          </cell>
          <cell r="P201">
            <v>4.5999999999999996</v>
          </cell>
          <cell r="Q201">
            <v>4.5999999999999996</v>
          </cell>
          <cell r="R201">
            <v>4.5999999999999996</v>
          </cell>
          <cell r="S201">
            <v>4.5999999999999996</v>
          </cell>
          <cell r="T201">
            <v>4.5999999999999996</v>
          </cell>
          <cell r="U201">
            <v>4.5999999999999996</v>
          </cell>
          <cell r="V201">
            <v>4.5999999999999996</v>
          </cell>
          <cell r="W201">
            <v>4.5999999999999996</v>
          </cell>
          <cell r="X201">
            <v>4.5999999999999996</v>
          </cell>
          <cell r="Z201" t="str">
            <v>Average Life</v>
          </cell>
        </row>
        <row r="203">
          <cell r="A203" t="str">
            <v>Capital Expenditures</v>
          </cell>
          <cell r="Z203" t="str">
            <v>Capital Expenditures</v>
          </cell>
        </row>
        <row r="204">
          <cell r="A204" t="str">
            <v xml:space="preserve">  Domestic</v>
          </cell>
          <cell r="H204">
            <v>75</v>
          </cell>
          <cell r="I204">
            <v>30</v>
          </cell>
          <cell r="J204">
            <v>75</v>
          </cell>
          <cell r="K204">
            <v>60</v>
          </cell>
          <cell r="L204">
            <v>100</v>
          </cell>
          <cell r="M204">
            <v>130</v>
          </cell>
          <cell r="N204">
            <v>75</v>
          </cell>
          <cell r="O204">
            <v>72</v>
          </cell>
          <cell r="P204">
            <v>75</v>
          </cell>
          <cell r="Q204">
            <v>89.423049994005652</v>
          </cell>
          <cell r="R204">
            <v>106.76202564321441</v>
          </cell>
          <cell r="S204">
            <v>127.50777116024565</v>
          </cell>
          <cell r="T204">
            <v>132.30330851529359</v>
          </cell>
          <cell r="U204">
            <v>137.08820026555125</v>
          </cell>
          <cell r="V204">
            <v>141.9612354827733</v>
          </cell>
          <cell r="W204">
            <v>146.86805511197008</v>
          </cell>
          <cell r="X204">
            <v>152.06986264321009</v>
          </cell>
          <cell r="Z204" t="str">
            <v xml:space="preserve">  Domestic</v>
          </cell>
        </row>
        <row r="205">
          <cell r="A205" t="str">
            <v xml:space="preserve">  United Kingdom</v>
          </cell>
          <cell r="H205">
            <v>10</v>
          </cell>
          <cell r="I205">
            <v>20</v>
          </cell>
          <cell r="J205">
            <v>20</v>
          </cell>
          <cell r="K205">
            <v>40</v>
          </cell>
          <cell r="L205">
            <v>60</v>
          </cell>
          <cell r="M205">
            <v>60</v>
          </cell>
          <cell r="N205">
            <v>40</v>
          </cell>
          <cell r="O205">
            <v>33.715617208017598</v>
          </cell>
          <cell r="P205">
            <v>34.506354226046348</v>
          </cell>
          <cell r="Q205">
            <v>35.159115800690067</v>
          </cell>
          <cell r="R205">
            <v>36.141669851283147</v>
          </cell>
          <cell r="S205">
            <v>37.047346869772262</v>
          </cell>
          <cell r="T205">
            <v>37.491915032209533</v>
          </cell>
          <cell r="U205">
            <v>37.941818012596045</v>
          </cell>
          <cell r="V205">
            <v>38.397119828747186</v>
          </cell>
          <cell r="W205">
            <v>38.857885266692165</v>
          </cell>
          <cell r="X205">
            <v>39.324179889892463</v>
          </cell>
          <cell r="Z205" t="str">
            <v xml:space="preserve">  United Kingdom</v>
          </cell>
        </row>
        <row r="206">
          <cell r="A206" t="str">
            <v xml:space="preserve">  Germany</v>
          </cell>
          <cell r="H206">
            <v>20</v>
          </cell>
          <cell r="I206">
            <v>10</v>
          </cell>
          <cell r="J206">
            <v>20</v>
          </cell>
          <cell r="K206">
            <v>30</v>
          </cell>
          <cell r="L206">
            <v>50</v>
          </cell>
          <cell r="M206">
            <v>50</v>
          </cell>
          <cell r="N206">
            <v>20</v>
          </cell>
          <cell r="O206">
            <v>21</v>
          </cell>
          <cell r="P206">
            <v>22.05</v>
          </cell>
          <cell r="Q206">
            <v>23.152500000000003</v>
          </cell>
          <cell r="R206">
            <v>24.310125000000003</v>
          </cell>
          <cell r="S206">
            <v>25.525631250000004</v>
          </cell>
          <cell r="T206">
            <v>26.801912812500007</v>
          </cell>
          <cell r="U206">
            <v>28.142008453125008</v>
          </cell>
          <cell r="V206">
            <v>29.549108875781261</v>
          </cell>
          <cell r="W206">
            <v>31.026564319570326</v>
          </cell>
          <cell r="X206">
            <v>32.577892535548841</v>
          </cell>
          <cell r="Z206" t="str">
            <v xml:space="preserve">  Germany</v>
          </cell>
        </row>
        <row r="207">
          <cell r="A207" t="str">
            <v xml:space="preserve">  Italy</v>
          </cell>
          <cell r="K207">
            <v>0</v>
          </cell>
          <cell r="L207">
            <v>0</v>
          </cell>
          <cell r="M207">
            <v>0</v>
          </cell>
          <cell r="N207">
            <v>0</v>
          </cell>
          <cell r="O207">
            <v>0</v>
          </cell>
          <cell r="P207">
            <v>15</v>
          </cell>
          <cell r="Q207">
            <v>20</v>
          </cell>
          <cell r="R207">
            <v>5</v>
          </cell>
          <cell r="S207">
            <v>5.25</v>
          </cell>
          <cell r="T207">
            <v>5.5125000000000002</v>
          </cell>
          <cell r="U207">
            <v>5.7881250000000009</v>
          </cell>
          <cell r="V207">
            <v>6.0775312500000007</v>
          </cell>
          <cell r="W207">
            <v>6.3814078125000009</v>
          </cell>
          <cell r="X207">
            <v>6.7004782031250016</v>
          </cell>
          <cell r="Z207" t="str">
            <v xml:space="preserve">  Italy</v>
          </cell>
        </row>
        <row r="208">
          <cell r="A208" t="str">
            <v xml:space="preserve">  Japan</v>
          </cell>
          <cell r="H208">
            <v>10</v>
          </cell>
          <cell r="I208">
            <v>0</v>
          </cell>
          <cell r="J208">
            <v>6</v>
          </cell>
          <cell r="K208">
            <v>7.7000000000000171</v>
          </cell>
          <cell r="L208">
            <v>43.184449999999998</v>
          </cell>
          <cell r="M208">
            <v>38.697176406443418</v>
          </cell>
          <cell r="N208">
            <v>20</v>
          </cell>
          <cell r="O208">
            <v>21</v>
          </cell>
          <cell r="P208">
            <v>22.05</v>
          </cell>
          <cell r="Q208">
            <v>23.152500000000003</v>
          </cell>
          <cell r="R208">
            <v>24.310125000000003</v>
          </cell>
          <cell r="S208">
            <v>25.525631250000004</v>
          </cell>
          <cell r="T208">
            <v>26.801912812500007</v>
          </cell>
          <cell r="U208">
            <v>28.142008453125008</v>
          </cell>
          <cell r="V208">
            <v>29.549108875781261</v>
          </cell>
          <cell r="W208">
            <v>31.026564319570326</v>
          </cell>
          <cell r="X208">
            <v>32.577892535548841</v>
          </cell>
          <cell r="Z208" t="str">
            <v xml:space="preserve">  Japan</v>
          </cell>
        </row>
        <row r="209">
          <cell r="A209" t="str">
            <v>Total Capital Expenditures</v>
          </cell>
          <cell r="H209">
            <v>115</v>
          </cell>
          <cell r="I209">
            <v>60</v>
          </cell>
          <cell r="J209">
            <v>121</v>
          </cell>
          <cell r="K209">
            <v>137.70000000000002</v>
          </cell>
          <cell r="L209">
            <v>253.18445</v>
          </cell>
          <cell r="M209">
            <v>278.69717640644342</v>
          </cell>
          <cell r="N209">
            <v>155</v>
          </cell>
          <cell r="O209">
            <v>147.71561720801759</v>
          </cell>
          <cell r="P209">
            <v>168.60635422604636</v>
          </cell>
          <cell r="Q209">
            <v>190.88716579469573</v>
          </cell>
          <cell r="R209">
            <v>196.52394549449755</v>
          </cell>
          <cell r="S209">
            <v>220.85638053001793</v>
          </cell>
          <cell r="T209">
            <v>228.91154917250313</v>
          </cell>
          <cell r="U209">
            <v>237.10216018439732</v>
          </cell>
          <cell r="V209">
            <v>245.53410431308299</v>
          </cell>
          <cell r="W209">
            <v>254.16047683030288</v>
          </cell>
          <cell r="X209">
            <v>263.25030580732528</v>
          </cell>
          <cell r="Z209" t="str">
            <v>Total Capital Expenditures</v>
          </cell>
        </row>
        <row r="211">
          <cell r="A211" t="str">
            <v>Gross Intangible Assets Subject to Amortization</v>
          </cell>
          <cell r="I211">
            <v>4400</v>
          </cell>
          <cell r="J211">
            <v>4441</v>
          </cell>
          <cell r="K211">
            <v>4441</v>
          </cell>
          <cell r="L211">
            <v>4441</v>
          </cell>
          <cell r="M211">
            <v>4441</v>
          </cell>
          <cell r="N211">
            <v>4441</v>
          </cell>
          <cell r="O211">
            <v>4441</v>
          </cell>
          <cell r="P211">
            <v>4441</v>
          </cell>
          <cell r="Q211">
            <v>4441</v>
          </cell>
          <cell r="R211">
            <v>4441</v>
          </cell>
          <cell r="S211">
            <v>4441</v>
          </cell>
          <cell r="T211">
            <v>4441</v>
          </cell>
          <cell r="U211">
            <v>4441</v>
          </cell>
          <cell r="V211">
            <v>4441</v>
          </cell>
          <cell r="W211">
            <v>4441</v>
          </cell>
          <cell r="X211">
            <v>4441</v>
          </cell>
          <cell r="Z211" t="str">
            <v>Gross Intangible Assets Subject to Amortization</v>
          </cell>
        </row>
        <row r="213">
          <cell r="A213" t="str">
            <v>Amortization of Intangible Assets</v>
          </cell>
          <cell r="H213">
            <v>20</v>
          </cell>
          <cell r="I213">
            <v>127</v>
          </cell>
          <cell r="J213">
            <v>339</v>
          </cell>
          <cell r="K213">
            <v>328.29999999999995</v>
          </cell>
          <cell r="L213">
            <v>303.79999999999995</v>
          </cell>
          <cell r="M213">
            <v>273</v>
          </cell>
          <cell r="N213">
            <v>250.6</v>
          </cell>
          <cell r="O213">
            <v>235.89999999999998</v>
          </cell>
          <cell r="P213">
            <v>235.89999999999998</v>
          </cell>
          <cell r="Q213">
            <v>235.89999999999998</v>
          </cell>
          <cell r="R213">
            <v>235.89999999999998</v>
          </cell>
          <cell r="S213">
            <v>235.89999999999998</v>
          </cell>
          <cell r="T213">
            <v>235.89999999999998</v>
          </cell>
          <cell r="U213">
            <v>235.89999999999998</v>
          </cell>
          <cell r="V213">
            <v>235.89999999999998</v>
          </cell>
          <cell r="W213">
            <v>235.89999999999998</v>
          </cell>
          <cell r="X213">
            <v>235.89999999999998</v>
          </cell>
          <cell r="Z213" t="str">
            <v>Amortization of Intangible Assets</v>
          </cell>
        </row>
        <row r="215">
          <cell r="A215" t="str">
            <v>Total D&amp;A</v>
          </cell>
          <cell r="H215">
            <v>119</v>
          </cell>
          <cell r="I215">
            <v>222</v>
          </cell>
          <cell r="J215">
            <v>437</v>
          </cell>
          <cell r="K215">
            <v>449</v>
          </cell>
          <cell r="L215">
            <v>476</v>
          </cell>
          <cell r="M215">
            <v>516</v>
          </cell>
          <cell r="N215">
            <v>532.9530767620995</v>
          </cell>
          <cell r="O215">
            <v>537.03929435964847</v>
          </cell>
          <cell r="P215">
            <v>556.36515262362957</v>
          </cell>
          <cell r="Q215">
            <v>579.41727760339836</v>
          </cell>
          <cell r="R215">
            <v>604.35131712422776</v>
          </cell>
          <cell r="S215">
            <v>631.29617800981146</v>
          </cell>
          <cell r="T215">
            <v>660.41418755524705</v>
          </cell>
          <cell r="U215">
            <v>689.84214223801735</v>
          </cell>
          <cell r="V215">
            <v>719.60549865845132</v>
          </cell>
          <cell r="W215">
            <v>749.7348521106793</v>
          </cell>
          <cell r="X215">
            <v>780.28341196575718</v>
          </cell>
          <cell r="Z215" t="str">
            <v>Total D&amp;A</v>
          </cell>
        </row>
        <row r="217">
          <cell r="A217" t="str">
            <v>Beginning Gross Intangible Assets Subject to Amortization</v>
          </cell>
          <cell r="J217">
            <v>4273</v>
          </cell>
          <cell r="K217">
            <v>3934</v>
          </cell>
          <cell r="L217">
            <v>3605.7</v>
          </cell>
          <cell r="M217">
            <v>3301.8999999999996</v>
          </cell>
          <cell r="N217">
            <v>3028.8999999999996</v>
          </cell>
          <cell r="O217">
            <v>2778.2999999999997</v>
          </cell>
          <cell r="P217">
            <v>2542.3999999999996</v>
          </cell>
          <cell r="Q217">
            <v>2306.4999999999995</v>
          </cell>
          <cell r="R217">
            <v>2070.5999999999995</v>
          </cell>
          <cell r="S217">
            <v>1834.6999999999994</v>
          </cell>
          <cell r="T217">
            <v>1598.7999999999993</v>
          </cell>
          <cell r="U217">
            <v>1362.8999999999992</v>
          </cell>
          <cell r="V217">
            <v>1126.9999999999991</v>
          </cell>
          <cell r="W217">
            <v>891.09999999999911</v>
          </cell>
          <cell r="X217">
            <v>655.19999999999914</v>
          </cell>
          <cell r="Z217" t="str">
            <v>Beginning Gross Intangible Assets Subject to Amortization</v>
          </cell>
        </row>
        <row r="218">
          <cell r="A218" t="str">
            <v>Amortization</v>
          </cell>
          <cell r="J218">
            <v>-339</v>
          </cell>
          <cell r="K218">
            <v>-328.29999999999995</v>
          </cell>
          <cell r="L218">
            <v>-303.79999999999995</v>
          </cell>
          <cell r="M218">
            <v>-273</v>
          </cell>
          <cell r="N218">
            <v>-250.6</v>
          </cell>
          <cell r="O218">
            <v>-235.89999999999998</v>
          </cell>
          <cell r="P218">
            <v>-235.89999999999998</v>
          </cell>
          <cell r="Q218">
            <v>-235.89999999999998</v>
          </cell>
          <cell r="R218">
            <v>-235.89999999999998</v>
          </cell>
          <cell r="S218">
            <v>-235.89999999999998</v>
          </cell>
          <cell r="T218">
            <v>-235.89999999999998</v>
          </cell>
          <cell r="U218">
            <v>-235.89999999999998</v>
          </cell>
          <cell r="V218">
            <v>-235.89999999999998</v>
          </cell>
          <cell r="W218">
            <v>-235.89999999999998</v>
          </cell>
          <cell r="X218">
            <v>-235.89999999999998</v>
          </cell>
          <cell r="Z218" t="str">
            <v>Amortization</v>
          </cell>
        </row>
        <row r="219">
          <cell r="A219" t="str">
            <v>Additions</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Z219" t="str">
            <v>Additions</v>
          </cell>
        </row>
        <row r="220">
          <cell r="A220" t="str">
            <v>Ending Net Intangible Assets Subject to Amortization</v>
          </cell>
          <cell r="J220">
            <v>3934</v>
          </cell>
          <cell r="K220">
            <v>3605.7</v>
          </cell>
          <cell r="L220">
            <v>3301.8999999999996</v>
          </cell>
          <cell r="M220">
            <v>3028.8999999999996</v>
          </cell>
          <cell r="N220">
            <v>2778.2999999999997</v>
          </cell>
          <cell r="O220">
            <v>2542.3999999999996</v>
          </cell>
          <cell r="P220">
            <v>2306.4999999999995</v>
          </cell>
          <cell r="Q220">
            <v>2070.5999999999995</v>
          </cell>
          <cell r="R220">
            <v>1834.6999999999994</v>
          </cell>
          <cell r="S220">
            <v>1598.7999999999993</v>
          </cell>
          <cell r="T220">
            <v>1362.8999999999992</v>
          </cell>
          <cell r="U220">
            <v>1126.9999999999991</v>
          </cell>
          <cell r="V220">
            <v>891.09999999999911</v>
          </cell>
          <cell r="W220">
            <v>655.19999999999914</v>
          </cell>
          <cell r="X220">
            <v>419.29999999999916</v>
          </cell>
          <cell r="Z220" t="str">
            <v>Ending Net Intangible Assets Subject to Amortization</v>
          </cell>
        </row>
      </sheetData>
      <sheetData sheetId="14" refreshError="1">
        <row r="2">
          <cell r="A2" t="str">
            <v>QVC - QVC Channel</v>
          </cell>
        </row>
        <row r="4">
          <cell r="B4">
            <v>1995</v>
          </cell>
          <cell r="G4">
            <v>1996</v>
          </cell>
          <cell r="L4">
            <v>1997</v>
          </cell>
          <cell r="Q4">
            <v>1998</v>
          </cell>
          <cell r="V4" t="str">
            <v>1999</v>
          </cell>
          <cell r="AA4" t="str">
            <v>2000</v>
          </cell>
          <cell r="AF4" t="str">
            <v>2001</v>
          </cell>
          <cell r="AK4" t="str">
            <v>2002</v>
          </cell>
          <cell r="AP4" t="str">
            <v>2003</v>
          </cell>
          <cell r="AU4" t="str">
            <v>2004</v>
          </cell>
          <cell r="AZ4" t="str">
            <v>2005</v>
          </cell>
          <cell r="BE4" t="str">
            <v>2006</v>
          </cell>
          <cell r="BJ4" t="str">
            <v>2007</v>
          </cell>
          <cell r="BO4" t="str">
            <v>2008E</v>
          </cell>
        </row>
        <row r="5">
          <cell r="A5" t="str">
            <v>($ Millions)</v>
          </cell>
          <cell r="B5" t="str">
            <v>Q1</v>
          </cell>
          <cell r="C5" t="str">
            <v>Q2</v>
          </cell>
          <cell r="D5" t="str">
            <v>Q3</v>
          </cell>
          <cell r="E5" t="str">
            <v>Q4</v>
          </cell>
          <cell r="F5" t="str">
            <v>1995</v>
          </cell>
          <cell r="G5" t="str">
            <v>Q1</v>
          </cell>
          <cell r="H5" t="str">
            <v>Q2</v>
          </cell>
          <cell r="I5" t="str">
            <v>Q3</v>
          </cell>
          <cell r="J5" t="str">
            <v>Q4</v>
          </cell>
          <cell r="K5" t="str">
            <v>1996</v>
          </cell>
          <cell r="L5" t="str">
            <v>Q1</v>
          </cell>
          <cell r="M5" t="str">
            <v>Q2</v>
          </cell>
          <cell r="N5" t="str">
            <v>Q3</v>
          </cell>
          <cell r="O5" t="str">
            <v>Q4</v>
          </cell>
          <cell r="P5" t="str">
            <v>1997</v>
          </cell>
          <cell r="Q5" t="str">
            <v>Q1</v>
          </cell>
          <cell r="R5" t="str">
            <v>Q2</v>
          </cell>
          <cell r="S5" t="str">
            <v>Q3</v>
          </cell>
          <cell r="T5" t="str">
            <v>Q4</v>
          </cell>
          <cell r="U5" t="str">
            <v>1998</v>
          </cell>
          <cell r="V5" t="str">
            <v>Q1</v>
          </cell>
          <cell r="W5" t="str">
            <v>Q2</v>
          </cell>
          <cell r="X5" t="str">
            <v>Q3</v>
          </cell>
          <cell r="Y5" t="str">
            <v>Q4</v>
          </cell>
          <cell r="Z5" t="str">
            <v>1999</v>
          </cell>
          <cell r="AA5" t="str">
            <v>Q1</v>
          </cell>
          <cell r="AB5" t="str">
            <v>Q2</v>
          </cell>
          <cell r="AC5" t="str">
            <v>Q3</v>
          </cell>
          <cell r="AD5" t="str">
            <v>Q4</v>
          </cell>
          <cell r="AE5" t="str">
            <v>2000</v>
          </cell>
          <cell r="AF5" t="str">
            <v>Q1</v>
          </cell>
          <cell r="AG5" t="str">
            <v>Q2</v>
          </cell>
          <cell r="AH5" t="str">
            <v>Q3</v>
          </cell>
          <cell r="AI5" t="str">
            <v>Q4</v>
          </cell>
          <cell r="AJ5" t="str">
            <v>2001</v>
          </cell>
          <cell r="AK5" t="str">
            <v>Q1</v>
          </cell>
          <cell r="AL5" t="str">
            <v>Q2</v>
          </cell>
          <cell r="AM5" t="str">
            <v>Q3</v>
          </cell>
          <cell r="AN5" t="str">
            <v>Q4</v>
          </cell>
          <cell r="AO5" t="str">
            <v>2002</v>
          </cell>
          <cell r="AP5" t="str">
            <v>Q1</v>
          </cell>
          <cell r="AQ5" t="str">
            <v>Q2</v>
          </cell>
          <cell r="AR5" t="str">
            <v>Q3</v>
          </cell>
          <cell r="AS5" t="str">
            <v>Q4</v>
          </cell>
          <cell r="AT5" t="str">
            <v>2003</v>
          </cell>
          <cell r="AU5" t="str">
            <v>Q1</v>
          </cell>
          <cell r="AV5" t="str">
            <v>Q2</v>
          </cell>
          <cell r="AW5" t="str">
            <v>Q3</v>
          </cell>
          <cell r="AX5" t="str">
            <v>Q4</v>
          </cell>
          <cell r="AY5" t="str">
            <v>2004</v>
          </cell>
          <cell r="AZ5" t="str">
            <v>Q1</v>
          </cell>
          <cell r="BA5" t="str">
            <v>Q2</v>
          </cell>
          <cell r="BB5" t="str">
            <v>Q3</v>
          </cell>
          <cell r="BC5" t="str">
            <v>Q4</v>
          </cell>
          <cell r="BD5" t="str">
            <v>2005</v>
          </cell>
          <cell r="BE5" t="str">
            <v>1Q</v>
          </cell>
          <cell r="BF5" t="str">
            <v>2Q</v>
          </cell>
          <cell r="BG5" t="str">
            <v>3Q</v>
          </cell>
          <cell r="BH5" t="str">
            <v>4Q</v>
          </cell>
          <cell r="BI5" t="str">
            <v>2006</v>
          </cell>
          <cell r="BJ5" t="str">
            <v>1Q</v>
          </cell>
          <cell r="BK5" t="str">
            <v>2Q</v>
          </cell>
          <cell r="BL5" t="str">
            <v>3Q</v>
          </cell>
          <cell r="BM5" t="str">
            <v>4Q</v>
          </cell>
          <cell r="BN5" t="str">
            <v>2007</v>
          </cell>
          <cell r="BO5" t="str">
            <v>1Q</v>
          </cell>
          <cell r="BP5" t="str">
            <v>2Q</v>
          </cell>
          <cell r="BQ5" t="str">
            <v>3Q</v>
          </cell>
          <cell r="BR5" t="str">
            <v>4QE</v>
          </cell>
          <cell r="BS5" t="str">
            <v>2008E</v>
          </cell>
          <cell r="BT5" t="str">
            <v>2009E</v>
          </cell>
          <cell r="BU5" t="str">
            <v>2010E</v>
          </cell>
          <cell r="BV5" t="str">
            <v>2011E</v>
          </cell>
          <cell r="BW5" t="str">
            <v>2012E</v>
          </cell>
          <cell r="BX5" t="str">
            <v>2013E</v>
          </cell>
          <cell r="BY5" t="str">
            <v>2014E</v>
          </cell>
          <cell r="BZ5" t="str">
            <v>2015E</v>
          </cell>
          <cell r="CA5" t="str">
            <v>2016E</v>
          </cell>
          <cell r="CB5" t="str">
            <v>2017E</v>
          </cell>
          <cell r="CC5" t="str">
            <v>2018E</v>
          </cell>
        </row>
        <row r="6">
          <cell r="A6" t="str">
            <v>Jewelry</v>
          </cell>
          <cell r="B6">
            <v>124.981416</v>
          </cell>
          <cell r="C6">
            <v>127.50458999999999</v>
          </cell>
          <cell r="D6">
            <v>143.55216200000001</v>
          </cell>
          <cell r="E6">
            <v>148.12791300000001</v>
          </cell>
          <cell r="F6">
            <v>544.16608099999996</v>
          </cell>
          <cell r="G6">
            <v>165.546908</v>
          </cell>
          <cell r="H6">
            <v>142.73415999999997</v>
          </cell>
          <cell r="I6">
            <v>159.10994700000001</v>
          </cell>
          <cell r="J6">
            <v>159.185</v>
          </cell>
          <cell r="K6">
            <v>626.5760150000001</v>
          </cell>
          <cell r="L6">
            <v>158.26290499999999</v>
          </cell>
          <cell r="M6">
            <v>156.93174999999999</v>
          </cell>
          <cell r="N6">
            <v>161.172</v>
          </cell>
          <cell r="O6">
            <v>156.95099999999999</v>
          </cell>
          <cell r="P6">
            <v>633.31765500000006</v>
          </cell>
          <cell r="Q6">
            <v>187.93422005703422</v>
          </cell>
          <cell r="R6">
            <v>184.88356768060839</v>
          </cell>
          <cell r="S6">
            <v>198.046481121673</v>
          </cell>
          <cell r="T6">
            <v>187.75712851711029</v>
          </cell>
          <cell r="U6">
            <v>758.62139737642588</v>
          </cell>
          <cell r="V6">
            <v>203.01600000000002</v>
          </cell>
          <cell r="W6">
            <v>196.779</v>
          </cell>
          <cell r="X6">
            <v>211.827</v>
          </cell>
          <cell r="Y6">
            <v>277.86</v>
          </cell>
          <cell r="Z6">
            <v>889.48200000000008</v>
          </cell>
          <cell r="AA6">
            <v>215.977</v>
          </cell>
          <cell r="AB6">
            <v>203.94899999999998</v>
          </cell>
          <cell r="AC6">
            <v>227.36</v>
          </cell>
          <cell r="AD6">
            <v>315.42400000000004</v>
          </cell>
          <cell r="AE6">
            <v>962.71</v>
          </cell>
          <cell r="AF6">
            <v>238.27924511603516</v>
          </cell>
          <cell r="AG6">
            <v>196.768</v>
          </cell>
          <cell r="AH6">
            <v>201.03200000000001</v>
          </cell>
          <cell r="AI6">
            <v>282.88</v>
          </cell>
          <cell r="AJ6">
            <v>918.95924511603516</v>
          </cell>
          <cell r="AK6">
            <v>265.66984036973906</v>
          </cell>
          <cell r="AL6">
            <v>242.81699999999998</v>
          </cell>
          <cell r="AM6">
            <v>243.65799999999999</v>
          </cell>
          <cell r="AN6">
            <v>334.37</v>
          </cell>
          <cell r="AO6">
            <v>1086.514840369739</v>
          </cell>
          <cell r="AP6">
            <v>254.39999999999998</v>
          </cell>
          <cell r="AQ6">
            <v>258.59999999999997</v>
          </cell>
          <cell r="AR6">
            <v>270.3</v>
          </cell>
          <cell r="AS6">
            <v>370.20000000000005</v>
          </cell>
          <cell r="AT6">
            <v>1153.5</v>
          </cell>
          <cell r="AU6">
            <v>260.96000000000004</v>
          </cell>
          <cell r="AV6">
            <v>223.2</v>
          </cell>
          <cell r="AW6">
            <v>167.76</v>
          </cell>
          <cell r="AX6">
            <v>217.68999999999994</v>
          </cell>
          <cell r="AY6">
            <v>869.61</v>
          </cell>
          <cell r="AZ6">
            <v>246</v>
          </cell>
          <cell r="BA6">
            <v>248.16</v>
          </cell>
          <cell r="BB6">
            <v>249.35999999999999</v>
          </cell>
          <cell r="BC6">
            <v>370.08</v>
          </cell>
          <cell r="BD6">
            <v>1113.5999999999999</v>
          </cell>
          <cell r="BE6">
            <v>228.48</v>
          </cell>
          <cell r="BF6">
            <v>262.2</v>
          </cell>
          <cell r="BG6">
            <v>241.70999999999998</v>
          </cell>
          <cell r="BH6">
            <v>336.84</v>
          </cell>
          <cell r="BI6">
            <v>1069.2299999999998</v>
          </cell>
          <cell r="BJ6">
            <v>246.54</v>
          </cell>
          <cell r="BK6">
            <v>248.64</v>
          </cell>
          <cell r="BL6">
            <v>246.54</v>
          </cell>
          <cell r="BM6">
            <v>351.96</v>
          </cell>
          <cell r="BN6">
            <v>1093.6799999999998</v>
          </cell>
          <cell r="BO6">
            <v>246.95999999999998</v>
          </cell>
          <cell r="BP6">
            <v>248.01</v>
          </cell>
          <cell r="BQ6">
            <v>225.32999999999998</v>
          </cell>
          <cell r="BR6">
            <v>315.29103985620441</v>
          </cell>
          <cell r="BS6">
            <v>1035.5910398562044</v>
          </cell>
          <cell r="BT6">
            <v>989.05709871518479</v>
          </cell>
          <cell r="BU6">
            <v>1000.055404428343</v>
          </cell>
          <cell r="BV6">
            <v>1036.8464281387974</v>
          </cell>
          <cell r="BW6">
            <v>1076.4253633997623</v>
          </cell>
          <cell r="BX6">
            <v>1117.9076575911113</v>
          </cell>
          <cell r="BY6">
            <v>1159.9519022884394</v>
          </cell>
          <cell r="BZ6">
            <v>1201.902813042225</v>
          </cell>
          <cell r="CA6">
            <v>1244.6265100802466</v>
          </cell>
          <cell r="CB6">
            <v>1287.6464075185265</v>
          </cell>
          <cell r="CC6">
            <v>1333.2525726924132</v>
          </cell>
        </row>
        <row r="7">
          <cell r="A7" t="str">
            <v>Apparel &amp; Accessories</v>
          </cell>
          <cell r="B7">
            <v>58.114608000000004</v>
          </cell>
          <cell r="C7">
            <v>73.401290999999986</v>
          </cell>
          <cell r="D7">
            <v>56.744440999999995</v>
          </cell>
          <cell r="E7">
            <v>78.708231000000012</v>
          </cell>
          <cell r="F7">
            <v>266.968571</v>
          </cell>
          <cell r="G7">
            <v>62.616187999999994</v>
          </cell>
          <cell r="H7">
            <v>69.438239999999993</v>
          </cell>
          <cell r="I7">
            <v>64.216611</v>
          </cell>
          <cell r="J7">
            <v>98.078500000000005</v>
          </cell>
          <cell r="K7">
            <v>294.34953899999999</v>
          </cell>
          <cell r="L7">
            <v>75.342058999999992</v>
          </cell>
          <cell r="M7">
            <v>92.439250000000001</v>
          </cell>
          <cell r="N7">
            <v>89.54</v>
          </cell>
          <cell r="O7">
            <v>106.37789999999998</v>
          </cell>
          <cell r="P7">
            <v>363.699209</v>
          </cell>
          <cell r="Q7">
            <v>102.02143374524715</v>
          </cell>
          <cell r="R7">
            <v>100.14526582699622</v>
          </cell>
          <cell r="S7">
            <v>107.41504060836503</v>
          </cell>
          <cell r="T7">
            <v>123.21561558935363</v>
          </cell>
          <cell r="U7">
            <v>432.797355769962</v>
          </cell>
          <cell r="V7">
            <v>129.19200000000001</v>
          </cell>
          <cell r="W7">
            <v>125.22299999999998</v>
          </cell>
          <cell r="X7">
            <v>134.79899999999998</v>
          </cell>
          <cell r="Y7">
            <v>176.82</v>
          </cell>
          <cell r="Z7">
            <v>566.03399999999988</v>
          </cell>
          <cell r="AA7">
            <v>153.274</v>
          </cell>
          <cell r="AB7">
            <v>144.738</v>
          </cell>
          <cell r="AC7">
            <v>156.31</v>
          </cell>
          <cell r="AD7">
            <v>216.85400000000001</v>
          </cell>
          <cell r="AE7">
            <v>671.17600000000004</v>
          </cell>
          <cell r="AF7">
            <v>166.12200000000001</v>
          </cell>
          <cell r="AG7">
            <v>166.49599999999998</v>
          </cell>
          <cell r="AH7">
            <v>170.10400000000001</v>
          </cell>
          <cell r="AI7">
            <v>239.36</v>
          </cell>
          <cell r="AJ7">
            <v>742.08199999999999</v>
          </cell>
          <cell r="AK7">
            <v>185.21799999999999</v>
          </cell>
          <cell r="AL7">
            <v>184.20599999999999</v>
          </cell>
          <cell r="AM7">
            <v>184.84400000000002</v>
          </cell>
          <cell r="AN7">
            <v>253.66</v>
          </cell>
          <cell r="AO7">
            <v>807.928</v>
          </cell>
          <cell r="AP7">
            <v>186.56</v>
          </cell>
          <cell r="AQ7">
            <v>189.64000000000001</v>
          </cell>
          <cell r="AR7">
            <v>198.22</v>
          </cell>
          <cell r="AS7">
            <v>271.4799999999999</v>
          </cell>
          <cell r="AT7">
            <v>845.9</v>
          </cell>
          <cell r="AU7">
            <v>205.04</v>
          </cell>
          <cell r="AV7">
            <v>223.2</v>
          </cell>
          <cell r="AW7">
            <v>335.52</v>
          </cell>
          <cell r="AX7">
            <v>561.36000000000013</v>
          </cell>
          <cell r="AY7">
            <v>1325.1200000000001</v>
          </cell>
          <cell r="AZ7">
            <v>348.5</v>
          </cell>
          <cell r="BA7">
            <v>351.56</v>
          </cell>
          <cell r="BB7">
            <v>353.26000000000005</v>
          </cell>
          <cell r="BC7">
            <v>524.28000000000009</v>
          </cell>
          <cell r="BD7">
            <v>1577.6000000000001</v>
          </cell>
          <cell r="BE7">
            <v>380.79999999999995</v>
          </cell>
          <cell r="BF7">
            <v>376.20000000000005</v>
          </cell>
          <cell r="BG7">
            <v>402.84999999999997</v>
          </cell>
          <cell r="BH7">
            <v>561.4</v>
          </cell>
          <cell r="BI7">
            <v>1721.25</v>
          </cell>
          <cell r="BJ7">
            <v>410.9</v>
          </cell>
          <cell r="BK7">
            <v>414.4</v>
          </cell>
          <cell r="BL7">
            <v>410.9</v>
          </cell>
          <cell r="BM7">
            <v>586.59999999999991</v>
          </cell>
          <cell r="BN7">
            <v>1822.7999999999997</v>
          </cell>
          <cell r="BO7">
            <v>411.59999999999997</v>
          </cell>
          <cell r="BP7">
            <v>413.34999999999997</v>
          </cell>
          <cell r="BQ7">
            <v>375.54999999999995</v>
          </cell>
          <cell r="BR7">
            <v>525.48506642700738</v>
          </cell>
          <cell r="BS7">
            <v>1725.985066427007</v>
          </cell>
          <cell r="BT7">
            <v>1648.4284978586413</v>
          </cell>
          <cell r="BU7">
            <v>1666.7590073805716</v>
          </cell>
          <cell r="BV7">
            <v>1728.0773802313288</v>
          </cell>
          <cell r="BW7">
            <v>1794.042272332937</v>
          </cell>
          <cell r="BX7">
            <v>1863.1794293185185</v>
          </cell>
          <cell r="BY7">
            <v>1933.2531704807325</v>
          </cell>
          <cell r="BZ7">
            <v>2003.1713550703751</v>
          </cell>
          <cell r="CA7">
            <v>2074.3775168004108</v>
          </cell>
          <cell r="CB7">
            <v>2146.0773458642107</v>
          </cell>
          <cell r="CC7">
            <v>2222.0876211540221</v>
          </cell>
        </row>
        <row r="8">
          <cell r="A8" t="str">
            <v>Housewares/Home</v>
          </cell>
          <cell r="B8">
            <v>102.575784</v>
          </cell>
          <cell r="C8">
            <v>84.428714999999997</v>
          </cell>
          <cell r="D8">
            <v>105.22148000000001</v>
          </cell>
          <cell r="E8">
            <v>143.239203</v>
          </cell>
          <cell r="F8">
            <v>435.46518200000003</v>
          </cell>
          <cell r="G8">
            <v>114.081548</v>
          </cell>
          <cell r="H8">
            <v>86.026264000000012</v>
          </cell>
          <cell r="I8">
            <v>103.89184200000001</v>
          </cell>
          <cell r="J8">
            <v>153.53650000000002</v>
          </cell>
          <cell r="K8">
            <v>457.53615400000001</v>
          </cell>
          <cell r="L8">
            <v>121.26059200000003</v>
          </cell>
          <cell r="M8">
            <v>98.888500000000022</v>
          </cell>
          <cell r="N8">
            <v>107.44800000000004</v>
          </cell>
          <cell r="O8">
            <v>140.67460000000003</v>
          </cell>
          <cell r="P8">
            <v>468.27169200000014</v>
          </cell>
          <cell r="Q8">
            <v>136.92350318441069</v>
          </cell>
          <cell r="R8">
            <v>123.25571178707227</v>
          </cell>
          <cell r="S8">
            <v>139.30388078897352</v>
          </cell>
          <cell r="T8">
            <v>272.10115109315598</v>
          </cell>
          <cell r="U8">
            <v>671.58424685361251</v>
          </cell>
          <cell r="V8">
            <v>153.80000000000001</v>
          </cell>
          <cell r="W8">
            <v>149.07499999999999</v>
          </cell>
          <cell r="X8">
            <v>160.47499999999999</v>
          </cell>
          <cell r="Y8">
            <v>210.5</v>
          </cell>
          <cell r="Z8">
            <v>673.85</v>
          </cell>
          <cell r="AA8">
            <v>174.17500000000001</v>
          </cell>
          <cell r="AB8">
            <v>164.47499999999999</v>
          </cell>
          <cell r="AC8">
            <v>177.625</v>
          </cell>
          <cell r="AD8">
            <v>246.42500000000001</v>
          </cell>
          <cell r="AE8">
            <v>762.7</v>
          </cell>
          <cell r="AF8">
            <v>188.77500000000001</v>
          </cell>
          <cell r="AG8">
            <v>189.2</v>
          </cell>
          <cell r="AH8">
            <v>193.3</v>
          </cell>
          <cell r="AI8">
            <v>272</v>
          </cell>
          <cell r="AJ8">
            <v>843.27500000000009</v>
          </cell>
          <cell r="AK8">
            <v>210.47499999999999</v>
          </cell>
          <cell r="AL8">
            <v>209.32499999999999</v>
          </cell>
          <cell r="AM8">
            <v>210.05</v>
          </cell>
          <cell r="AN8">
            <v>288.25</v>
          </cell>
          <cell r="AO8">
            <v>918.09999999999991</v>
          </cell>
          <cell r="AP8">
            <v>212</v>
          </cell>
          <cell r="AQ8">
            <v>215.5</v>
          </cell>
          <cell r="AR8">
            <v>225.25</v>
          </cell>
          <cell r="AS8">
            <v>308.5</v>
          </cell>
          <cell r="AT8">
            <v>961.25</v>
          </cell>
          <cell r="AU8">
            <v>233</v>
          </cell>
          <cell r="AV8">
            <v>232.5</v>
          </cell>
          <cell r="AW8">
            <v>233</v>
          </cell>
          <cell r="AX8">
            <v>336.75</v>
          </cell>
          <cell r="AY8">
            <v>1035.25</v>
          </cell>
          <cell r="AZ8">
            <v>205</v>
          </cell>
          <cell r="BA8">
            <v>206.8</v>
          </cell>
          <cell r="BB8">
            <v>207.8</v>
          </cell>
          <cell r="BC8">
            <v>308.40000000000003</v>
          </cell>
          <cell r="BD8">
            <v>928</v>
          </cell>
          <cell r="BE8">
            <v>239.35999999283862</v>
          </cell>
          <cell r="BF8">
            <v>250.79999999999987</v>
          </cell>
          <cell r="BG8">
            <v>253.21999999999977</v>
          </cell>
          <cell r="BH8">
            <v>352.87999999999295</v>
          </cell>
          <cell r="BI8">
            <v>1096.2599999928311</v>
          </cell>
          <cell r="BJ8">
            <v>258.27999998905051</v>
          </cell>
          <cell r="BK8">
            <v>260.47999998895727</v>
          </cell>
          <cell r="BL8">
            <v>258.27999998905051</v>
          </cell>
          <cell r="BM8">
            <v>368.71999998436854</v>
          </cell>
          <cell r="BN8">
            <v>1145.7599999514268</v>
          </cell>
          <cell r="BO8">
            <v>258.71999998903186</v>
          </cell>
          <cell r="BP8">
            <v>259.81999998898522</v>
          </cell>
          <cell r="BQ8">
            <v>236.05999998999249</v>
          </cell>
          <cell r="BR8">
            <v>330.30489888297319</v>
          </cell>
          <cell r="BS8">
            <v>1084.9048988509828</v>
          </cell>
          <cell r="BT8">
            <v>1036.1550557529338</v>
          </cell>
          <cell r="BU8">
            <v>1047.6770903090874</v>
          </cell>
          <cell r="BV8">
            <v>1086.2200675279291</v>
          </cell>
          <cell r="BW8">
            <v>1127.6837139900397</v>
          </cell>
          <cell r="BX8">
            <v>1171.1413555219913</v>
          </cell>
          <cell r="BY8">
            <v>1215.1877071078013</v>
          </cell>
          <cell r="BZ8">
            <v>1259.1362802765707</v>
          </cell>
          <cell r="CA8">
            <v>1303.89443907641</v>
          </cell>
          <cell r="CB8">
            <v>1348.9629030574592</v>
          </cell>
          <cell r="CC8">
            <v>1396.7407903804581</v>
          </cell>
        </row>
        <row r="9">
          <cell r="A9" t="str">
            <v>Electronics</v>
          </cell>
          <cell r="B9">
            <v>39.559944000000002</v>
          </cell>
          <cell r="C9">
            <v>31.359236999999997</v>
          </cell>
          <cell r="D9">
            <v>33.069607999999995</v>
          </cell>
          <cell r="E9">
            <v>68.930811000000006</v>
          </cell>
          <cell r="F9">
            <v>172.9196</v>
          </cell>
          <cell r="G9">
            <v>35.596874</v>
          </cell>
          <cell r="H9">
            <v>39.734104000000002</v>
          </cell>
          <cell r="I9">
            <v>36.812069999999999</v>
          </cell>
          <cell r="J9">
            <v>46.214999999999996</v>
          </cell>
          <cell r="K9">
            <v>158.358048</v>
          </cell>
          <cell r="L9">
            <v>40.122989999999994</v>
          </cell>
          <cell r="M9">
            <v>47.294499999999999</v>
          </cell>
          <cell r="N9">
            <v>53.723999999999997</v>
          </cell>
          <cell r="O9">
            <v>101.72749999999999</v>
          </cell>
          <cell r="P9">
            <v>242.86898999999997</v>
          </cell>
          <cell r="Q9">
            <v>53.695491444866924</v>
          </cell>
          <cell r="R9">
            <v>51.35654657794678</v>
          </cell>
          <cell r="S9">
            <v>55.945333650190122</v>
          </cell>
          <cell r="T9">
            <v>73.342628326996206</v>
          </cell>
          <cell r="U9">
            <v>234.34000000000003</v>
          </cell>
          <cell r="V9">
            <v>61.52000000000001</v>
          </cell>
          <cell r="W9">
            <v>59.629999999999995</v>
          </cell>
          <cell r="X9">
            <v>64.19</v>
          </cell>
          <cell r="Y9">
            <v>84.2</v>
          </cell>
          <cell r="Z9">
            <v>269.54000000000002</v>
          </cell>
          <cell r="AA9">
            <v>69.67</v>
          </cell>
          <cell r="AB9">
            <v>65.790000000000006</v>
          </cell>
          <cell r="AC9">
            <v>71.05</v>
          </cell>
          <cell r="AD9">
            <v>98.570000000000007</v>
          </cell>
          <cell r="AE9">
            <v>305.08</v>
          </cell>
          <cell r="AF9">
            <v>75.509999999999991</v>
          </cell>
          <cell r="AG9">
            <v>75.679999999999993</v>
          </cell>
          <cell r="AH9">
            <v>77.319999999999993</v>
          </cell>
          <cell r="AI9">
            <v>108.8</v>
          </cell>
          <cell r="AJ9">
            <v>337.31</v>
          </cell>
          <cell r="AK9">
            <v>84.19</v>
          </cell>
          <cell r="AL9">
            <v>83.72999999999999</v>
          </cell>
          <cell r="AM9">
            <v>84.02</v>
          </cell>
          <cell r="AN9">
            <v>115.3</v>
          </cell>
          <cell r="AO9">
            <v>367.24</v>
          </cell>
          <cell r="AP9">
            <v>76.319999999999993</v>
          </cell>
          <cell r="AQ9">
            <v>77.58</v>
          </cell>
          <cell r="AR9">
            <v>81.09</v>
          </cell>
          <cell r="AS9">
            <v>111.06000000000003</v>
          </cell>
          <cell r="AT9">
            <v>346.05</v>
          </cell>
          <cell r="AU9">
            <v>83.88</v>
          </cell>
          <cell r="AV9">
            <v>83.7</v>
          </cell>
          <cell r="AW9">
            <v>83.88</v>
          </cell>
          <cell r="AX9">
            <v>121.23000000000002</v>
          </cell>
          <cell r="AY9">
            <v>372.69</v>
          </cell>
          <cell r="AZ9">
            <v>92.25</v>
          </cell>
          <cell r="BA9">
            <v>93.06</v>
          </cell>
          <cell r="BB9">
            <v>93.509999999999991</v>
          </cell>
          <cell r="BC9">
            <v>138.78</v>
          </cell>
          <cell r="BD9">
            <v>417.59999999999997</v>
          </cell>
          <cell r="BE9">
            <v>97.92</v>
          </cell>
          <cell r="BF9">
            <v>102.6</v>
          </cell>
          <cell r="BG9">
            <v>103.58999999999999</v>
          </cell>
          <cell r="BH9">
            <v>144.35999999999999</v>
          </cell>
          <cell r="BI9">
            <v>448.46999999999991</v>
          </cell>
          <cell r="BJ9">
            <v>105.66</v>
          </cell>
          <cell r="BK9">
            <v>106.56</v>
          </cell>
          <cell r="BL9">
            <v>105.66</v>
          </cell>
          <cell r="BM9">
            <v>150.84</v>
          </cell>
          <cell r="BN9">
            <v>468.72</v>
          </cell>
          <cell r="BO9">
            <v>105.83999999999999</v>
          </cell>
          <cell r="BP9">
            <v>106.28999999999999</v>
          </cell>
          <cell r="BQ9">
            <v>96.57</v>
          </cell>
          <cell r="BR9">
            <v>135.12473136694476</v>
          </cell>
          <cell r="BS9">
            <v>443.82473136694483</v>
          </cell>
          <cell r="BT9">
            <v>423.88161373507933</v>
          </cell>
          <cell r="BU9">
            <v>428.59517332643287</v>
          </cell>
          <cell r="BV9">
            <v>444.36275491662752</v>
          </cell>
          <cell r="BW9">
            <v>461.32515574275544</v>
          </cell>
          <cell r="BX9">
            <v>479.10328182476206</v>
          </cell>
          <cell r="BY9">
            <v>497.12224383790283</v>
          </cell>
          <cell r="BZ9">
            <v>515.10120558952519</v>
          </cell>
          <cell r="CA9">
            <v>533.41136146296299</v>
          </cell>
          <cell r="CB9">
            <v>551.84846036508293</v>
          </cell>
          <cell r="CC9">
            <v>571.39395972532009</v>
          </cell>
        </row>
        <row r="10">
          <cell r="A10" t="str">
            <v>Collectibles</v>
          </cell>
          <cell r="B10">
            <v>18.554663999999999</v>
          </cell>
          <cell r="C10">
            <v>22.054848</v>
          </cell>
          <cell r="D10">
            <v>31.566444000000001</v>
          </cell>
          <cell r="E10">
            <v>33.243228000000002</v>
          </cell>
          <cell r="F10">
            <v>105.419184</v>
          </cell>
          <cell r="G10">
            <v>38.170141999999998</v>
          </cell>
          <cell r="H10">
            <v>36.262191999999999</v>
          </cell>
          <cell r="I10">
            <v>32.72184</v>
          </cell>
          <cell r="J10">
            <v>41.08</v>
          </cell>
          <cell r="K10">
            <v>148.234174</v>
          </cell>
          <cell r="L10">
            <v>37.448124</v>
          </cell>
          <cell r="M10">
            <v>21.497500000000002</v>
          </cell>
          <cell r="N10">
            <v>22.385000000000002</v>
          </cell>
          <cell r="O10">
            <v>58.129999999999995</v>
          </cell>
          <cell r="P10">
            <v>139.460624</v>
          </cell>
          <cell r="Q10">
            <v>40.271618583650188</v>
          </cell>
          <cell r="R10">
            <v>38.51740993346008</v>
          </cell>
          <cell r="S10">
            <v>41.959000237642584</v>
          </cell>
          <cell r="T10">
            <v>55.006971245247151</v>
          </cell>
          <cell r="U10">
            <v>175.755</v>
          </cell>
          <cell r="V10">
            <v>46.14</v>
          </cell>
          <cell r="W10">
            <v>44.722499999999997</v>
          </cell>
          <cell r="X10">
            <v>48.142499999999998</v>
          </cell>
          <cell r="Y10">
            <v>63.15</v>
          </cell>
          <cell r="Z10">
            <v>202.155</v>
          </cell>
          <cell r="AA10">
            <v>48.769000000000005</v>
          </cell>
          <cell r="AB10">
            <v>46.053000000000004</v>
          </cell>
          <cell r="AC10">
            <v>49.735000000000007</v>
          </cell>
          <cell r="AD10">
            <v>68.999000000000009</v>
          </cell>
          <cell r="AE10">
            <v>213.55600000000004</v>
          </cell>
          <cell r="AF10">
            <v>52.857000000000006</v>
          </cell>
          <cell r="AG10">
            <v>52.975999999999999</v>
          </cell>
          <cell r="AH10">
            <v>54.124000000000009</v>
          </cell>
          <cell r="AI10">
            <v>76.160000000000011</v>
          </cell>
          <cell r="AJ10">
            <v>236.11700000000002</v>
          </cell>
          <cell r="AK10">
            <v>58.933000000000007</v>
          </cell>
          <cell r="AL10">
            <v>58.611000000000004</v>
          </cell>
          <cell r="AM10">
            <v>58.814000000000007</v>
          </cell>
          <cell r="AN10">
            <v>80.710000000000008</v>
          </cell>
          <cell r="AO10">
            <v>257.06799999999998</v>
          </cell>
          <cell r="AP10">
            <v>59.360000000000007</v>
          </cell>
          <cell r="AQ10">
            <v>60.34</v>
          </cell>
          <cell r="AR10">
            <v>63.070000000000007</v>
          </cell>
          <cell r="AS10">
            <v>86.38</v>
          </cell>
          <cell r="AT10">
            <v>269.15000000000003</v>
          </cell>
          <cell r="AU10">
            <v>65.240000000000009</v>
          </cell>
          <cell r="AV10">
            <v>65.100000000000009</v>
          </cell>
          <cell r="AW10">
            <v>65.240000000000009</v>
          </cell>
          <cell r="AX10">
            <v>94.289999999999964</v>
          </cell>
          <cell r="AY10">
            <v>289.87</v>
          </cell>
          <cell r="AZ10">
            <v>71.75</v>
          </cell>
          <cell r="BA10">
            <v>72.38000000000001</v>
          </cell>
          <cell r="BB10">
            <v>72.73</v>
          </cell>
          <cell r="BC10">
            <v>107.94000000000001</v>
          </cell>
          <cell r="BD10">
            <v>324.8</v>
          </cell>
          <cell r="BE10">
            <v>76.160000000000011</v>
          </cell>
          <cell r="BF10">
            <v>79.800000000000011</v>
          </cell>
          <cell r="BG10">
            <v>80.570000000000007</v>
          </cell>
          <cell r="BH10">
            <v>112.28000000000002</v>
          </cell>
          <cell r="BI10">
            <v>348.81000000000006</v>
          </cell>
          <cell r="BJ10">
            <v>82.18</v>
          </cell>
          <cell r="BK10">
            <v>82.88000000000001</v>
          </cell>
          <cell r="BL10">
            <v>82.18</v>
          </cell>
          <cell r="BM10">
            <v>117.32000000000001</v>
          </cell>
          <cell r="BN10">
            <v>364.56</v>
          </cell>
          <cell r="BO10">
            <v>82.320000000000007</v>
          </cell>
          <cell r="BP10">
            <v>82.67</v>
          </cell>
          <cell r="BQ10">
            <v>75.110000000000014</v>
          </cell>
          <cell r="BR10">
            <v>105.09701328540149</v>
          </cell>
          <cell r="BS10">
            <v>345.19701328540151</v>
          </cell>
          <cell r="BT10">
            <v>329.68569957172838</v>
          </cell>
          <cell r="BU10">
            <v>333.35180147611442</v>
          </cell>
          <cell r="BV10">
            <v>345.61547604626583</v>
          </cell>
          <cell r="BW10">
            <v>358.80845446658753</v>
          </cell>
          <cell r="BX10">
            <v>372.63588586370383</v>
          </cell>
          <cell r="BY10">
            <v>386.65063409614663</v>
          </cell>
          <cell r="BZ10">
            <v>400.63427101407513</v>
          </cell>
          <cell r="CA10">
            <v>414.87550336008229</v>
          </cell>
          <cell r="CB10">
            <v>429.21546917284229</v>
          </cell>
          <cell r="CC10">
            <v>444.41752423080453</v>
          </cell>
        </row>
        <row r="11">
          <cell r="A11" t="str">
            <v>Other</v>
          </cell>
          <cell r="B11">
            <v>6.3015839999999912</v>
          </cell>
          <cell r="C11">
            <v>5.8583189999999945</v>
          </cell>
          <cell r="D11">
            <v>5.6368649999999434</v>
          </cell>
          <cell r="E11">
            <v>16.621614000000022</v>
          </cell>
          <cell r="F11">
            <v>34.418381999999951</v>
          </cell>
          <cell r="G11">
            <v>12.86633999999998</v>
          </cell>
          <cell r="H11">
            <v>11.573039999999935</v>
          </cell>
          <cell r="I11">
            <v>12.270690000000002</v>
          </cell>
          <cell r="J11">
            <v>15.404999999999973</v>
          </cell>
          <cell r="K11">
            <v>52.115069999999889</v>
          </cell>
          <cell r="L11">
            <v>13.374329999999929</v>
          </cell>
          <cell r="M11">
            <v>12.898500000000013</v>
          </cell>
          <cell r="N11">
            <v>13.430999999999983</v>
          </cell>
          <cell r="O11">
            <v>17.438999999999965</v>
          </cell>
          <cell r="P11">
            <v>57.14282999999989</v>
          </cell>
          <cell r="Q11">
            <v>16.108647433459964</v>
          </cell>
          <cell r="R11">
            <v>15.406963973383938</v>
          </cell>
          <cell r="S11">
            <v>16.78360009505684</v>
          </cell>
          <cell r="T11">
            <v>22.002788498098766</v>
          </cell>
          <cell r="U11">
            <v>70.301999999999509</v>
          </cell>
          <cell r="V11">
            <v>21.532000000000039</v>
          </cell>
          <cell r="W11">
            <v>20.870500000000106</v>
          </cell>
          <cell r="X11">
            <v>22.466499999999996</v>
          </cell>
          <cell r="Y11">
            <v>29.469999999999914</v>
          </cell>
          <cell r="Z11">
            <v>94.339000000000055</v>
          </cell>
          <cell r="AA11">
            <v>34.83500000000015</v>
          </cell>
          <cell r="AB11">
            <v>32.894999999999982</v>
          </cell>
          <cell r="AC11">
            <v>28.419999999999959</v>
          </cell>
          <cell r="AD11">
            <v>39.427999999999997</v>
          </cell>
          <cell r="AE11">
            <v>135.57800000000009</v>
          </cell>
          <cell r="AF11">
            <v>33.556754883964913</v>
          </cell>
          <cell r="AG11">
            <v>75.680000000000064</v>
          </cell>
          <cell r="AH11">
            <v>77.319999999999936</v>
          </cell>
          <cell r="AI11">
            <v>108.80000000000007</v>
          </cell>
          <cell r="AJ11">
            <v>295.35675488396498</v>
          </cell>
          <cell r="AK11">
            <v>37.414159630260997</v>
          </cell>
          <cell r="AL11">
            <v>58.61099999999999</v>
          </cell>
          <cell r="AM11">
            <v>58.814000000000078</v>
          </cell>
          <cell r="AN11">
            <v>80.710000000000036</v>
          </cell>
          <cell r="AO11">
            <v>235.5491596302611</v>
          </cell>
          <cell r="AP11">
            <v>59.360000000000014</v>
          </cell>
          <cell r="AQ11">
            <v>60.339999999999918</v>
          </cell>
          <cell r="AR11">
            <v>63.069999999999936</v>
          </cell>
          <cell r="AS11">
            <v>86.380000000000393</v>
          </cell>
          <cell r="AT11">
            <v>269.15000000000026</v>
          </cell>
          <cell r="AU11">
            <v>83.88</v>
          </cell>
          <cell r="AV11">
            <v>102.29999999999995</v>
          </cell>
          <cell r="AW11">
            <v>46.600000000000023</v>
          </cell>
          <cell r="AX11">
            <v>15.680000000000234</v>
          </cell>
          <cell r="AY11">
            <v>248.46000000000021</v>
          </cell>
          <cell r="AZ11">
            <v>61.5</v>
          </cell>
          <cell r="BA11">
            <v>62.040000000000077</v>
          </cell>
          <cell r="BB11">
            <v>62.339999999999918</v>
          </cell>
          <cell r="BC11">
            <v>92.519999999999754</v>
          </cell>
          <cell r="BD11">
            <v>278.40000000000055</v>
          </cell>
          <cell r="BE11">
            <v>65.280000007161448</v>
          </cell>
          <cell r="BF11">
            <v>68.400000000000091</v>
          </cell>
          <cell r="BG11">
            <v>69.060000000000173</v>
          </cell>
          <cell r="BH11">
            <v>96.240000000007058</v>
          </cell>
          <cell r="BI11">
            <v>298.98000000716911</v>
          </cell>
          <cell r="BJ11">
            <v>70.440000010949689</v>
          </cell>
          <cell r="BK11">
            <v>71.040000011042594</v>
          </cell>
          <cell r="BL11">
            <v>70.440000010949689</v>
          </cell>
          <cell r="BM11">
            <v>100.56000001563166</v>
          </cell>
          <cell r="BN11">
            <v>312.48000004857295</v>
          </cell>
          <cell r="BO11">
            <v>70.560000010968224</v>
          </cell>
          <cell r="BP11">
            <v>70.86000001101479</v>
          </cell>
          <cell r="BQ11">
            <v>64.38000001000762</v>
          </cell>
          <cell r="BR11">
            <v>90.083154258632703</v>
          </cell>
          <cell r="BS11">
            <v>295.88315429062368</v>
          </cell>
          <cell r="BT11">
            <v>282.58774253398042</v>
          </cell>
          <cell r="BU11">
            <v>285.73011559537008</v>
          </cell>
          <cell r="BV11">
            <v>296.24183665713463</v>
          </cell>
          <cell r="BW11">
            <v>307.55010387631137</v>
          </cell>
          <cell r="BX11">
            <v>319.40218793282384</v>
          </cell>
          <cell r="BY11">
            <v>331.41482927678499</v>
          </cell>
          <cell r="BZ11">
            <v>343.40080377973027</v>
          </cell>
          <cell r="CA11">
            <v>355.60757436392032</v>
          </cell>
          <cell r="CB11">
            <v>367.89897363390992</v>
          </cell>
          <cell r="CC11">
            <v>380.92930654276006</v>
          </cell>
        </row>
        <row r="12">
          <cell r="A12" t="str">
            <v>Total Revenues</v>
          </cell>
          <cell r="B12">
            <v>350.08800000000002</v>
          </cell>
          <cell r="C12">
            <v>344.60699999999997</v>
          </cell>
          <cell r="D12">
            <v>375.791</v>
          </cell>
          <cell r="E12">
            <v>488.87100000000004</v>
          </cell>
          <cell r="F12">
            <v>1559.357</v>
          </cell>
          <cell r="G12">
            <v>428.87799999999999</v>
          </cell>
          <cell r="H12">
            <v>385.76799999999997</v>
          </cell>
          <cell r="I12">
            <v>409.02300000000002</v>
          </cell>
          <cell r="J12">
            <v>513.5</v>
          </cell>
          <cell r="K12">
            <v>1737.1690000000001</v>
          </cell>
          <cell r="L12">
            <v>445.81099999999998</v>
          </cell>
          <cell r="M12">
            <v>429.95</v>
          </cell>
          <cell r="N12">
            <v>447.7</v>
          </cell>
          <cell r="O12">
            <v>581.29999999999995</v>
          </cell>
          <cell r="P12">
            <v>1904.761</v>
          </cell>
          <cell r="Q12">
            <v>536.95491444866923</v>
          </cell>
          <cell r="R12">
            <v>513.56546577946779</v>
          </cell>
          <cell r="S12">
            <v>559.45333650190116</v>
          </cell>
          <cell r="T12">
            <v>733.42628326996203</v>
          </cell>
          <cell r="U12">
            <v>2343.4</v>
          </cell>
          <cell r="V12">
            <v>615.20000000000005</v>
          </cell>
          <cell r="W12">
            <v>596.29999999999995</v>
          </cell>
          <cell r="X12">
            <v>641.9</v>
          </cell>
          <cell r="Y12">
            <v>842</v>
          </cell>
          <cell r="Z12">
            <v>2695.4</v>
          </cell>
          <cell r="AA12">
            <v>696.7</v>
          </cell>
          <cell r="AB12">
            <v>657.9</v>
          </cell>
          <cell r="AC12">
            <v>710.5</v>
          </cell>
          <cell r="AD12">
            <v>985.7</v>
          </cell>
          <cell r="AE12">
            <v>3050.8</v>
          </cell>
          <cell r="AF12">
            <v>755.1</v>
          </cell>
          <cell r="AG12">
            <v>756.8</v>
          </cell>
          <cell r="AH12">
            <v>773.2</v>
          </cell>
          <cell r="AI12">
            <v>1088</v>
          </cell>
          <cell r="AJ12">
            <v>3373.1000000000004</v>
          </cell>
          <cell r="AK12">
            <v>841.9</v>
          </cell>
          <cell r="AL12">
            <v>837.3</v>
          </cell>
          <cell r="AM12">
            <v>840.2</v>
          </cell>
          <cell r="AN12">
            <v>1153</v>
          </cell>
          <cell r="AO12">
            <v>3672.3999999999996</v>
          </cell>
          <cell r="AP12">
            <v>848</v>
          </cell>
          <cell r="AQ12">
            <v>862</v>
          </cell>
          <cell r="AR12">
            <v>901</v>
          </cell>
          <cell r="AS12">
            <v>1234</v>
          </cell>
          <cell r="AT12">
            <v>3845</v>
          </cell>
          <cell r="AU12">
            <v>932</v>
          </cell>
          <cell r="AV12">
            <v>930</v>
          </cell>
          <cell r="AW12">
            <v>932</v>
          </cell>
          <cell r="AX12">
            <v>1347</v>
          </cell>
          <cell r="AY12">
            <v>4141</v>
          </cell>
          <cell r="AZ12">
            <v>1025</v>
          </cell>
          <cell r="BA12">
            <v>1034</v>
          </cell>
          <cell r="BB12">
            <v>1039</v>
          </cell>
          <cell r="BC12">
            <v>1542</v>
          </cell>
          <cell r="BD12">
            <v>4640</v>
          </cell>
          <cell r="BE12">
            <v>1088</v>
          </cell>
          <cell r="BF12">
            <v>1140</v>
          </cell>
          <cell r="BG12">
            <v>1151</v>
          </cell>
          <cell r="BH12">
            <v>1604</v>
          </cell>
          <cell r="BI12">
            <v>4983</v>
          </cell>
          <cell r="BJ12">
            <v>1174</v>
          </cell>
          <cell r="BK12">
            <v>1184</v>
          </cell>
          <cell r="BL12">
            <v>1174</v>
          </cell>
          <cell r="BM12">
            <v>1676</v>
          </cell>
          <cell r="BN12">
            <v>5208</v>
          </cell>
          <cell r="BO12">
            <v>1176</v>
          </cell>
          <cell r="BP12">
            <v>1181</v>
          </cell>
          <cell r="BQ12">
            <v>1073</v>
          </cell>
          <cell r="BR12">
            <v>1501.385904077164</v>
          </cell>
          <cell r="BS12">
            <v>4931.385904077164</v>
          </cell>
          <cell r="BT12">
            <v>4709.7957081675477</v>
          </cell>
          <cell r="BU12">
            <v>4762.16859251592</v>
          </cell>
          <cell r="BV12">
            <v>4937.363943518083</v>
          </cell>
          <cell r="BW12">
            <v>5125.835063808393</v>
          </cell>
          <cell r="BX12">
            <v>5323.3697980529114</v>
          </cell>
          <cell r="BY12">
            <v>5523.5804870878083</v>
          </cell>
          <cell r="BZ12">
            <v>5723.3467287725016</v>
          </cell>
          <cell r="CA12">
            <v>5926.7929051440324</v>
          </cell>
          <cell r="CB12">
            <v>6131.6495596120321</v>
          </cell>
          <cell r="CC12">
            <v>6348.8217747257786</v>
          </cell>
        </row>
        <row r="13">
          <cell r="A13" t="str">
            <v>% Change</v>
          </cell>
          <cell r="G13">
            <v>0.22505769977834134</v>
          </cell>
          <cell r="H13">
            <v>0.11944330788405355</v>
          </cell>
          <cell r="I13">
            <v>8.843213381906434E-2</v>
          </cell>
          <cell r="J13">
            <v>5.0379343425975387E-2</v>
          </cell>
          <cell r="K13">
            <v>0.11402905171811217</v>
          </cell>
          <cell r="L13">
            <v>3.9482090477944709E-2</v>
          </cell>
          <cell r="M13">
            <v>0.11452997656622643</v>
          </cell>
          <cell r="N13">
            <v>9.4559474650569575E-2</v>
          </cell>
          <cell r="O13">
            <v>0.13203505355404088</v>
          </cell>
          <cell r="P13">
            <v>9.6474206021406106E-2</v>
          </cell>
          <cell r="Q13">
            <v>0.20444518966259073</v>
          </cell>
          <cell r="R13">
            <v>0.19447718520634449</v>
          </cell>
          <cell r="S13">
            <v>0.24961656578490321</v>
          </cell>
          <cell r="T13">
            <v>0.26170012604500625</v>
          </cell>
          <cell r="U13">
            <v>0.23028558438565261</v>
          </cell>
          <cell r="V13">
            <v>0.1457200287135294</v>
          </cell>
          <cell r="W13">
            <v>0.16109832092187348</v>
          </cell>
          <cell r="X13">
            <v>0.14737004521880914</v>
          </cell>
          <cell r="Y13">
            <v>0.1480363046794082</v>
          </cell>
          <cell r="Z13">
            <v>0.15020909789195191</v>
          </cell>
          <cell r="AA13">
            <v>0.13247724317295195</v>
          </cell>
          <cell r="AB13">
            <v>0.10330370618816032</v>
          </cell>
          <cell r="AC13">
            <v>0.10687022900763354</v>
          </cell>
          <cell r="AD13">
            <v>0.17066508313539197</v>
          </cell>
          <cell r="AE13">
            <v>0.13185427023818352</v>
          </cell>
          <cell r="AF13">
            <v>8.3823740490885479E-2</v>
          </cell>
          <cell r="AG13">
            <v>0.15032679738562083</v>
          </cell>
          <cell r="AH13">
            <v>8.8247712878254836E-2</v>
          </cell>
          <cell r="AI13">
            <v>0.10378411281322908</v>
          </cell>
          <cell r="AJ13">
            <v>0.10564442113543993</v>
          </cell>
          <cell r="AK13">
            <v>0.11495166203151896</v>
          </cell>
          <cell r="AL13">
            <v>0.10636892177589852</v>
          </cell>
          <cell r="AM13">
            <v>8.6652871184687008E-2</v>
          </cell>
          <cell r="AN13">
            <v>5.9742647058823595E-2</v>
          </cell>
          <cell r="AO13">
            <v>8.8731433992469633E-2</v>
          </cell>
          <cell r="AP13">
            <v>7.2455160945481545E-3</v>
          </cell>
          <cell r="AQ13">
            <v>2.9499581989729018E-2</v>
          </cell>
          <cell r="AR13">
            <v>7.2363722923113549E-2</v>
          </cell>
          <cell r="AS13">
            <v>7.0251517779705175E-2</v>
          </cell>
          <cell r="AT13">
            <v>4.6999237555821916E-2</v>
          </cell>
          <cell r="AU13">
            <v>9.9056603773584939E-2</v>
          </cell>
          <cell r="AV13">
            <v>7.8886310904872303E-2</v>
          </cell>
          <cell r="AW13">
            <v>3.4406215316315159E-2</v>
          </cell>
          <cell r="AX13">
            <v>9.1572123176661302E-2</v>
          </cell>
          <cell r="AY13">
            <v>7.6983094928478435E-2</v>
          </cell>
          <cell r="AZ13">
            <v>9.9785407725321962E-2</v>
          </cell>
          <cell r="BA13">
            <v>0.1118279569892473</v>
          </cell>
          <cell r="BB13">
            <v>0.11480686695278974</v>
          </cell>
          <cell r="BC13">
            <v>0.14476614699331858</v>
          </cell>
          <cell r="BD13">
            <v>0.12050229413185232</v>
          </cell>
          <cell r="BE13">
            <v>6.1463414634146396E-2</v>
          </cell>
          <cell r="BF13">
            <v>0.10251450676982587</v>
          </cell>
          <cell r="BG13">
            <v>0.10779595765158811</v>
          </cell>
          <cell r="BH13">
            <v>4.0207522697795151E-2</v>
          </cell>
          <cell r="BI13">
            <v>7.3922413793103381E-2</v>
          </cell>
          <cell r="BJ13">
            <v>7.9044117647058876E-2</v>
          </cell>
          <cell r="BK13">
            <v>3.8596491228070073E-2</v>
          </cell>
          <cell r="BL13">
            <v>1.9982623805386623E-2</v>
          </cell>
          <cell r="BM13">
            <v>4.488778054862852E-2</v>
          </cell>
          <cell r="BN13">
            <v>4.5153521974714117E-2</v>
          </cell>
          <cell r="BO13">
            <v>1.7035775127767216E-3</v>
          </cell>
          <cell r="BP13">
            <v>-2.5337837837837718E-3</v>
          </cell>
          <cell r="BQ13">
            <v>-8.6030664395229994E-2</v>
          </cell>
          <cell r="BR13">
            <v>-0.10418502143367303</v>
          </cell>
          <cell r="BS13">
            <v>-5.3113305668747279E-2</v>
          </cell>
          <cell r="BT13">
            <v>-4.4934669526960014E-2</v>
          </cell>
          <cell r="BU13">
            <v>1.1119990673385205E-2</v>
          </cell>
          <cell r="BV13">
            <v>3.678898543774678E-2</v>
          </cell>
          <cell r="BW13">
            <v>3.8172418004093212E-2</v>
          </cell>
          <cell r="BX13">
            <v>3.8537083574779363E-2</v>
          </cell>
          <cell r="BY13">
            <v>3.7609765361054981E-2</v>
          </cell>
          <cell r="BZ13">
            <v>3.616607780979697E-2</v>
          </cell>
          <cell r="CA13">
            <v>3.554671523721642E-2</v>
          </cell>
          <cell r="CB13">
            <v>3.4564503559791904E-2</v>
          </cell>
          <cell r="CC13">
            <v>3.5418236642912104E-2</v>
          </cell>
        </row>
        <row r="14">
          <cell r="A14" t="str">
            <v>Cost of Goods Sold</v>
          </cell>
          <cell r="B14">
            <v>210.30766406400002</v>
          </cell>
          <cell r="C14">
            <v>203.50490699400001</v>
          </cell>
          <cell r="D14">
            <v>223.99492293750001</v>
          </cell>
          <cell r="E14">
            <v>299.72387687399998</v>
          </cell>
          <cell r="F14">
            <v>937.53137086950005</v>
          </cell>
          <cell r="G14">
            <v>257.41471998999998</v>
          </cell>
          <cell r="H14">
            <v>230.14996033599999</v>
          </cell>
          <cell r="I14">
            <v>249.03365355</v>
          </cell>
          <cell r="J14">
            <v>314.64712499999996</v>
          </cell>
          <cell r="K14">
            <v>1051.2454588760002</v>
          </cell>
          <cell r="L14">
            <v>272.13808699999998</v>
          </cell>
          <cell r="M14">
            <v>255.40650000000002</v>
          </cell>
          <cell r="N14">
            <v>271.83909999999997</v>
          </cell>
          <cell r="O14">
            <v>359.30499999999995</v>
          </cell>
          <cell r="P14">
            <v>1158.6886869999998</v>
          </cell>
          <cell r="Q14">
            <v>348.93591444866922</v>
          </cell>
          <cell r="R14">
            <v>333.27536577946773</v>
          </cell>
          <cell r="S14">
            <v>360.54253650190117</v>
          </cell>
          <cell r="T14">
            <v>482.53778326996201</v>
          </cell>
          <cell r="U14">
            <v>1525.2916</v>
          </cell>
          <cell r="V14">
            <v>396.21200000000005</v>
          </cell>
          <cell r="W14">
            <v>382.41479999999996</v>
          </cell>
          <cell r="X14">
            <v>415.43279999999993</v>
          </cell>
          <cell r="Y14">
            <v>560.00400000000002</v>
          </cell>
          <cell r="Z14">
            <v>1754.0636</v>
          </cell>
          <cell r="AA14">
            <v>445.88800000000003</v>
          </cell>
          <cell r="AB14">
            <v>414.47699999999998</v>
          </cell>
          <cell r="AC14">
            <v>456.14100000000002</v>
          </cell>
          <cell r="AD14">
            <v>652.53340000000003</v>
          </cell>
          <cell r="AE14">
            <v>1969.0394000000001</v>
          </cell>
          <cell r="AF14">
            <v>471.9375</v>
          </cell>
          <cell r="AG14">
            <v>475.2704</v>
          </cell>
          <cell r="AH14">
            <v>494.07480000000004</v>
          </cell>
          <cell r="AI14">
            <v>716.99199999999996</v>
          </cell>
          <cell r="AJ14">
            <v>2158.2747000000004</v>
          </cell>
          <cell r="AK14">
            <v>531.23890000000006</v>
          </cell>
          <cell r="AL14">
            <v>523.3125</v>
          </cell>
          <cell r="AM14">
            <v>532.68680000000006</v>
          </cell>
          <cell r="AN14">
            <v>743.68499999999995</v>
          </cell>
          <cell r="AO14">
            <v>2330.9231999999997</v>
          </cell>
          <cell r="AP14">
            <v>533.39200000000005</v>
          </cell>
          <cell r="AQ14">
            <v>543.05999999999995</v>
          </cell>
          <cell r="AR14">
            <v>568.53099999999995</v>
          </cell>
          <cell r="AS14">
            <v>794.69600000000003</v>
          </cell>
          <cell r="AT14">
            <v>2439.6790000000001</v>
          </cell>
          <cell r="AU14">
            <v>590.88800000000003</v>
          </cell>
          <cell r="AV14">
            <v>578.46</v>
          </cell>
          <cell r="AW14">
            <v>589.024</v>
          </cell>
          <cell r="AX14">
            <v>851.30400000000009</v>
          </cell>
          <cell r="AY14">
            <v>2609.6759999999999</v>
          </cell>
          <cell r="AZ14">
            <v>642.67499999999995</v>
          </cell>
          <cell r="BA14">
            <v>641.07999999999993</v>
          </cell>
          <cell r="BB14">
            <v>659.76499999999999</v>
          </cell>
          <cell r="BC14">
            <v>989.96400000000006</v>
          </cell>
          <cell r="BD14">
            <v>2933.4839999999999</v>
          </cell>
          <cell r="BE14">
            <v>688.70399999999995</v>
          </cell>
          <cell r="BF14">
            <v>707.94</v>
          </cell>
          <cell r="BG14">
            <v>725.13</v>
          </cell>
          <cell r="BH14">
            <v>1021.748</v>
          </cell>
          <cell r="BI14">
            <v>3143.5219999999999</v>
          </cell>
          <cell r="BJ14">
            <v>741.96800000000007</v>
          </cell>
          <cell r="BK14">
            <v>738.81600000000003</v>
          </cell>
          <cell r="BL14">
            <v>744.31600000000003</v>
          </cell>
          <cell r="BM14">
            <v>1082.6959999999999</v>
          </cell>
          <cell r="BN14">
            <v>3307.7959999999998</v>
          </cell>
          <cell r="BO14">
            <v>747.93600000000004</v>
          </cell>
          <cell r="BP14">
            <v>744.03</v>
          </cell>
          <cell r="BQ14">
            <v>704.96100000000001</v>
          </cell>
          <cell r="BR14">
            <v>1008.4738376501567</v>
          </cell>
          <cell r="BS14">
            <v>3205.400837650157</v>
          </cell>
          <cell r="BT14">
            <v>3108.4651673905814</v>
          </cell>
          <cell r="BU14">
            <v>3119.2204280979277</v>
          </cell>
          <cell r="BV14">
            <v>3184.5997435691634</v>
          </cell>
          <cell r="BW14">
            <v>3306.1636161564138</v>
          </cell>
          <cell r="BX14">
            <v>3433.5735197441281</v>
          </cell>
          <cell r="BY14">
            <v>3562.7094141716361</v>
          </cell>
          <cell r="BZ14">
            <v>3691.5586400582633</v>
          </cell>
          <cell r="CA14">
            <v>3822.7814238179012</v>
          </cell>
          <cell r="CB14">
            <v>3954.913965949761</v>
          </cell>
          <cell r="CC14">
            <v>4094.9900446981273</v>
          </cell>
        </row>
        <row r="15">
          <cell r="A15" t="str">
            <v>Gross Profit</v>
          </cell>
          <cell r="B15">
            <v>139.780335936</v>
          </cell>
          <cell r="C15">
            <v>141.10209300599996</v>
          </cell>
          <cell r="D15">
            <v>151.79607706249999</v>
          </cell>
          <cell r="E15">
            <v>189.14712312600003</v>
          </cell>
          <cell r="F15">
            <v>621.82562913049992</v>
          </cell>
          <cell r="G15">
            <v>171.46328001000001</v>
          </cell>
          <cell r="H15">
            <v>155.61803966399998</v>
          </cell>
          <cell r="I15">
            <v>159.98934645000003</v>
          </cell>
          <cell r="J15">
            <v>198.85287500000001</v>
          </cell>
          <cell r="K15">
            <v>685.92354112400005</v>
          </cell>
          <cell r="L15">
            <v>173.67291299999999</v>
          </cell>
          <cell r="M15">
            <v>174.54349999999997</v>
          </cell>
          <cell r="N15">
            <v>175.86090000000002</v>
          </cell>
          <cell r="O15">
            <v>221.995</v>
          </cell>
          <cell r="P15">
            <v>746.07231300000001</v>
          </cell>
          <cell r="Q15">
            <v>188.01900000000001</v>
          </cell>
          <cell r="R15">
            <v>180.29010000000002</v>
          </cell>
          <cell r="S15">
            <v>198.91080000000002</v>
          </cell>
          <cell r="T15">
            <v>250.88849999999999</v>
          </cell>
          <cell r="U15">
            <v>818.10840000000007</v>
          </cell>
          <cell r="V15">
            <v>218.988</v>
          </cell>
          <cell r="W15">
            <v>213.8852</v>
          </cell>
          <cell r="X15">
            <v>226.46720000000002</v>
          </cell>
          <cell r="Y15">
            <v>281.99599999999998</v>
          </cell>
          <cell r="Z15">
            <v>941.33640000000003</v>
          </cell>
          <cell r="AA15">
            <v>250.81200000000001</v>
          </cell>
          <cell r="AB15">
            <v>243.423</v>
          </cell>
          <cell r="AC15">
            <v>254.35899999999998</v>
          </cell>
          <cell r="AD15">
            <v>333.16660000000002</v>
          </cell>
          <cell r="AE15">
            <v>1081.7606000000001</v>
          </cell>
          <cell r="AF15">
            <v>283.16250000000002</v>
          </cell>
          <cell r="AG15">
            <v>281.52959999999996</v>
          </cell>
          <cell r="AH15">
            <v>279.12520000000001</v>
          </cell>
          <cell r="AI15">
            <v>371.00800000000004</v>
          </cell>
          <cell r="AJ15">
            <v>1214.8253</v>
          </cell>
          <cell r="AK15">
            <v>310.66109999999998</v>
          </cell>
          <cell r="AL15">
            <v>313.98749999999995</v>
          </cell>
          <cell r="AM15">
            <v>307.51319999999998</v>
          </cell>
          <cell r="AN15">
            <v>409.315</v>
          </cell>
          <cell r="AO15">
            <v>1341.4767999999999</v>
          </cell>
          <cell r="AP15">
            <v>314.608</v>
          </cell>
          <cell r="AQ15">
            <v>318.94</v>
          </cell>
          <cell r="AR15">
            <v>332.46899999999999</v>
          </cell>
          <cell r="AS15">
            <v>439.30399999999997</v>
          </cell>
          <cell r="AT15">
            <v>1405.3209999999999</v>
          </cell>
          <cell r="AU15">
            <v>341.11199999999997</v>
          </cell>
          <cell r="AV15">
            <v>351.54</v>
          </cell>
          <cell r="AW15">
            <v>342.976</v>
          </cell>
          <cell r="AX15">
            <v>495.69599999999997</v>
          </cell>
          <cell r="AY15">
            <v>1531.3240000000001</v>
          </cell>
          <cell r="AZ15">
            <v>382.32499999999999</v>
          </cell>
          <cell r="BA15">
            <v>392.92</v>
          </cell>
          <cell r="BB15">
            <v>379.23500000000001</v>
          </cell>
          <cell r="BC15">
            <v>552.03599999999994</v>
          </cell>
          <cell r="BD15">
            <v>1706.5160000000001</v>
          </cell>
          <cell r="BE15">
            <v>399.29599999999999</v>
          </cell>
          <cell r="BF15">
            <v>432.06</v>
          </cell>
          <cell r="BG15">
            <v>425.87</v>
          </cell>
          <cell r="BH15">
            <v>582.25199999999995</v>
          </cell>
          <cell r="BI15">
            <v>1839.4780000000001</v>
          </cell>
          <cell r="BJ15">
            <v>432.03199999999998</v>
          </cell>
          <cell r="BK15">
            <v>445.18400000000003</v>
          </cell>
          <cell r="BL15">
            <v>429.68399999999997</v>
          </cell>
          <cell r="BM15">
            <v>593.30399999999997</v>
          </cell>
          <cell r="BN15">
            <v>1900.2040000000002</v>
          </cell>
          <cell r="BO15">
            <v>428.06399999999996</v>
          </cell>
          <cell r="BP15">
            <v>436.96999999999997</v>
          </cell>
          <cell r="BQ15">
            <v>368.03900000000004</v>
          </cell>
          <cell r="BR15">
            <v>492.91206642700729</v>
          </cell>
          <cell r="BS15">
            <v>1725.9850664270073</v>
          </cell>
          <cell r="BT15">
            <v>1601.3305407769662</v>
          </cell>
          <cell r="BU15">
            <v>1642.9481644179923</v>
          </cell>
          <cell r="BV15">
            <v>1752.7641999489194</v>
          </cell>
          <cell r="BW15">
            <v>1819.6714476519794</v>
          </cell>
          <cell r="BX15">
            <v>1889.7962783087835</v>
          </cell>
          <cell r="BY15">
            <v>1960.8710729161719</v>
          </cell>
          <cell r="BZ15">
            <v>2031.788088714238</v>
          </cell>
          <cell r="CA15">
            <v>2104.0114813261312</v>
          </cell>
          <cell r="CB15">
            <v>2176.7355936622712</v>
          </cell>
          <cell r="CC15">
            <v>2253.8317300276512</v>
          </cell>
        </row>
        <row r="16">
          <cell r="A16" t="str">
            <v>Gross Margin</v>
          </cell>
          <cell r="B16">
            <v>0.39927199999999996</v>
          </cell>
          <cell r="C16">
            <v>0.40945799999999993</v>
          </cell>
          <cell r="D16">
            <v>0.40393749999999995</v>
          </cell>
          <cell r="E16">
            <v>0.38690600000000003</v>
          </cell>
          <cell r="F16">
            <v>0.39877053755522301</v>
          </cell>
          <cell r="G16">
            <v>0.39979500000000001</v>
          </cell>
          <cell r="H16">
            <v>0.40339799999999998</v>
          </cell>
          <cell r="I16">
            <v>0.39115000000000005</v>
          </cell>
          <cell r="J16">
            <v>0.38725000000000004</v>
          </cell>
          <cell r="K16">
            <v>0.39485135938069355</v>
          </cell>
          <cell r="L16">
            <v>0.3895662354674963</v>
          </cell>
          <cell r="M16">
            <v>0.40596232120013948</v>
          </cell>
          <cell r="N16">
            <v>0.39280969399151222</v>
          </cell>
          <cell r="O16">
            <v>0.3818940306210219</v>
          </cell>
          <cell r="P16">
            <v>0.39168815037687144</v>
          </cell>
          <cell r="Q16">
            <v>0.35015789024494326</v>
          </cell>
          <cell r="R16">
            <v>0.35105573098916104</v>
          </cell>
          <cell r="S16">
            <v>0.35554493471025012</v>
          </cell>
          <cell r="T16">
            <v>0.342077323546983</v>
          </cell>
          <cell r="U16">
            <v>0.34911171801655716</v>
          </cell>
          <cell r="V16">
            <v>0.35596228868660595</v>
          </cell>
          <cell r="W16">
            <v>0.35868723796746604</v>
          </cell>
          <cell r="X16">
            <v>0.35280760243028514</v>
          </cell>
          <cell r="Y16">
            <v>0.33491211401425175</v>
          </cell>
          <cell r="Z16">
            <v>0.34923810937152183</v>
          </cell>
          <cell r="AA16">
            <v>0.36</v>
          </cell>
          <cell r="AB16">
            <v>0.37</v>
          </cell>
          <cell r="AC16">
            <v>0.35799999999999998</v>
          </cell>
          <cell r="AD16">
            <v>0.33800000000000002</v>
          </cell>
          <cell r="AE16">
            <v>0.35458260128490887</v>
          </cell>
          <cell r="AF16">
            <v>0.375</v>
          </cell>
          <cell r="AG16">
            <v>0.372</v>
          </cell>
          <cell r="AH16">
            <v>0.36099999999999999</v>
          </cell>
          <cell r="AI16">
            <v>0.34100000000000003</v>
          </cell>
          <cell r="AJ16">
            <v>0.36015098870475226</v>
          </cell>
          <cell r="AK16">
            <v>0.36899999999999999</v>
          </cell>
          <cell r="AL16">
            <v>0.375</v>
          </cell>
          <cell r="AM16">
            <v>0.36599999999999999</v>
          </cell>
          <cell r="AN16">
            <v>0.35499999999999998</v>
          </cell>
          <cell r="AO16">
            <v>0.36528613440801655</v>
          </cell>
          <cell r="AP16">
            <v>0.371</v>
          </cell>
          <cell r="AQ16">
            <v>0.37</v>
          </cell>
          <cell r="AR16">
            <v>0.36899999999999999</v>
          </cell>
          <cell r="AS16">
            <v>0.35599999999999998</v>
          </cell>
          <cell r="AT16">
            <v>0.36549310793237971</v>
          </cell>
          <cell r="AU16">
            <v>0.36599999999999994</v>
          </cell>
          <cell r="AV16">
            <v>0.378</v>
          </cell>
          <cell r="AW16">
            <v>0.36799999999999999</v>
          </cell>
          <cell r="AX16">
            <v>0.36799999999999999</v>
          </cell>
          <cell r="AY16">
            <v>0.36979570152137164</v>
          </cell>
          <cell r="AZ16">
            <v>0.373</v>
          </cell>
          <cell r="BA16">
            <v>0.38</v>
          </cell>
          <cell r="BB16">
            <v>0.36499999999999999</v>
          </cell>
          <cell r="BC16">
            <v>0.35799999999999998</v>
          </cell>
          <cell r="BD16">
            <v>0.3677836206896552</v>
          </cell>
          <cell r="BE16">
            <v>0.36699999999999999</v>
          </cell>
          <cell r="BF16">
            <v>0.379</v>
          </cell>
          <cell r="BG16">
            <v>0.37</v>
          </cell>
          <cell r="BH16">
            <v>0.36299999999999999</v>
          </cell>
          <cell r="BI16">
            <v>0.36915071242223563</v>
          </cell>
          <cell r="BJ16">
            <v>0.36699999999999999</v>
          </cell>
          <cell r="BK16">
            <v>0.379</v>
          </cell>
          <cell r="BL16">
            <v>0.37</v>
          </cell>
          <cell r="BM16">
            <v>0.35399999999999998</v>
          </cell>
          <cell r="BN16">
            <v>0.36486251920122892</v>
          </cell>
          <cell r="BO16">
            <v>0.36399999999999999</v>
          </cell>
          <cell r="BP16">
            <v>0.37</v>
          </cell>
          <cell r="BQ16">
            <v>0.34300000000000003</v>
          </cell>
          <cell r="BR16">
            <v>0.32830471172564968</v>
          </cell>
          <cell r="BS16">
            <v>0.35</v>
          </cell>
          <cell r="BT16">
            <v>0.34</v>
          </cell>
          <cell r="BU16">
            <v>0.34499999999999997</v>
          </cell>
          <cell r="BV16">
            <v>0.35499999999999998</v>
          </cell>
          <cell r="BW16">
            <v>0.35499999999999998</v>
          </cell>
          <cell r="BX16">
            <v>0.35499999999999998</v>
          </cell>
          <cell r="BY16">
            <v>0.35499999999999998</v>
          </cell>
          <cell r="BZ16">
            <v>0.35499999999999998</v>
          </cell>
          <cell r="CA16">
            <v>0.35499999999999998</v>
          </cell>
          <cell r="CB16">
            <v>0.35499999999999998</v>
          </cell>
          <cell r="CC16">
            <v>0.35499999999999998</v>
          </cell>
        </row>
        <row r="18">
          <cell r="A18" t="str">
            <v>Total Variable Costs</v>
          </cell>
          <cell r="B18">
            <v>40.610208</v>
          </cell>
          <cell r="C18">
            <v>45.058416227497524</v>
          </cell>
          <cell r="D18">
            <v>49.064801500695538</v>
          </cell>
          <cell r="E18">
            <v>66.486456000000004</v>
          </cell>
          <cell r="F18">
            <v>201.21988172819309</v>
          </cell>
          <cell r="G18">
            <v>49.535409000000001</v>
          </cell>
          <cell r="H18">
            <v>45.617066000000001</v>
          </cell>
          <cell r="I18">
            <v>49.491783000000005</v>
          </cell>
          <cell r="J18">
            <v>66.498249999999999</v>
          </cell>
          <cell r="K18">
            <v>211.14250800000002</v>
          </cell>
          <cell r="L18">
            <v>53.274414500000006</v>
          </cell>
          <cell r="M18">
            <v>51.379024999999992</v>
          </cell>
          <cell r="N18">
            <v>53.500149999999998</v>
          </cell>
          <cell r="O18">
            <v>68.884050000000002</v>
          </cell>
          <cell r="P18">
            <v>227.03763949999998</v>
          </cell>
          <cell r="Q18">
            <v>57.673950000000005</v>
          </cell>
          <cell r="R18">
            <v>55.351350000000004</v>
          </cell>
          <cell r="S18">
            <v>60.404399999999988</v>
          </cell>
          <cell r="T18">
            <v>78.825600000000009</v>
          </cell>
          <cell r="U18">
            <v>252.25530000000001</v>
          </cell>
          <cell r="V18">
            <v>66.894333251718621</v>
          </cell>
          <cell r="W18">
            <v>64.827640427535542</v>
          </cell>
          <cell r="X18">
            <v>69.912499999999994</v>
          </cell>
          <cell r="Y18">
            <v>94.304000000000002</v>
          </cell>
          <cell r="Z18">
            <v>295.93847367925417</v>
          </cell>
          <cell r="AA18">
            <v>78.0304</v>
          </cell>
          <cell r="AB18">
            <v>74.67165</v>
          </cell>
          <cell r="AC18">
            <v>78.155000000000001</v>
          </cell>
          <cell r="AD18">
            <v>98.570000000000007</v>
          </cell>
          <cell r="AE18">
            <v>329.42705000000001</v>
          </cell>
          <cell r="AF18">
            <v>67.959000000000003</v>
          </cell>
          <cell r="AG18">
            <v>68.111999999999995</v>
          </cell>
          <cell r="AH18">
            <v>69.588000000000008</v>
          </cell>
          <cell r="AI18">
            <v>98.861052999999998</v>
          </cell>
          <cell r="AJ18">
            <v>304.52005299999996</v>
          </cell>
          <cell r="AK18">
            <v>73.65044249999994</v>
          </cell>
          <cell r="AL18">
            <v>71.758608000000009</v>
          </cell>
          <cell r="AM18">
            <v>73.44782600000002</v>
          </cell>
          <cell r="AN18">
            <v>100.19499999999999</v>
          </cell>
          <cell r="AO18">
            <v>319.05187649999993</v>
          </cell>
          <cell r="AP18">
            <v>72.08</v>
          </cell>
          <cell r="AQ18">
            <v>73.27000000000001</v>
          </cell>
          <cell r="AR18">
            <v>76.585000000000008</v>
          </cell>
          <cell r="AS18">
            <v>104.89</v>
          </cell>
          <cell r="AT18">
            <v>326.82500000000005</v>
          </cell>
          <cell r="AU18">
            <v>79.22</v>
          </cell>
          <cell r="AV18">
            <v>79.050000000000011</v>
          </cell>
          <cell r="AW18">
            <v>83.88</v>
          </cell>
          <cell r="AX18">
            <v>109.107</v>
          </cell>
          <cell r="AY18">
            <v>351.25700000000001</v>
          </cell>
          <cell r="AZ18">
            <v>93.274999999999991</v>
          </cell>
          <cell r="BA18">
            <v>94.093999999999994</v>
          </cell>
          <cell r="BB18">
            <v>94.548999999999992</v>
          </cell>
          <cell r="BC18">
            <v>140.322</v>
          </cell>
          <cell r="BD18">
            <v>422.23999999999995</v>
          </cell>
          <cell r="BE18">
            <v>94.655999999999992</v>
          </cell>
          <cell r="BF18">
            <v>99.179999999999993</v>
          </cell>
          <cell r="BG18">
            <v>100.0219</v>
          </cell>
          <cell r="BH18">
            <v>126.71600000000001</v>
          </cell>
          <cell r="BI18">
            <v>420.57389999999998</v>
          </cell>
          <cell r="BJ18">
            <v>102.13799999999999</v>
          </cell>
          <cell r="BK18">
            <v>103.008</v>
          </cell>
          <cell r="BL18">
            <v>102.0206</v>
          </cell>
          <cell r="BM18">
            <v>145.92939999999999</v>
          </cell>
          <cell r="BN18">
            <v>453.09599999999995</v>
          </cell>
          <cell r="BO18">
            <v>114.66000000000001</v>
          </cell>
          <cell r="BP18">
            <v>115.14750000000001</v>
          </cell>
          <cell r="BQ18">
            <v>104.61750000000001</v>
          </cell>
          <cell r="BR18">
            <v>146.38512564752347</v>
          </cell>
          <cell r="BS18">
            <v>480.81012564752353</v>
          </cell>
          <cell r="BT18">
            <v>459.20508154633592</v>
          </cell>
          <cell r="BU18">
            <v>464.31143777030223</v>
          </cell>
          <cell r="BV18">
            <v>481.3929844930131</v>
          </cell>
          <cell r="BW18">
            <v>499.76891872131836</v>
          </cell>
          <cell r="BX18">
            <v>519.02855531015882</v>
          </cell>
          <cell r="BY18">
            <v>538.54909749106127</v>
          </cell>
          <cell r="BZ18">
            <v>558.02630605531897</v>
          </cell>
          <cell r="CA18">
            <v>577.86230825154314</v>
          </cell>
          <cell r="CB18">
            <v>597.83583206217315</v>
          </cell>
          <cell r="CC18">
            <v>619.0101230357634</v>
          </cell>
        </row>
        <row r="19">
          <cell r="A19" t="str">
            <v>As % of Revenues</v>
          </cell>
          <cell r="B19">
            <v>0.11599999999999999</v>
          </cell>
          <cell r="C19">
            <v>0.13075304978569074</v>
          </cell>
          <cell r="D19">
            <v>0.13056406752874747</v>
          </cell>
          <cell r="E19">
            <v>0.13600000000000001</v>
          </cell>
          <cell r="F19">
            <v>0.12904029143306703</v>
          </cell>
          <cell r="G19">
            <v>0.11550000000000001</v>
          </cell>
          <cell r="H19">
            <v>0.11825000000000001</v>
          </cell>
          <cell r="I19">
            <v>0.12100000000000001</v>
          </cell>
          <cell r="J19">
            <v>0.1295</v>
          </cell>
          <cell r="K19">
            <v>0.12154402248716159</v>
          </cell>
          <cell r="L19">
            <v>0.11950000000000002</v>
          </cell>
          <cell r="M19">
            <v>0.11949999999999998</v>
          </cell>
          <cell r="N19">
            <v>0.1195</v>
          </cell>
          <cell r="O19">
            <v>0.11850000000000001</v>
          </cell>
          <cell r="P19">
            <v>0.11919481735503824</v>
          </cell>
          <cell r="Q19">
            <v>0.10740929722045296</v>
          </cell>
          <cell r="R19">
            <v>0.10777856707321642</v>
          </cell>
          <cell r="S19">
            <v>0.10797039906436365</v>
          </cell>
          <cell r="T19">
            <v>0.10747583199303701</v>
          </cell>
          <cell r="U19">
            <v>0.10764500298711274</v>
          </cell>
          <cell r="V19">
            <v>0.10873591230773508</v>
          </cell>
          <cell r="W19">
            <v>0.10871648570775708</v>
          </cell>
          <cell r="X19">
            <v>0.10891494002181025</v>
          </cell>
          <cell r="Y19">
            <v>0.112</v>
          </cell>
          <cell r="Z19">
            <v>0.10979389837473257</v>
          </cell>
          <cell r="AA19">
            <v>0.112</v>
          </cell>
          <cell r="AB19">
            <v>0.1135</v>
          </cell>
          <cell r="AC19">
            <v>0.11</v>
          </cell>
          <cell r="AD19">
            <v>0.1</v>
          </cell>
          <cell r="AE19">
            <v>0.10798054608627244</v>
          </cell>
          <cell r="AF19">
            <v>0.09</v>
          </cell>
          <cell r="AG19">
            <v>0.09</v>
          </cell>
          <cell r="AH19">
            <v>0.09</v>
          </cell>
          <cell r="AI19">
            <v>9.086493841911765E-2</v>
          </cell>
          <cell r="AJ19">
            <v>9.0278987578192152E-2</v>
          </cell>
          <cell r="AK19">
            <v>8.7481224017104106E-2</v>
          </cell>
          <cell r="AL19">
            <v>8.5702386241490527E-2</v>
          </cell>
          <cell r="AM19">
            <v>8.7417074506070003E-2</v>
          </cell>
          <cell r="AN19">
            <v>8.6899392888117946E-2</v>
          </cell>
          <cell r="AO19">
            <v>8.6878302064045301E-2</v>
          </cell>
          <cell r="AP19">
            <v>8.5000000000000006E-2</v>
          </cell>
          <cell r="AQ19">
            <v>8.5000000000000006E-2</v>
          </cell>
          <cell r="AR19">
            <v>8.5000000000000006E-2</v>
          </cell>
          <cell r="AS19">
            <v>8.5000000000000006E-2</v>
          </cell>
          <cell r="AT19">
            <v>8.5000000000000006E-2</v>
          </cell>
          <cell r="AU19">
            <v>8.5000000000000006E-2</v>
          </cell>
          <cell r="AV19">
            <v>8.5000000000000006E-2</v>
          </cell>
          <cell r="AW19">
            <v>0.09</v>
          </cell>
          <cell r="AX19">
            <v>8.1000000000000003E-2</v>
          </cell>
          <cell r="AY19">
            <v>8.4824197053851733E-2</v>
          </cell>
          <cell r="AZ19">
            <v>9.0999999999999998E-2</v>
          </cell>
          <cell r="BA19">
            <v>9.0999999999999998E-2</v>
          </cell>
          <cell r="BB19">
            <v>9.0999999999999998E-2</v>
          </cell>
          <cell r="BC19">
            <v>9.0999999999999998E-2</v>
          </cell>
          <cell r="BD19">
            <v>9.0999999999999984E-2</v>
          </cell>
          <cell r="BE19">
            <v>8.6999999999999994E-2</v>
          </cell>
          <cell r="BF19">
            <v>8.6999999999999994E-2</v>
          </cell>
          <cell r="BG19">
            <v>8.6900000000000005E-2</v>
          </cell>
          <cell r="BH19">
            <v>7.9000000000000001E-2</v>
          </cell>
          <cell r="BI19">
            <v>8.440174593618302E-2</v>
          </cell>
          <cell r="BJ19">
            <v>8.6999999999999994E-2</v>
          </cell>
          <cell r="BK19">
            <v>8.6999999999999994E-2</v>
          </cell>
          <cell r="BL19">
            <v>8.6900000000000005E-2</v>
          </cell>
          <cell r="BM19">
            <v>8.7070047732696887E-2</v>
          </cell>
          <cell r="BN19">
            <v>8.6999999999999994E-2</v>
          </cell>
          <cell r="BO19">
            <v>9.7500000000000003E-2</v>
          </cell>
          <cell r="BP19">
            <v>9.7500000000000003E-2</v>
          </cell>
          <cell r="BQ19">
            <v>9.7500000000000003E-2</v>
          </cell>
          <cell r="BR19">
            <v>9.7499999999999989E-2</v>
          </cell>
          <cell r="BS19">
            <v>9.7500000000000003E-2</v>
          </cell>
          <cell r="BT19">
            <v>9.7500000000000003E-2</v>
          </cell>
          <cell r="BU19">
            <v>9.7500000000000003E-2</v>
          </cell>
          <cell r="BV19">
            <v>9.7500000000000003E-2</v>
          </cell>
          <cell r="BW19">
            <v>9.7500000000000003E-2</v>
          </cell>
          <cell r="BX19">
            <v>9.7500000000000003E-2</v>
          </cell>
          <cell r="BY19">
            <v>9.7500000000000003E-2</v>
          </cell>
          <cell r="BZ19">
            <v>9.7500000000000003E-2</v>
          </cell>
          <cell r="CA19">
            <v>9.7500000000000003E-2</v>
          </cell>
          <cell r="CB19">
            <v>9.7500000000000003E-2</v>
          </cell>
          <cell r="CC19">
            <v>9.7500000000000003E-2</v>
          </cell>
        </row>
        <row r="21">
          <cell r="A21" t="str">
            <v>Total General and Admin. Expenses</v>
          </cell>
          <cell r="B21">
            <v>35.131900000000002</v>
          </cell>
          <cell r="C21">
            <v>37.374889037256835</v>
          </cell>
          <cell r="D21">
            <v>41.302355860201331</v>
          </cell>
          <cell r="E21">
            <v>45.162693750000003</v>
          </cell>
          <cell r="F21">
            <v>158.97183864745818</v>
          </cell>
          <cell r="G21">
            <v>48.502591000000024</v>
          </cell>
          <cell r="H21">
            <v>41.922933999999998</v>
          </cell>
          <cell r="I21">
            <v>40.155216999999993</v>
          </cell>
          <cell r="J21">
            <v>34.301749999999998</v>
          </cell>
          <cell r="K21">
            <v>164.88249200000001</v>
          </cell>
          <cell r="L21">
            <v>35.248498499999982</v>
          </cell>
          <cell r="M21">
            <v>41.364474999999985</v>
          </cell>
          <cell r="N21">
            <v>41.360750000000024</v>
          </cell>
          <cell r="O21">
            <v>40.010950000000008</v>
          </cell>
          <cell r="P21">
            <v>157.98467349999999</v>
          </cell>
          <cell r="Q21">
            <v>33.645050000000012</v>
          </cell>
          <cell r="R21">
            <v>34.438750000000027</v>
          </cell>
          <cell r="S21">
            <v>36.306400000000039</v>
          </cell>
          <cell r="T21">
            <v>34.262899999999973</v>
          </cell>
          <cell r="U21">
            <v>138.65310000000005</v>
          </cell>
          <cell r="V21">
            <v>27.793666748281382</v>
          </cell>
          <cell r="W21">
            <v>33.55755957246447</v>
          </cell>
          <cell r="X21">
            <v>36.65470000000002</v>
          </cell>
          <cell r="Y21">
            <v>34.891999999999967</v>
          </cell>
          <cell r="Z21">
            <v>132.89792632074585</v>
          </cell>
          <cell r="AA21">
            <v>33.181600000000032</v>
          </cell>
          <cell r="AB21">
            <v>32.951349999999991</v>
          </cell>
          <cell r="AC21">
            <v>34.903999999999968</v>
          </cell>
          <cell r="AD21">
            <v>38.896600000000035</v>
          </cell>
          <cell r="AE21">
            <v>139.93355000000003</v>
          </cell>
          <cell r="AF21">
            <v>44.603500000000025</v>
          </cell>
          <cell r="AG21">
            <v>46.917599999999965</v>
          </cell>
          <cell r="AH21">
            <v>51.737199999999973</v>
          </cell>
          <cell r="AI21">
            <v>40.646947000000033</v>
          </cell>
          <cell r="AJ21">
            <v>183.905247</v>
          </cell>
          <cell r="AK21">
            <v>46.610657500000023</v>
          </cell>
          <cell r="AL21">
            <v>49.028891999999956</v>
          </cell>
          <cell r="AM21">
            <v>54.06537399999997</v>
          </cell>
          <cell r="AN21">
            <v>46.12</v>
          </cell>
          <cell r="AO21">
            <v>195.82492349999995</v>
          </cell>
          <cell r="AP21">
            <v>49.528000000000006</v>
          </cell>
          <cell r="AQ21">
            <v>49.669999999999987</v>
          </cell>
          <cell r="AR21">
            <v>49.883999999999986</v>
          </cell>
          <cell r="AS21">
            <v>42.413999999999973</v>
          </cell>
          <cell r="AT21">
            <v>191.49599999999998</v>
          </cell>
          <cell r="AU21">
            <v>49.891999999999967</v>
          </cell>
          <cell r="AV21">
            <v>51.490000000000009</v>
          </cell>
          <cell r="AW21">
            <v>49.096000000000004</v>
          </cell>
          <cell r="AX21">
            <v>52.58899999999997</v>
          </cell>
          <cell r="AY21">
            <v>203.06699999999995</v>
          </cell>
          <cell r="AZ21">
            <v>48.05</v>
          </cell>
          <cell r="BA21">
            <v>50.826000000000022</v>
          </cell>
          <cell r="BB21">
            <v>49.686000000000021</v>
          </cell>
          <cell r="BC21">
            <v>51.713999999999942</v>
          </cell>
          <cell r="BD21">
            <v>200.27599999999998</v>
          </cell>
          <cell r="BE21">
            <v>47.64</v>
          </cell>
          <cell r="BF21">
            <v>49.88000000000001</v>
          </cell>
          <cell r="BG21">
            <v>52.848100000000002</v>
          </cell>
          <cell r="BH21">
            <v>53.535999999999945</v>
          </cell>
          <cell r="BI21">
            <v>203.90409999999997</v>
          </cell>
          <cell r="BJ21">
            <v>51.893999999999991</v>
          </cell>
          <cell r="BK21">
            <v>50.17600000000003</v>
          </cell>
          <cell r="BL21">
            <v>49.663399999999967</v>
          </cell>
          <cell r="BM21">
            <v>51.374599999999987</v>
          </cell>
          <cell r="BN21">
            <v>203.10799999999998</v>
          </cell>
          <cell r="BO21">
            <v>32.403999999999954</v>
          </cell>
          <cell r="BP21">
            <v>35.822499999999962</v>
          </cell>
          <cell r="BQ21">
            <v>42.421500000000037</v>
          </cell>
          <cell r="BR21">
            <v>32.460000000000022</v>
          </cell>
          <cell r="BS21">
            <v>143.10799999999998</v>
          </cell>
          <cell r="BT21">
            <v>145.97015999999996</v>
          </cell>
          <cell r="BU21">
            <v>153.26866799999996</v>
          </cell>
          <cell r="BV21">
            <v>160.93210139999996</v>
          </cell>
          <cell r="BW21">
            <v>168.97870646999996</v>
          </cell>
          <cell r="BX21">
            <v>177.42764179349996</v>
          </cell>
          <cell r="BY21">
            <v>186.29902388317495</v>
          </cell>
          <cell r="BZ21">
            <v>195.61397507733372</v>
          </cell>
          <cell r="CA21">
            <v>205.39467383120041</v>
          </cell>
          <cell r="CB21">
            <v>215.66440752276043</v>
          </cell>
          <cell r="CC21">
            <v>226.44762789889845</v>
          </cell>
        </row>
        <row r="22">
          <cell r="A22" t="str">
            <v>As % of Revenues</v>
          </cell>
          <cell r="B22">
            <v>0.10035162587692237</v>
          </cell>
          <cell r="C22">
            <v>0.10845655786811306</v>
          </cell>
          <cell r="D22">
            <v>0.109907783475925</v>
          </cell>
          <cell r="E22">
            <v>9.2381617543278283E-2</v>
          </cell>
          <cell r="F22">
            <v>0.10194704525484427</v>
          </cell>
          <cell r="G22">
            <v>0.11309181398905989</v>
          </cell>
          <cell r="H22">
            <v>0.10867395429377243</v>
          </cell>
          <cell r="I22">
            <v>9.8173493911100335E-2</v>
          </cell>
          <cell r="J22">
            <v>6.6799902629016555E-2</v>
          </cell>
          <cell r="K22">
            <v>9.491447982320661E-2</v>
          </cell>
          <cell r="L22">
            <v>7.9066013400297397E-2</v>
          </cell>
          <cell r="M22">
            <v>9.6207640423304999E-2</v>
          </cell>
          <cell r="N22">
            <v>9.2384967612240396E-2</v>
          </cell>
          <cell r="O22">
            <v>6.883012214003098E-2</v>
          </cell>
          <cell r="P22">
            <v>8.2941992984946658E-2</v>
          </cell>
          <cell r="Q22">
            <v>6.265898513014978E-2</v>
          </cell>
          <cell r="R22">
            <v>6.7058149923944668E-2</v>
          </cell>
          <cell r="S22">
            <v>6.4896207835694372E-2</v>
          </cell>
          <cell r="T22">
            <v>4.6716215087411E-2</v>
          </cell>
          <cell r="U22">
            <v>5.9167491678757379E-2</v>
          </cell>
          <cell r="V22">
            <v>4.5178261944540603E-2</v>
          </cell>
          <cell r="W22">
            <v>5.6276303156908389E-2</v>
          </cell>
          <cell r="X22">
            <v>5.7103442903879142E-2</v>
          </cell>
          <cell r="Y22">
            <v>4.1439429928741056E-2</v>
          </cell>
          <cell r="Z22">
            <v>4.9305456081006845E-2</v>
          </cell>
          <cell r="AA22">
            <v>4.7626812114252952E-2</v>
          </cell>
          <cell r="AB22">
            <v>5.0085651314789467E-2</v>
          </cell>
          <cell r="AC22">
            <v>4.912596762843064E-2</v>
          </cell>
          <cell r="AD22">
            <v>3.9460890737546953E-2</v>
          </cell>
          <cell r="AE22">
            <v>4.5867821555001971E-2</v>
          </cell>
          <cell r="AF22">
            <v>5.9069659647728812E-2</v>
          </cell>
          <cell r="AG22">
            <v>6.1994714587737802E-2</v>
          </cell>
          <cell r="AH22">
            <v>6.6913088463528156E-2</v>
          </cell>
          <cell r="AI22">
            <v>3.7359326286764735E-2</v>
          </cell>
          <cell r="AJ22">
            <v>5.452113693634935E-2</v>
          </cell>
          <cell r="AK22">
            <v>5.5363650671101113E-2</v>
          </cell>
          <cell r="AL22">
            <v>5.8555944106055129E-2</v>
          </cell>
          <cell r="AM22">
            <v>6.4348219471554349E-2</v>
          </cell>
          <cell r="AN22">
            <v>0.04</v>
          </cell>
          <cell r="AO22">
            <v>5.3323418881385462E-2</v>
          </cell>
          <cell r="AP22">
            <v>5.8405660377358497E-2</v>
          </cell>
          <cell r="AQ22">
            <v>5.7621809744779567E-2</v>
          </cell>
          <cell r="AR22">
            <v>5.5365149833518298E-2</v>
          </cell>
          <cell r="AS22">
            <v>3.437115072933547E-2</v>
          </cell>
          <cell r="AT22">
            <v>4.9803901170351099E-2</v>
          </cell>
          <cell r="AU22">
            <v>5.3532188841201679E-2</v>
          </cell>
          <cell r="AV22">
            <v>5.5365591397849474E-2</v>
          </cell>
          <cell r="AW22">
            <v>5.2678111587982836E-2</v>
          </cell>
          <cell r="AX22">
            <v>3.9041573867854472E-2</v>
          </cell>
          <cell r="AY22">
            <v>4.9038155035015685E-2</v>
          </cell>
          <cell r="AZ22">
            <v>4.6878048780487805E-2</v>
          </cell>
          <cell r="BA22">
            <v>4.9154738878143152E-2</v>
          </cell>
          <cell r="BB22">
            <v>4.7820981713185773E-2</v>
          </cell>
          <cell r="BC22">
            <v>3.353696498054471E-2</v>
          </cell>
          <cell r="BD22">
            <v>4.3162931034482752E-2</v>
          </cell>
          <cell r="BE22">
            <v>4.3786764705882351E-2</v>
          </cell>
          <cell r="BF22">
            <v>4.3754385964912289E-2</v>
          </cell>
          <cell r="BG22">
            <v>4.5914943527367511E-2</v>
          </cell>
          <cell r="BH22">
            <v>3.3376558603491237E-2</v>
          </cell>
          <cell r="BI22">
            <v>4.0919947822596822E-2</v>
          </cell>
          <cell r="BJ22">
            <v>4.4202725724020432E-2</v>
          </cell>
          <cell r="BK22">
            <v>4.2378378378378406E-2</v>
          </cell>
          <cell r="BL22">
            <v>4.2302725724020412E-2</v>
          </cell>
          <cell r="BM22">
            <v>3.0653102625298322E-2</v>
          </cell>
          <cell r="BN22">
            <v>3.899923195084485E-2</v>
          </cell>
          <cell r="BO22">
            <v>2.7554421768707444E-2</v>
          </cell>
          <cell r="BP22">
            <v>3.0332345469940698E-2</v>
          </cell>
          <cell r="BQ22">
            <v>3.9535414725069933E-2</v>
          </cell>
          <cell r="BR22">
            <v>2.1620024479949915E-2</v>
          </cell>
          <cell r="BS22">
            <v>2.9019833933840253E-2</v>
          </cell>
          <cell r="BT22">
            <v>3.099288568862214E-2</v>
          </cell>
          <cell r="BU22">
            <v>3.2184637108579557E-2</v>
          </cell>
          <cell r="BV22">
            <v>3.2594741493844379E-2</v>
          </cell>
          <cell r="BW22">
            <v>3.2966083451083997E-2</v>
          </cell>
          <cell r="BX22">
            <v>3.3329948608566765E-2</v>
          </cell>
          <cell r="BY22">
            <v>3.3727945907310784E-2</v>
          </cell>
          <cell r="BZ22">
            <v>3.4178249955387111E-2</v>
          </cell>
          <cell r="CA22">
            <v>3.4655281046336632E-2</v>
          </cell>
          <cell r="CB22">
            <v>3.517233094064922E-2</v>
          </cell>
          <cell r="CC22">
            <v>3.5667661801496907E-2</v>
          </cell>
        </row>
        <row r="23">
          <cell r="A23" t="str">
            <v xml:space="preserve">   Growth %</v>
          </cell>
          <cell r="AP23">
            <v>6.2589601959594399E-2</v>
          </cell>
          <cell r="AQ23">
            <v>1.3076126623461803E-2</v>
          </cell>
          <cell r="AR23">
            <v>-7.7339222697321741E-2</v>
          </cell>
          <cell r="AS23">
            <v>-8.0355594102342276E-2</v>
          </cell>
          <cell r="AT23">
            <v>-2.2106090596787475E-2</v>
          </cell>
          <cell r="AU23">
            <v>7.3493781295421723E-3</v>
          </cell>
          <cell r="AV23">
            <v>3.6641836118381788E-2</v>
          </cell>
          <cell r="AW23">
            <v>-1.5796648223879051E-2</v>
          </cell>
          <cell r="AX23">
            <v>0.23989720375347767</v>
          </cell>
          <cell r="AY23">
            <v>6.0424238626394233E-2</v>
          </cell>
          <cell r="AZ23">
            <v>-3.6919746652769425E-2</v>
          </cell>
          <cell r="BA23">
            <v>-1.2895707904447162E-2</v>
          </cell>
          <cell r="BB23">
            <v>1.2017272282874636E-2</v>
          </cell>
          <cell r="BC23">
            <v>-1.6638460514556863E-2</v>
          </cell>
          <cell r="BD23">
            <v>-1.3744232199224715E-2</v>
          </cell>
          <cell r="BE23">
            <v>-8.5327783558791781E-3</v>
          </cell>
          <cell r="BF23">
            <v>-1.861252115059242E-2</v>
          </cell>
          <cell r="BG23">
            <v>6.3641669685625235E-2</v>
          </cell>
          <cell r="BH23">
            <v>3.5232238852148434E-2</v>
          </cell>
          <cell r="BI23">
            <v>1.8115500609159341E-2</v>
          </cell>
          <cell r="BJ23">
            <v>8.9294710327455729E-2</v>
          </cell>
          <cell r="BK23">
            <v>5.934242181235394E-3</v>
          </cell>
          <cell r="BL23">
            <v>-6.0261390664944181E-2</v>
          </cell>
          <cell r="BM23">
            <v>-4.0372833233711103E-2</v>
          </cell>
          <cell r="BN23">
            <v>-3.9042863777628556E-3</v>
          </cell>
          <cell r="BO23">
            <v>-0.37557328400200485</v>
          </cell>
          <cell r="BP23">
            <v>-0.28606305803571541</v>
          </cell>
          <cell r="BQ23">
            <v>-0.14581965793723217</v>
          </cell>
          <cell r="BR23">
            <v>-0.36817026312613566</v>
          </cell>
          <cell r="BS23">
            <v>-0.29540933887389964</v>
          </cell>
          <cell r="BT23">
            <v>2.0000000000000018E-2</v>
          </cell>
          <cell r="BU23">
            <v>5.0000000000000044E-2</v>
          </cell>
          <cell r="BV23">
            <v>5.0000000000000044E-2</v>
          </cell>
          <cell r="BW23">
            <v>5.0000000000000044E-2</v>
          </cell>
          <cell r="BX23">
            <v>5.0000000000000044E-2</v>
          </cell>
          <cell r="BY23">
            <v>5.0000000000000044E-2</v>
          </cell>
          <cell r="BZ23">
            <v>5.0000000000000044E-2</v>
          </cell>
          <cell r="CA23">
            <v>5.0000000000000044E-2</v>
          </cell>
          <cell r="CB23">
            <v>5.0000000000000044E-2</v>
          </cell>
          <cell r="CC23">
            <v>5.0000000000000044E-2</v>
          </cell>
        </row>
        <row r="25">
          <cell r="A25" t="str">
            <v>Total Variable and G &amp; A Costs</v>
          </cell>
          <cell r="B25">
            <v>75.742108000000002</v>
          </cell>
          <cell r="C25">
            <v>82.433305264754352</v>
          </cell>
          <cell r="D25">
            <v>90.367157360896869</v>
          </cell>
          <cell r="E25">
            <v>111.64914975000001</v>
          </cell>
          <cell r="F25">
            <v>360.19172037565124</v>
          </cell>
          <cell r="G25">
            <v>98.038000000000025</v>
          </cell>
          <cell r="H25">
            <v>87.539999999999992</v>
          </cell>
          <cell r="I25">
            <v>89.646999999999991</v>
          </cell>
          <cell r="J25">
            <v>100.8</v>
          </cell>
          <cell r="K25">
            <v>376.02500000000003</v>
          </cell>
          <cell r="L25">
            <v>88.522912999999988</v>
          </cell>
          <cell r="M25">
            <v>92.743499999999983</v>
          </cell>
          <cell r="N25">
            <v>94.860900000000015</v>
          </cell>
          <cell r="O25">
            <v>108.89500000000001</v>
          </cell>
          <cell r="P25">
            <v>385.02231299999994</v>
          </cell>
          <cell r="Q25">
            <v>91.319000000000017</v>
          </cell>
          <cell r="R25">
            <v>89.790100000000024</v>
          </cell>
          <cell r="S25">
            <v>96.710800000000035</v>
          </cell>
          <cell r="T25">
            <v>113.08849999999998</v>
          </cell>
          <cell r="U25">
            <v>390.90840000000003</v>
          </cell>
          <cell r="V25">
            <v>94.688000000000002</v>
          </cell>
          <cell r="W25">
            <v>98.385200000000012</v>
          </cell>
          <cell r="X25">
            <v>106.56720000000001</v>
          </cell>
          <cell r="Y25">
            <v>129.19599999999997</v>
          </cell>
          <cell r="Z25">
            <v>428.83639999999997</v>
          </cell>
          <cell r="AA25">
            <v>111.21200000000003</v>
          </cell>
          <cell r="AB25">
            <v>107.62299999999999</v>
          </cell>
          <cell r="AC25">
            <v>113.05899999999997</v>
          </cell>
          <cell r="AD25">
            <v>137.46660000000003</v>
          </cell>
          <cell r="AE25">
            <v>469.36060000000003</v>
          </cell>
          <cell r="AF25">
            <v>112.56250000000003</v>
          </cell>
          <cell r="AG25">
            <v>115.02959999999996</v>
          </cell>
          <cell r="AH25">
            <v>121.32519999999998</v>
          </cell>
          <cell r="AI25">
            <v>139.50800000000004</v>
          </cell>
          <cell r="AJ25">
            <v>488.42529999999999</v>
          </cell>
          <cell r="AK25">
            <v>120.26109999999997</v>
          </cell>
          <cell r="AL25">
            <v>120.78749999999997</v>
          </cell>
          <cell r="AM25">
            <v>127.51319999999998</v>
          </cell>
          <cell r="AN25">
            <v>146.315</v>
          </cell>
          <cell r="AO25">
            <v>514.87679999999989</v>
          </cell>
          <cell r="AP25">
            <v>121.608</v>
          </cell>
          <cell r="AQ25">
            <v>122.94</v>
          </cell>
          <cell r="AR25">
            <v>126.46899999999999</v>
          </cell>
          <cell r="AS25">
            <v>147.30399999999997</v>
          </cell>
          <cell r="AT25">
            <v>518.32100000000003</v>
          </cell>
          <cell r="AU25">
            <v>129.11199999999997</v>
          </cell>
          <cell r="AV25">
            <v>130.54000000000002</v>
          </cell>
          <cell r="AW25">
            <v>132.976</v>
          </cell>
          <cell r="AX25">
            <v>161.69599999999997</v>
          </cell>
          <cell r="AY25">
            <v>554.32399999999996</v>
          </cell>
          <cell r="AZ25">
            <v>141.32499999999999</v>
          </cell>
          <cell r="BA25">
            <v>144.92000000000002</v>
          </cell>
          <cell r="BB25">
            <v>144.23500000000001</v>
          </cell>
          <cell r="BC25">
            <v>192.03599999999994</v>
          </cell>
          <cell r="BD25">
            <v>622.51599999999996</v>
          </cell>
          <cell r="BE25">
            <v>142.29599999999999</v>
          </cell>
          <cell r="BF25">
            <v>149.06</v>
          </cell>
          <cell r="BG25">
            <v>152.87</v>
          </cell>
          <cell r="BH25">
            <v>180.25199999999995</v>
          </cell>
          <cell r="BI25">
            <v>624.47799999999995</v>
          </cell>
          <cell r="BJ25">
            <v>154.03199999999998</v>
          </cell>
          <cell r="BK25">
            <v>153.18400000000003</v>
          </cell>
          <cell r="BL25">
            <v>151.68399999999997</v>
          </cell>
          <cell r="BM25">
            <v>197.30399999999997</v>
          </cell>
          <cell r="BN25">
            <v>656.20399999999995</v>
          </cell>
          <cell r="BO25">
            <v>147.06399999999996</v>
          </cell>
          <cell r="BP25">
            <v>150.96999999999997</v>
          </cell>
          <cell r="BQ25">
            <v>147.03900000000004</v>
          </cell>
          <cell r="BR25">
            <v>178.8451256475235</v>
          </cell>
          <cell r="BS25">
            <v>623.91812564752354</v>
          </cell>
          <cell r="BT25">
            <v>605.17524154633588</v>
          </cell>
          <cell r="BU25">
            <v>617.58010577030223</v>
          </cell>
          <cell r="BV25">
            <v>642.32508589301301</v>
          </cell>
          <cell r="BW25">
            <v>668.74762519131832</v>
          </cell>
          <cell r="BX25">
            <v>696.45619710365872</v>
          </cell>
          <cell r="BY25">
            <v>724.84812137423626</v>
          </cell>
          <cell r="BZ25">
            <v>753.64028113265272</v>
          </cell>
          <cell r="CA25">
            <v>783.25698208274355</v>
          </cell>
          <cell r="CB25">
            <v>813.50023958493352</v>
          </cell>
          <cell r="CC25">
            <v>845.45775093466182</v>
          </cell>
        </row>
        <row r="26">
          <cell r="A26" t="str">
            <v>As % of Revenues</v>
          </cell>
          <cell r="B26">
            <v>0.21635162587692236</v>
          </cell>
          <cell r="C26">
            <v>0.23920960765380378</v>
          </cell>
          <cell r="D26">
            <v>0.24047185100467247</v>
          </cell>
          <cell r="E26">
            <v>0.22838161754327829</v>
          </cell>
          <cell r="F26">
            <v>0.23098733668791127</v>
          </cell>
          <cell r="G26">
            <v>0.22859181398905989</v>
          </cell>
          <cell r="H26">
            <v>0.22692395429377241</v>
          </cell>
          <cell r="I26">
            <v>0.21917349391110033</v>
          </cell>
          <cell r="J26">
            <v>0.19629990262901656</v>
          </cell>
          <cell r="K26">
            <v>0.2164585023103682</v>
          </cell>
          <cell r="L26">
            <v>0.19856601340029742</v>
          </cell>
          <cell r="M26">
            <v>0.21570764042330501</v>
          </cell>
          <cell r="N26">
            <v>0.21188496761224038</v>
          </cell>
          <cell r="O26">
            <v>0.187330122140031</v>
          </cell>
          <cell r="P26">
            <v>0.20213681033998487</v>
          </cell>
          <cell r="Q26">
            <v>0.17006828235060273</v>
          </cell>
          <cell r="R26">
            <v>0.17483671699716108</v>
          </cell>
          <cell r="S26">
            <v>0.17286660690005803</v>
          </cell>
          <cell r="T26">
            <v>0.15419204708044801</v>
          </cell>
          <cell r="U26">
            <v>0.16681249466587011</v>
          </cell>
          <cell r="V26">
            <v>0.15391417425227569</v>
          </cell>
          <cell r="W26">
            <v>0.16499278886466548</v>
          </cell>
          <cell r="X26">
            <v>0.16601838292568938</v>
          </cell>
          <cell r="Y26">
            <v>0.15343942992874104</v>
          </cell>
          <cell r="Z26">
            <v>0.15909935445573939</v>
          </cell>
          <cell r="AA26">
            <v>0.15962681211425295</v>
          </cell>
          <cell r="AB26">
            <v>0.16358565131478947</v>
          </cell>
          <cell r="AC26">
            <v>0.15912596762843065</v>
          </cell>
          <cell r="AD26">
            <v>0.13946089073754694</v>
          </cell>
          <cell r="AE26">
            <v>0.15384836764127441</v>
          </cell>
          <cell r="AF26">
            <v>0.14906965964772881</v>
          </cell>
          <cell r="AG26">
            <v>0.15199471458773781</v>
          </cell>
          <cell r="AH26">
            <v>0.15691308846352817</v>
          </cell>
          <cell r="AI26">
            <v>0.12822426470588238</v>
          </cell>
          <cell r="AJ26">
            <v>0.1448001245145415</v>
          </cell>
          <cell r="AK26">
            <v>0.14284487468820523</v>
          </cell>
          <cell r="AL26">
            <v>0.14425833034754565</v>
          </cell>
          <cell r="AM26">
            <v>0.15176529397762434</v>
          </cell>
          <cell r="AN26">
            <v>0.12689939288811794</v>
          </cell>
          <cell r="AO26">
            <v>0.14020172094543076</v>
          </cell>
          <cell r="AP26">
            <v>0.1434056603773585</v>
          </cell>
          <cell r="AQ26">
            <v>0.14262180974477959</v>
          </cell>
          <cell r="AR26">
            <v>0.1403651498335183</v>
          </cell>
          <cell r="AS26">
            <v>0.11937115072933548</v>
          </cell>
          <cell r="AT26">
            <v>0.13480390117035113</v>
          </cell>
          <cell r="AU26">
            <v>0.13853218884120169</v>
          </cell>
          <cell r="AV26">
            <v>0.14036559139784949</v>
          </cell>
          <cell r="AW26">
            <v>0.14267811158798283</v>
          </cell>
          <cell r="AX26">
            <v>0.12004157386785447</v>
          </cell>
          <cell r="AY26">
            <v>0.1338623520888674</v>
          </cell>
          <cell r="AZ26">
            <v>0.13787804878048779</v>
          </cell>
          <cell r="BA26">
            <v>0.14015473887814314</v>
          </cell>
          <cell r="BB26">
            <v>0.13882098171318577</v>
          </cell>
          <cell r="BC26">
            <v>0.12453696498054471</v>
          </cell>
          <cell r="BD26">
            <v>0.13416293103448276</v>
          </cell>
          <cell r="BE26">
            <v>0.13078676470588235</v>
          </cell>
          <cell r="BF26">
            <v>0.13075438596491229</v>
          </cell>
          <cell r="BG26">
            <v>0.1328149435273675</v>
          </cell>
          <cell r="BH26">
            <v>0.11237655860349124</v>
          </cell>
          <cell r="BI26">
            <v>0.12532169375877983</v>
          </cell>
          <cell r="BJ26">
            <v>0.13120272572402042</v>
          </cell>
          <cell r="BK26">
            <v>0.1293783783783784</v>
          </cell>
          <cell r="BL26">
            <v>0.12920272572402042</v>
          </cell>
          <cell r="BM26">
            <v>0.11772315035799522</v>
          </cell>
          <cell r="BN26">
            <v>0.12599923195084484</v>
          </cell>
          <cell r="BO26">
            <v>0.12505442176870746</v>
          </cell>
          <cell r="BP26">
            <v>0.12783234546994071</v>
          </cell>
          <cell r="BQ26">
            <v>0.13703541472506994</v>
          </cell>
          <cell r="BR26">
            <v>0.1191200244799499</v>
          </cell>
          <cell r="BS26">
            <v>0.12651983393384025</v>
          </cell>
          <cell r="BT26">
            <v>0.12849288568862213</v>
          </cell>
          <cell r="BU26">
            <v>0.12968463710857958</v>
          </cell>
          <cell r="BV26">
            <v>0.13009474149384437</v>
          </cell>
          <cell r="BW26">
            <v>0.13046608345108401</v>
          </cell>
          <cell r="BX26">
            <v>0.13082994860856675</v>
          </cell>
          <cell r="BY26">
            <v>0.13122794590731079</v>
          </cell>
          <cell r="BZ26">
            <v>0.13167824995538713</v>
          </cell>
          <cell r="CA26">
            <v>0.13215528104633664</v>
          </cell>
          <cell r="CB26">
            <v>0.1326723309406492</v>
          </cell>
          <cell r="CC26">
            <v>0.13316766180149689</v>
          </cell>
        </row>
        <row r="27">
          <cell r="A27" t="str">
            <v>EBITDA</v>
          </cell>
          <cell r="B27">
            <v>64.038227935999998</v>
          </cell>
          <cell r="C27">
            <v>58.668787741245595</v>
          </cell>
          <cell r="D27">
            <v>61.428919701603121</v>
          </cell>
          <cell r="E27">
            <v>77.497973376000019</v>
          </cell>
          <cell r="F27">
            <v>261.63390875484868</v>
          </cell>
          <cell r="G27">
            <v>73.42528000999998</v>
          </cell>
          <cell r="H27">
            <v>68.078039663999988</v>
          </cell>
          <cell r="I27">
            <v>70.342346450000036</v>
          </cell>
          <cell r="J27">
            <v>98.052875</v>
          </cell>
          <cell r="K27">
            <v>309.89854112400002</v>
          </cell>
          <cell r="L27">
            <v>85.15</v>
          </cell>
          <cell r="M27">
            <v>81.8</v>
          </cell>
          <cell r="N27">
            <v>81</v>
          </cell>
          <cell r="O27">
            <v>113.1</v>
          </cell>
          <cell r="P27">
            <v>361.05000000000007</v>
          </cell>
          <cell r="Q27">
            <v>96.7</v>
          </cell>
          <cell r="R27">
            <v>90.5</v>
          </cell>
          <cell r="S27">
            <v>102.2</v>
          </cell>
          <cell r="T27">
            <v>137.80000000000001</v>
          </cell>
          <cell r="U27">
            <v>427.2</v>
          </cell>
          <cell r="V27">
            <v>124.3</v>
          </cell>
          <cell r="W27">
            <v>115.5</v>
          </cell>
          <cell r="X27">
            <v>119.9</v>
          </cell>
          <cell r="Y27">
            <v>152.80000000000001</v>
          </cell>
          <cell r="Z27">
            <v>512.5</v>
          </cell>
          <cell r="AA27">
            <v>139.6</v>
          </cell>
          <cell r="AB27">
            <v>135.80000000000001</v>
          </cell>
          <cell r="AC27">
            <v>141.30000000000001</v>
          </cell>
          <cell r="AD27">
            <v>195.7</v>
          </cell>
          <cell r="AE27">
            <v>612.4</v>
          </cell>
          <cell r="AF27">
            <v>170.6</v>
          </cell>
          <cell r="AG27">
            <v>166.5</v>
          </cell>
          <cell r="AH27">
            <v>157.80000000000001</v>
          </cell>
          <cell r="AI27">
            <v>231.5</v>
          </cell>
          <cell r="AJ27">
            <v>726.40000000000009</v>
          </cell>
          <cell r="AK27">
            <v>190.4</v>
          </cell>
          <cell r="AL27">
            <v>193.2</v>
          </cell>
          <cell r="AM27">
            <v>180</v>
          </cell>
          <cell r="AN27">
            <v>263</v>
          </cell>
          <cell r="AO27">
            <v>826.6</v>
          </cell>
          <cell r="AP27">
            <v>193</v>
          </cell>
          <cell r="AQ27">
            <v>196</v>
          </cell>
          <cell r="AR27">
            <v>206</v>
          </cell>
          <cell r="AS27">
            <v>292</v>
          </cell>
          <cell r="AT27">
            <v>886.99999999999989</v>
          </cell>
          <cell r="AU27">
            <v>212</v>
          </cell>
          <cell r="AV27">
            <v>221</v>
          </cell>
          <cell r="AW27">
            <v>210</v>
          </cell>
          <cell r="AX27">
            <v>334</v>
          </cell>
          <cell r="AY27">
            <v>977.00000000000011</v>
          </cell>
          <cell r="AZ27">
            <v>241</v>
          </cell>
          <cell r="BA27">
            <v>248</v>
          </cell>
          <cell r="BB27">
            <v>235</v>
          </cell>
          <cell r="BC27">
            <v>360</v>
          </cell>
          <cell r="BD27">
            <v>1084</v>
          </cell>
          <cell r="BE27">
            <v>257</v>
          </cell>
          <cell r="BF27">
            <v>283</v>
          </cell>
          <cell r="BG27">
            <v>273</v>
          </cell>
          <cell r="BH27">
            <v>402</v>
          </cell>
          <cell r="BI27">
            <v>1215</v>
          </cell>
          <cell r="BJ27">
            <v>278</v>
          </cell>
          <cell r="BK27">
            <v>292</v>
          </cell>
          <cell r="BL27">
            <v>278</v>
          </cell>
          <cell r="BM27">
            <v>396</v>
          </cell>
          <cell r="BN27">
            <v>1244.0000000000002</v>
          </cell>
          <cell r="BO27">
            <v>281</v>
          </cell>
          <cell r="BP27">
            <v>286</v>
          </cell>
          <cell r="BQ27">
            <v>221</v>
          </cell>
          <cell r="BR27">
            <v>314.06694077948373</v>
          </cell>
          <cell r="BS27">
            <v>1102.0669407794837</v>
          </cell>
          <cell r="BT27">
            <v>996.15529923063036</v>
          </cell>
          <cell r="BU27">
            <v>1025.3680586476901</v>
          </cell>
          <cell r="BV27">
            <v>1110.4391140559064</v>
          </cell>
          <cell r="BW27">
            <v>1150.9238224606611</v>
          </cell>
          <cell r="BX27">
            <v>1193.3400812051248</v>
          </cell>
          <cell r="BY27">
            <v>1236.0229515419355</v>
          </cell>
          <cell r="BZ27">
            <v>1278.1478075815853</v>
          </cell>
          <cell r="CA27">
            <v>1320.7544992433877</v>
          </cell>
          <cell r="CB27">
            <v>1363.2353540773377</v>
          </cell>
          <cell r="CC27">
            <v>1408.3739790929894</v>
          </cell>
        </row>
        <row r="28">
          <cell r="A28" t="str">
            <v>EBITDA Margin</v>
          </cell>
          <cell r="B28">
            <v>0.1829203741230776</v>
          </cell>
          <cell r="C28">
            <v>0.1702483923461961</v>
          </cell>
          <cell r="D28">
            <v>0.16346564899532751</v>
          </cell>
          <cell r="E28">
            <v>0.15852438245672174</v>
          </cell>
          <cell r="F28">
            <v>0.16778320086731177</v>
          </cell>
          <cell r="G28">
            <v>0.17120318601094014</v>
          </cell>
          <cell r="H28">
            <v>0.17647404570622754</v>
          </cell>
          <cell r="I28">
            <v>0.17197650608889972</v>
          </cell>
          <cell r="J28">
            <v>0.19095009737098345</v>
          </cell>
          <cell r="K28">
            <v>0.17839285707032534</v>
          </cell>
          <cell r="L28">
            <v>0.19100022206719891</v>
          </cell>
          <cell r="M28">
            <v>0.19025468077683452</v>
          </cell>
          <cell r="N28">
            <v>0.18092472637927184</v>
          </cell>
          <cell r="O28">
            <v>0.19456390848099089</v>
          </cell>
          <cell r="P28">
            <v>0.18955134003688656</v>
          </cell>
          <cell r="Q28">
            <v>0.18008960789434053</v>
          </cell>
          <cell r="R28">
            <v>0.17621901399199993</v>
          </cell>
          <cell r="S28">
            <v>0.18267832781019208</v>
          </cell>
          <cell r="T28">
            <v>0.18788527646653497</v>
          </cell>
          <cell r="U28">
            <v>0.18229922335068702</v>
          </cell>
          <cell r="V28">
            <v>0.20204811443433027</v>
          </cell>
          <cell r="W28">
            <v>0.19369444910280062</v>
          </cell>
          <cell r="X28">
            <v>0.18678921950459576</v>
          </cell>
          <cell r="Y28">
            <v>0.1814726840855107</v>
          </cell>
          <cell r="Z28">
            <v>0.19013875491578244</v>
          </cell>
          <cell r="AA28">
            <v>0.20037318788574707</v>
          </cell>
          <cell r="AB28">
            <v>0.20641434868521055</v>
          </cell>
          <cell r="AC28">
            <v>0.19887403237156934</v>
          </cell>
          <cell r="AD28">
            <v>0.19853910926245305</v>
          </cell>
          <cell r="AE28">
            <v>0.20073423364363444</v>
          </cell>
          <cell r="AF28">
            <v>0.22593034035227122</v>
          </cell>
          <cell r="AG28">
            <v>0.22000528541226216</v>
          </cell>
          <cell r="AH28">
            <v>0.20408691153647182</v>
          </cell>
          <cell r="AI28">
            <v>0.21277573529411764</v>
          </cell>
          <cell r="AJ28">
            <v>0.21535086419021079</v>
          </cell>
          <cell r="AK28">
            <v>0.22615512531179477</v>
          </cell>
          <cell r="AL28">
            <v>0.23074166965245432</v>
          </cell>
          <cell r="AM28">
            <v>0.21423470602237563</v>
          </cell>
          <cell r="AN28">
            <v>0.22810060711188204</v>
          </cell>
          <cell r="AO28">
            <v>0.22508441346258581</v>
          </cell>
          <cell r="AP28">
            <v>0.2275943396226415</v>
          </cell>
          <cell r="AQ28">
            <v>0.22737819025522041</v>
          </cell>
          <cell r="AR28">
            <v>0.22863485016648169</v>
          </cell>
          <cell r="AS28">
            <v>0.23662884927066449</v>
          </cell>
          <cell r="AT28">
            <v>0.23068920676202859</v>
          </cell>
          <cell r="AU28">
            <v>0.22746781115879827</v>
          </cell>
          <cell r="AV28">
            <v>0.23763440860215054</v>
          </cell>
          <cell r="AW28">
            <v>0.22532188841201717</v>
          </cell>
          <cell r="AX28">
            <v>0.2479584261321455</v>
          </cell>
          <cell r="AY28">
            <v>0.23593334943250424</v>
          </cell>
          <cell r="AZ28">
            <v>0.23512195121951218</v>
          </cell>
          <cell r="BA28">
            <v>0.23984526112185686</v>
          </cell>
          <cell r="BB28">
            <v>0.22617901828681425</v>
          </cell>
          <cell r="BC28">
            <v>0.23346303501945526</v>
          </cell>
          <cell r="BD28">
            <v>0.23362068965517241</v>
          </cell>
          <cell r="BE28">
            <v>0.23621323529411764</v>
          </cell>
          <cell r="BF28">
            <v>0.24824561403508771</v>
          </cell>
          <cell r="BG28">
            <v>0.23718505647263249</v>
          </cell>
          <cell r="BH28">
            <v>0.25062344139650872</v>
          </cell>
          <cell r="BI28">
            <v>0.24382901866345574</v>
          </cell>
          <cell r="BJ28">
            <v>0.23679727427597955</v>
          </cell>
          <cell r="BK28">
            <v>0.24662162162162163</v>
          </cell>
          <cell r="BL28">
            <v>0.23679727427597955</v>
          </cell>
          <cell r="BM28">
            <v>0.23627684964200477</v>
          </cell>
          <cell r="BN28">
            <v>0.23886328725038408</v>
          </cell>
          <cell r="BO28">
            <v>0.2389455782312925</v>
          </cell>
          <cell r="BP28">
            <v>0.24216765453005928</v>
          </cell>
          <cell r="BQ28">
            <v>0.20596458527493011</v>
          </cell>
          <cell r="BR28">
            <v>0.20918468724569975</v>
          </cell>
          <cell r="BS28">
            <v>0.2234801660661597</v>
          </cell>
          <cell r="BT28">
            <v>0.21150711431137786</v>
          </cell>
          <cell r="BU28">
            <v>0.21531536289142042</v>
          </cell>
          <cell r="BV28">
            <v>0.22490525850615561</v>
          </cell>
          <cell r="BW28">
            <v>0.22453391654891597</v>
          </cell>
          <cell r="BX28">
            <v>0.22417005139143326</v>
          </cell>
          <cell r="BY28">
            <v>0.22377205409268919</v>
          </cell>
          <cell r="BZ28">
            <v>0.22332175004461285</v>
          </cell>
          <cell r="CA28">
            <v>0.22284471895366334</v>
          </cell>
          <cell r="CB28">
            <v>0.22232766905935075</v>
          </cell>
          <cell r="CC28">
            <v>0.22183233819850307</v>
          </cell>
        </row>
        <row r="29">
          <cell r="A29" t="str">
            <v>% Change</v>
          </cell>
          <cell r="L29">
            <v>0.1596823326843726</v>
          </cell>
          <cell r="M29">
            <v>0.20156221306789845</v>
          </cell>
          <cell r="N29">
            <v>0.15151120324903466</v>
          </cell>
          <cell r="O29">
            <v>0.15345929428382377</v>
          </cell>
          <cell r="P29">
            <v>0.16505872757733564</v>
          </cell>
          <cell r="Q29">
            <v>0.13564298297122712</v>
          </cell>
          <cell r="R29">
            <v>0.10635696821515905</v>
          </cell>
          <cell r="S29">
            <v>0.2617283950617284</v>
          </cell>
          <cell r="T29">
            <v>0.21839080459770122</v>
          </cell>
          <cell r="V29">
            <v>0.28541882109617367</v>
          </cell>
          <cell r="W29">
            <v>0.27624309392265189</v>
          </cell>
          <cell r="X29">
            <v>0.17318982387475534</v>
          </cell>
          <cell r="Y29">
            <v>0.10885341074020327</v>
          </cell>
          <cell r="Z29">
            <v>0.19967228464419473</v>
          </cell>
          <cell r="AA29">
            <v>0.12308930008045049</v>
          </cell>
          <cell r="AB29">
            <v>0.17575757575757578</v>
          </cell>
          <cell r="AC29">
            <v>0.17848206839032521</v>
          </cell>
          <cell r="AD29">
            <v>0.28075916230366471</v>
          </cell>
          <cell r="AE29">
            <v>0.19492682926829263</v>
          </cell>
          <cell r="AF29">
            <v>0.22206303724928378</v>
          </cell>
          <cell r="AG29">
            <v>0.22606774668630325</v>
          </cell>
          <cell r="AH29">
            <v>0.11677282377919318</v>
          </cell>
          <cell r="AI29">
            <v>0.18293306080735827</v>
          </cell>
          <cell r="AJ29">
            <v>0.18615284128020915</v>
          </cell>
          <cell r="AK29">
            <v>0.11606096131301302</v>
          </cell>
          <cell r="AL29">
            <v>0.16036036036036028</v>
          </cell>
          <cell r="AM29">
            <v>0.14068441064638781</v>
          </cell>
          <cell r="AN29">
            <v>0.13606911447084236</v>
          </cell>
          <cell r="AO29">
            <v>0.13794052863436113</v>
          </cell>
          <cell r="AP29">
            <v>1.3655462184873901E-2</v>
          </cell>
          <cell r="AQ29">
            <v>1.449275362318847E-2</v>
          </cell>
          <cell r="AR29">
            <v>0.14444444444444438</v>
          </cell>
          <cell r="AS29">
            <v>0.11026615969581743</v>
          </cell>
          <cell r="AT29">
            <v>7.3070408903943784E-2</v>
          </cell>
          <cell r="AU29">
            <v>9.8445595854922185E-2</v>
          </cell>
          <cell r="AV29">
            <v>0.12755102040816335</v>
          </cell>
          <cell r="AW29">
            <v>1.9417475728155331E-2</v>
          </cell>
          <cell r="AX29">
            <v>0.14383561643835607</v>
          </cell>
          <cell r="AY29">
            <v>0.10146561443066537</v>
          </cell>
          <cell r="AZ29">
            <v>0.1367924528301887</v>
          </cell>
          <cell r="BA29">
            <v>0.12217194570135748</v>
          </cell>
          <cell r="BB29">
            <v>0.11904761904761907</v>
          </cell>
          <cell r="BC29">
            <v>7.7844311377245567E-2</v>
          </cell>
          <cell r="BD29">
            <v>0.1095189355168884</v>
          </cell>
          <cell r="BE29">
            <v>6.639004149377592E-2</v>
          </cell>
          <cell r="BF29">
            <v>0.1411290322580645</v>
          </cell>
          <cell r="BG29">
            <v>0.16170212765957448</v>
          </cell>
          <cell r="BH29">
            <v>0.1166666666666667</v>
          </cell>
          <cell r="BI29">
            <v>0.12084870848708484</v>
          </cell>
          <cell r="BJ29">
            <v>8.171206225680927E-2</v>
          </cell>
          <cell r="BK29">
            <v>3.180212014134276E-2</v>
          </cell>
          <cell r="BL29">
            <v>1.831501831501825E-2</v>
          </cell>
          <cell r="BM29">
            <v>-1.4925373134328401E-2</v>
          </cell>
          <cell r="BN29">
            <v>2.3868312757201915E-2</v>
          </cell>
          <cell r="BO29">
            <v>1.0791366906474753E-2</v>
          </cell>
          <cell r="BP29">
            <v>-2.0547945205479423E-2</v>
          </cell>
          <cell r="BQ29">
            <v>-0.20503597122302153</v>
          </cell>
          <cell r="BR29">
            <v>-0.20690166469827342</v>
          </cell>
          <cell r="BS29">
            <v>-0.11409409905186207</v>
          </cell>
          <cell r="BT29">
            <v>-9.6102729906717643E-2</v>
          </cell>
          <cell r="BU29">
            <v>2.9325507217219826E-2</v>
          </cell>
          <cell r="BV29">
            <v>8.2966359923881905E-2</v>
          </cell>
          <cell r="BW29">
            <v>3.6458287439896875E-2</v>
          </cell>
          <cell r="BX29">
            <v>3.6854097479517067E-2</v>
          </cell>
          <cell r="BY29">
            <v>3.5767566185916033E-2</v>
          </cell>
          <cell r="BZ29">
            <v>3.4080965881013059E-2</v>
          </cell>
          <cell r="CA29">
            <v>3.3334714036258095E-2</v>
          </cell>
          <cell r="CB29">
            <v>3.21640811053725E-2</v>
          </cell>
          <cell r="CC29">
            <v>3.3111395534634047E-2</v>
          </cell>
        </row>
        <row r="31">
          <cell r="A31" t="str">
            <v>Capitalized Distribution Fees</v>
          </cell>
          <cell r="Z31">
            <v>25</v>
          </cell>
          <cell r="AO31">
            <v>25</v>
          </cell>
          <cell r="AP31">
            <v>6.25</v>
          </cell>
          <cell r="AQ31">
            <v>6.25</v>
          </cell>
          <cell r="AR31">
            <v>6.25</v>
          </cell>
          <cell r="AS31">
            <v>6.25</v>
          </cell>
          <cell r="AT31">
            <v>25</v>
          </cell>
          <cell r="AY31">
            <v>25</v>
          </cell>
          <cell r="BD31">
            <v>25</v>
          </cell>
          <cell r="BI31">
            <v>26.848060344827587</v>
          </cell>
          <cell r="BN31">
            <v>28.06034482758621</v>
          </cell>
          <cell r="BS31">
            <v>26.56996715558817</v>
          </cell>
          <cell r="BT31">
            <v>25.376054462109632</v>
          </cell>
          <cell r="BU31">
            <v>25.658235951055605</v>
          </cell>
          <cell r="BV31">
            <v>26.602176419817258</v>
          </cell>
          <cell r="BW31">
            <v>27.617645817933155</v>
          </cell>
          <cell r="BX31">
            <v>28.681949342957498</v>
          </cell>
          <cell r="BY31">
            <v>29.760670727843795</v>
          </cell>
          <cell r="BZ31">
            <v>30.83699746105874</v>
          </cell>
          <cell r="CA31">
            <v>31.933151428577762</v>
          </cell>
          <cell r="CB31">
            <v>33.036904954806211</v>
          </cell>
          <cell r="CC31">
            <v>34.207013872444932</v>
          </cell>
        </row>
        <row r="32">
          <cell r="A32" t="str">
            <v>Capital Expenditures</v>
          </cell>
          <cell r="B32">
            <v>6.8140000000000001</v>
          </cell>
          <cell r="C32">
            <v>7.2370000000000001</v>
          </cell>
          <cell r="D32">
            <v>7.5079999999999973</v>
          </cell>
          <cell r="E32">
            <v>12.1</v>
          </cell>
          <cell r="F32">
            <v>33.658999999999999</v>
          </cell>
          <cell r="G32">
            <v>6.104000000000001</v>
          </cell>
          <cell r="H32">
            <v>13.443</v>
          </cell>
          <cell r="I32">
            <v>19.317</v>
          </cell>
          <cell r="J32">
            <v>21.136000000000003</v>
          </cell>
          <cell r="K32">
            <v>60</v>
          </cell>
          <cell r="L32">
            <v>22.074999999999999</v>
          </cell>
          <cell r="M32">
            <v>22.074999999999999</v>
          </cell>
          <cell r="N32">
            <v>22.074999999999999</v>
          </cell>
          <cell r="O32">
            <v>22.074999999999999</v>
          </cell>
          <cell r="P32">
            <v>88.3</v>
          </cell>
          <cell r="Q32">
            <v>13.05</v>
          </cell>
          <cell r="R32">
            <v>13.05</v>
          </cell>
          <cell r="S32">
            <v>13.05</v>
          </cell>
          <cell r="T32">
            <v>13.05</v>
          </cell>
          <cell r="U32">
            <v>52.2</v>
          </cell>
          <cell r="V32">
            <v>19.5</v>
          </cell>
          <cell r="W32">
            <v>19.5</v>
          </cell>
          <cell r="X32">
            <v>19.5</v>
          </cell>
          <cell r="Y32">
            <v>32.5</v>
          </cell>
          <cell r="Z32">
            <v>91</v>
          </cell>
          <cell r="AA32">
            <v>31.25</v>
          </cell>
          <cell r="AB32">
            <v>31.25</v>
          </cell>
          <cell r="AC32">
            <v>31.25</v>
          </cell>
          <cell r="AD32">
            <v>31.25</v>
          </cell>
          <cell r="AE32">
            <v>125</v>
          </cell>
          <cell r="AF32">
            <v>25</v>
          </cell>
          <cell r="AG32">
            <v>25</v>
          </cell>
          <cell r="AH32">
            <v>25</v>
          </cell>
          <cell r="AI32">
            <v>25</v>
          </cell>
          <cell r="AJ32">
            <v>100</v>
          </cell>
          <cell r="AK32">
            <v>18.75</v>
          </cell>
          <cell r="AL32">
            <v>18.75</v>
          </cell>
          <cell r="AM32">
            <v>18.75</v>
          </cell>
          <cell r="AN32">
            <v>18.75</v>
          </cell>
          <cell r="AO32">
            <v>75</v>
          </cell>
          <cell r="AP32">
            <v>7.5</v>
          </cell>
          <cell r="AQ32">
            <v>7.5</v>
          </cell>
          <cell r="AR32">
            <v>7.5</v>
          </cell>
          <cell r="AS32">
            <v>7.5</v>
          </cell>
          <cell r="AT32">
            <v>30</v>
          </cell>
          <cell r="AY32">
            <v>75</v>
          </cell>
          <cell r="BD32">
            <v>60</v>
          </cell>
          <cell r="BI32">
            <v>100</v>
          </cell>
          <cell r="BN32">
            <v>130</v>
          </cell>
          <cell r="BS32">
            <v>75</v>
          </cell>
          <cell r="BT32">
            <v>72</v>
          </cell>
          <cell r="BU32">
            <v>75</v>
          </cell>
          <cell r="BV32">
            <v>89.423049994005652</v>
          </cell>
          <cell r="BW32">
            <v>106.76202564321441</v>
          </cell>
          <cell r="BX32">
            <v>127.50777116024565</v>
          </cell>
          <cell r="BY32">
            <v>132.30330851529359</v>
          </cell>
          <cell r="BZ32">
            <v>137.08820026555125</v>
          </cell>
          <cell r="CA32">
            <v>141.9612354827733</v>
          </cell>
          <cell r="CB32">
            <v>146.86805511197008</v>
          </cell>
          <cell r="CC32">
            <v>152.06986264321009</v>
          </cell>
        </row>
        <row r="33">
          <cell r="A33" t="str">
            <v>Pre-tax Free Cash Flow</v>
          </cell>
          <cell r="B33">
            <v>57.224227935999998</v>
          </cell>
          <cell r="C33">
            <v>51.431787741245593</v>
          </cell>
          <cell r="D33">
            <v>53.920919701603125</v>
          </cell>
          <cell r="E33">
            <v>65.397973376000024</v>
          </cell>
          <cell r="F33">
            <v>227.97490875484868</v>
          </cell>
          <cell r="G33">
            <v>67.321280009999981</v>
          </cell>
          <cell r="H33">
            <v>54.63503966399999</v>
          </cell>
          <cell r="I33">
            <v>51.025346450000036</v>
          </cell>
          <cell r="J33">
            <v>76.916875000000005</v>
          </cell>
          <cell r="K33">
            <v>249.89854112400002</v>
          </cell>
          <cell r="L33">
            <v>63.075000000000003</v>
          </cell>
          <cell r="M33">
            <v>59.724999999999994</v>
          </cell>
          <cell r="N33">
            <v>58.924999999999997</v>
          </cell>
          <cell r="O33">
            <v>91.024999999999991</v>
          </cell>
          <cell r="P33">
            <v>272.75000000000006</v>
          </cell>
          <cell r="Q33">
            <v>83.65</v>
          </cell>
          <cell r="R33">
            <v>77.45</v>
          </cell>
          <cell r="S33">
            <v>89.15</v>
          </cell>
          <cell r="T33">
            <v>124.75000000000001</v>
          </cell>
          <cell r="U33">
            <v>375</v>
          </cell>
          <cell r="V33">
            <v>104.8</v>
          </cell>
          <cell r="W33">
            <v>96</v>
          </cell>
          <cell r="X33">
            <v>100.4</v>
          </cell>
          <cell r="Y33">
            <v>120.30000000000001</v>
          </cell>
          <cell r="Z33">
            <v>396.5</v>
          </cell>
          <cell r="AA33">
            <v>108.35</v>
          </cell>
          <cell r="AB33">
            <v>104.55000000000001</v>
          </cell>
          <cell r="AC33">
            <v>110.05000000000001</v>
          </cell>
          <cell r="AD33">
            <v>164.45</v>
          </cell>
          <cell r="AE33">
            <v>487.4</v>
          </cell>
          <cell r="AF33">
            <v>145.6</v>
          </cell>
          <cell r="AG33">
            <v>141.5</v>
          </cell>
          <cell r="AH33">
            <v>132.80000000000001</v>
          </cell>
          <cell r="AI33">
            <v>206.5</v>
          </cell>
          <cell r="AJ33">
            <v>626.40000000000009</v>
          </cell>
          <cell r="AK33">
            <v>171.65</v>
          </cell>
          <cell r="AL33">
            <v>174.45</v>
          </cell>
          <cell r="AM33">
            <v>161.25</v>
          </cell>
          <cell r="AN33">
            <v>244.25</v>
          </cell>
          <cell r="AO33">
            <v>726.6</v>
          </cell>
          <cell r="AP33">
            <v>179.25</v>
          </cell>
          <cell r="AQ33">
            <v>182.25</v>
          </cell>
          <cell r="AR33">
            <v>192.25</v>
          </cell>
          <cell r="AS33">
            <v>278.25</v>
          </cell>
          <cell r="AT33">
            <v>831.99999999999989</v>
          </cell>
          <cell r="AY33">
            <v>877.00000000000011</v>
          </cell>
          <cell r="BD33">
            <v>999</v>
          </cell>
          <cell r="BI33">
            <v>1088.1519396551723</v>
          </cell>
          <cell r="BN33">
            <v>1085.9396551724139</v>
          </cell>
          <cell r="BS33">
            <v>1000.4969736238955</v>
          </cell>
          <cell r="BT33">
            <v>898.7792447685207</v>
          </cell>
          <cell r="BU33">
            <v>924.70982269663443</v>
          </cell>
          <cell r="BV33">
            <v>994.41388764208352</v>
          </cell>
          <cell r="BW33">
            <v>1016.5441509995135</v>
          </cell>
          <cell r="BX33">
            <v>1037.1503607019215</v>
          </cell>
          <cell r="BY33">
            <v>1073.9589722987982</v>
          </cell>
          <cell r="BZ33">
            <v>1110.2226098549754</v>
          </cell>
          <cell r="CA33">
            <v>1146.8601123320368</v>
          </cell>
          <cell r="CB33">
            <v>1183.3303940105613</v>
          </cell>
          <cell r="CC33">
            <v>1222.0971025773342</v>
          </cell>
        </row>
        <row r="36">
          <cell r="A36" t="str">
            <v>FULL TIME EQUIVALENT (FTE) ANALYSIS</v>
          </cell>
        </row>
        <row r="37">
          <cell r="A37" t="str">
            <v>Full time Subscribers = 1</v>
          </cell>
        </row>
        <row r="38">
          <cell r="A38" t="str">
            <v>Part Time Subscribers = 1/3</v>
          </cell>
        </row>
        <row r="39">
          <cell r="A39" t="str">
            <v>DTH Subscribers = 1/2</v>
          </cell>
        </row>
        <row r="40">
          <cell r="A40" t="str">
            <v xml:space="preserve">    Total Homes</v>
          </cell>
        </row>
        <row r="42">
          <cell r="A42" t="str">
            <v>Homes</v>
          </cell>
          <cell r="AR42">
            <v>86700</v>
          </cell>
          <cell r="AS42">
            <v>85900</v>
          </cell>
          <cell r="AT42">
            <v>85900</v>
          </cell>
          <cell r="AU42">
            <v>87000</v>
          </cell>
          <cell r="AV42">
            <v>87300</v>
          </cell>
          <cell r="AW42">
            <v>87800</v>
          </cell>
          <cell r="AX42">
            <v>88400</v>
          </cell>
          <cell r="AY42">
            <v>88400</v>
          </cell>
          <cell r="AZ42">
            <v>89100</v>
          </cell>
          <cell r="BA42">
            <v>89900</v>
          </cell>
          <cell r="BB42">
            <v>90500</v>
          </cell>
          <cell r="BC42">
            <v>90800</v>
          </cell>
          <cell r="BD42">
            <v>90800</v>
          </cell>
          <cell r="BE42">
            <v>90800</v>
          </cell>
          <cell r="BF42">
            <v>91100</v>
          </cell>
          <cell r="BG42">
            <v>90300</v>
          </cell>
          <cell r="BH42">
            <v>90700</v>
          </cell>
          <cell r="BI42">
            <v>90700</v>
          </cell>
          <cell r="BJ42">
            <v>91200</v>
          </cell>
          <cell r="BK42">
            <v>90900</v>
          </cell>
          <cell r="BL42">
            <v>92700</v>
          </cell>
          <cell r="BM42">
            <v>93400</v>
          </cell>
          <cell r="BN42">
            <v>93400</v>
          </cell>
          <cell r="BO42">
            <v>93750</v>
          </cell>
          <cell r="BP42">
            <v>94100</v>
          </cell>
          <cell r="BQ42">
            <v>94450</v>
          </cell>
          <cell r="BR42">
            <v>95095.683068661368</v>
          </cell>
          <cell r="BS42">
            <v>95095.683068661368</v>
          </cell>
          <cell r="BT42">
            <v>96195.693906814908</v>
          </cell>
          <cell r="BU42">
            <v>97222.841396527685</v>
          </cell>
          <cell r="BV42">
            <v>98420.287366406556</v>
          </cell>
          <cell r="BW42">
            <v>99737.0785396438</v>
          </cell>
          <cell r="BX42">
            <v>101037.33402321466</v>
          </cell>
          <cell r="BY42">
            <v>102207.04754737193</v>
          </cell>
          <cell r="BZ42">
            <v>103251.42434421102</v>
          </cell>
          <cell r="CA42">
            <v>104321.10803138574</v>
          </cell>
          <cell r="CB42">
            <v>105188.32992940267</v>
          </cell>
          <cell r="CC42">
            <v>106450.58988855549</v>
          </cell>
        </row>
        <row r="43">
          <cell r="A43" t="str">
            <v>Homes, Market Share</v>
          </cell>
          <cell r="AY43">
            <v>0.98770949720670387</v>
          </cell>
          <cell r="BD43">
            <v>1.0044837167181189</v>
          </cell>
          <cell r="BI43">
            <v>0.98084637045032841</v>
          </cell>
          <cell r="BN43">
            <v>0.9915614981071128</v>
          </cell>
          <cell r="BS43">
            <v>0.9915614981071128</v>
          </cell>
          <cell r="BT43">
            <v>0.9915614981071128</v>
          </cell>
          <cell r="BU43">
            <v>0.9915614981071128</v>
          </cell>
          <cell r="BV43">
            <v>0.9915614981071128</v>
          </cell>
          <cell r="BW43">
            <v>0.9915614981071128</v>
          </cell>
          <cell r="BX43">
            <v>0.9915614981071128</v>
          </cell>
          <cell r="BY43">
            <v>0.9915614981071128</v>
          </cell>
          <cell r="BZ43">
            <v>0.9915614981071128</v>
          </cell>
          <cell r="CA43">
            <v>0.9915614981071128</v>
          </cell>
          <cell r="CB43">
            <v>0.9915614981071128</v>
          </cell>
          <cell r="CC43">
            <v>0.9915614981071128</v>
          </cell>
        </row>
        <row r="44">
          <cell r="A44" t="str">
            <v>FTE's as % of Homes</v>
          </cell>
          <cell r="AT44">
            <v>0.92625727590221185</v>
          </cell>
          <cell r="AY44">
            <v>0.88552036199095019</v>
          </cell>
          <cell r="AZ44">
            <v>0.88075907387152608</v>
          </cell>
          <cell r="BA44">
            <v>0.87509751906458222</v>
          </cell>
          <cell r="BB44">
            <v>0.87145746349015385</v>
          </cell>
          <cell r="BC44">
            <v>0.87073275250894189</v>
          </cell>
          <cell r="BD44">
            <v>0.87073275250894189</v>
          </cell>
          <cell r="BE44">
            <v>0.87318715531281288</v>
          </cell>
          <cell r="BF44">
            <v>0.87275799645438967</v>
          </cell>
          <cell r="BG44">
            <v>0.88295806480162109</v>
          </cell>
          <cell r="BH44">
            <v>0.88152120205267814</v>
          </cell>
          <cell r="BI44">
            <v>0.88152120205267814</v>
          </cell>
          <cell r="BJ44">
            <v>0.88152120205267814</v>
          </cell>
          <cell r="BK44">
            <v>0.88152120205267814</v>
          </cell>
          <cell r="BL44">
            <v>0.88152120205267814</v>
          </cell>
          <cell r="BM44">
            <v>0.88152120205267814</v>
          </cell>
          <cell r="BN44">
            <v>0.88152120205267814</v>
          </cell>
          <cell r="BO44">
            <v>0.88152120205267814</v>
          </cell>
          <cell r="BP44">
            <v>0.88152120205267814</v>
          </cell>
          <cell r="BQ44">
            <v>0.88152120205267814</v>
          </cell>
          <cell r="BR44">
            <v>0.88152120205267814</v>
          </cell>
          <cell r="BS44">
            <v>0.88152120205267814</v>
          </cell>
          <cell r="BT44">
            <v>0.88152120205267814</v>
          </cell>
          <cell r="BU44">
            <v>0.88152120205267814</v>
          </cell>
          <cell r="BV44">
            <v>0.88152120205267814</v>
          </cell>
          <cell r="BW44">
            <v>0.88152120205267814</v>
          </cell>
          <cell r="BX44">
            <v>0.88152120205267814</v>
          </cell>
          <cell r="BY44">
            <v>0.88152120205267814</v>
          </cell>
          <cell r="BZ44">
            <v>0.88152120205267814</v>
          </cell>
          <cell r="CA44">
            <v>0.88152120205267814</v>
          </cell>
          <cell r="CB44">
            <v>0.88152120205267814</v>
          </cell>
          <cell r="CC44">
            <v>0.88152120205267814</v>
          </cell>
        </row>
        <row r="45">
          <cell r="A45" t="str">
            <v>Full Time Equivalent(FTE) Subscriber</v>
          </cell>
          <cell r="B45">
            <v>50500</v>
          </cell>
          <cell r="C45">
            <v>52200</v>
          </cell>
          <cell r="D45">
            <v>53500</v>
          </cell>
          <cell r="E45">
            <v>54000</v>
          </cell>
          <cell r="F45">
            <v>54000</v>
          </cell>
          <cell r="G45">
            <v>54500</v>
          </cell>
          <cell r="H45">
            <v>56200</v>
          </cell>
          <cell r="I45">
            <v>56500</v>
          </cell>
          <cell r="J45">
            <v>57300</v>
          </cell>
          <cell r="K45">
            <v>57300</v>
          </cell>
          <cell r="L45">
            <v>58300</v>
          </cell>
          <cell r="M45">
            <v>60500</v>
          </cell>
          <cell r="N45">
            <v>60800</v>
          </cell>
          <cell r="O45">
            <v>61700</v>
          </cell>
          <cell r="P45">
            <v>61700</v>
          </cell>
          <cell r="Q45">
            <v>62200</v>
          </cell>
          <cell r="R45">
            <v>62700</v>
          </cell>
          <cell r="S45">
            <v>64200</v>
          </cell>
          <cell r="T45">
            <v>64700</v>
          </cell>
          <cell r="U45">
            <v>64700</v>
          </cell>
          <cell r="V45">
            <v>66100</v>
          </cell>
          <cell r="W45">
            <v>66100</v>
          </cell>
          <cell r="X45">
            <v>66700</v>
          </cell>
          <cell r="Y45">
            <v>66700</v>
          </cell>
          <cell r="Z45">
            <v>66700</v>
          </cell>
          <cell r="AA45">
            <v>68700</v>
          </cell>
          <cell r="AB45">
            <v>69700</v>
          </cell>
          <cell r="AC45">
            <v>70100</v>
          </cell>
          <cell r="AD45">
            <v>70300</v>
          </cell>
          <cell r="AE45">
            <v>70300</v>
          </cell>
          <cell r="AF45">
            <v>71300</v>
          </cell>
          <cell r="AG45">
            <v>72100</v>
          </cell>
          <cell r="AH45">
            <v>72300</v>
          </cell>
          <cell r="AI45">
            <v>73500</v>
          </cell>
          <cell r="AJ45">
            <v>73500</v>
          </cell>
          <cell r="AK45">
            <v>73500</v>
          </cell>
          <cell r="AL45">
            <v>74900</v>
          </cell>
          <cell r="AM45">
            <v>74700</v>
          </cell>
          <cell r="AN45">
            <v>75900</v>
          </cell>
          <cell r="AO45">
            <v>75900</v>
          </cell>
          <cell r="AP45">
            <v>75500</v>
          </cell>
          <cell r="AQ45">
            <v>76500</v>
          </cell>
          <cell r="AR45">
            <v>76250</v>
          </cell>
          <cell r="AS45">
            <v>76000</v>
          </cell>
          <cell r="AT45">
            <v>79565.5</v>
          </cell>
          <cell r="AU45">
            <v>79315.5</v>
          </cell>
          <cell r="AV45">
            <v>72027.054922701383</v>
          </cell>
          <cell r="AW45">
            <v>72377.054922701383</v>
          </cell>
          <cell r="AX45">
            <v>78280</v>
          </cell>
          <cell r="AY45">
            <v>78280</v>
          </cell>
          <cell r="AZ45">
            <v>78475.633481952973</v>
          </cell>
          <cell r="BA45">
            <v>78671.266963905946</v>
          </cell>
          <cell r="BB45">
            <v>78866.900445858919</v>
          </cell>
          <cell r="BC45">
            <v>79062.533927811921</v>
          </cell>
          <cell r="BD45">
            <v>79062.533927811921</v>
          </cell>
          <cell r="BE45">
            <v>79285.393702403409</v>
          </cell>
          <cell r="BF45">
            <v>79508.253476994898</v>
          </cell>
          <cell r="BG45">
            <v>79731.113251586386</v>
          </cell>
          <cell r="BH45">
            <v>79953.973026177904</v>
          </cell>
          <cell r="BI45">
            <v>79953.973026177904</v>
          </cell>
          <cell r="BJ45">
            <v>80394.733627204245</v>
          </cell>
          <cell r="BK45">
            <v>80130.27726658844</v>
          </cell>
          <cell r="BL45">
            <v>81717.015430283267</v>
          </cell>
          <cell r="BM45">
            <v>82334.080271720144</v>
          </cell>
          <cell r="BN45">
            <v>82334.080271720144</v>
          </cell>
          <cell r="BO45">
            <v>82642.612692438575</v>
          </cell>
          <cell r="BP45">
            <v>82951.145113157007</v>
          </cell>
          <cell r="BQ45">
            <v>83259.677533875452</v>
          </cell>
          <cell r="BR45">
            <v>83828.860848706885</v>
          </cell>
          <cell r="BS45">
            <v>83828.860848706885</v>
          </cell>
          <cell r="BT45">
            <v>84798.543725026961</v>
          </cell>
          <cell r="BU45">
            <v>85703.996014843957</v>
          </cell>
          <cell r="BV45">
            <v>86759.570025604713</v>
          </cell>
          <cell r="BW45">
            <v>87920.349363489178</v>
          </cell>
          <cell r="BX45">
            <v>89066.552140342144</v>
          </cell>
          <cell r="BY45">
            <v>90097.679412214537</v>
          </cell>
          <cell r="BZ45">
            <v>91018.319701560045</v>
          </cell>
          <cell r="CA45">
            <v>91961.268551294459</v>
          </cell>
          <cell r="CB45">
            <v>92725.743041280744</v>
          </cell>
          <cell r="CC45">
            <v>93838.451957776109</v>
          </cell>
        </row>
        <row r="46">
          <cell r="A46" t="str">
            <v>Average FTEs</v>
          </cell>
          <cell r="B46">
            <v>50500</v>
          </cell>
          <cell r="C46">
            <v>51350</v>
          </cell>
          <cell r="D46">
            <v>52850</v>
          </cell>
          <cell r="E46">
            <v>53750</v>
          </cell>
          <cell r="F46">
            <v>52112.5</v>
          </cell>
          <cell r="G46">
            <v>54250</v>
          </cell>
          <cell r="H46">
            <v>55350</v>
          </cell>
          <cell r="I46">
            <v>56350</v>
          </cell>
          <cell r="J46">
            <v>56900</v>
          </cell>
          <cell r="K46">
            <v>55712.5</v>
          </cell>
          <cell r="L46">
            <v>57800</v>
          </cell>
          <cell r="M46">
            <v>59400</v>
          </cell>
          <cell r="N46">
            <v>60650</v>
          </cell>
          <cell r="O46">
            <v>61250</v>
          </cell>
          <cell r="P46">
            <v>59775</v>
          </cell>
          <cell r="Q46">
            <v>61950</v>
          </cell>
          <cell r="R46">
            <v>62450</v>
          </cell>
          <cell r="S46">
            <v>63450</v>
          </cell>
          <cell r="T46">
            <v>64450</v>
          </cell>
          <cell r="U46">
            <v>63200</v>
          </cell>
          <cell r="V46">
            <v>65400</v>
          </cell>
          <cell r="W46">
            <v>66100</v>
          </cell>
          <cell r="X46">
            <v>66400</v>
          </cell>
          <cell r="Y46">
            <v>66700</v>
          </cell>
          <cell r="Z46">
            <v>66150</v>
          </cell>
          <cell r="AA46">
            <v>67700</v>
          </cell>
          <cell r="AB46">
            <v>69200</v>
          </cell>
          <cell r="AC46">
            <v>69900</v>
          </cell>
          <cell r="AD46">
            <v>70200</v>
          </cell>
          <cell r="AE46">
            <v>68500</v>
          </cell>
          <cell r="AF46">
            <v>70800</v>
          </cell>
          <cell r="AG46">
            <v>71700</v>
          </cell>
          <cell r="AH46">
            <v>72200</v>
          </cell>
          <cell r="AI46">
            <v>72900</v>
          </cell>
          <cell r="AJ46">
            <v>71900</v>
          </cell>
          <cell r="AK46">
            <v>73500</v>
          </cell>
          <cell r="AL46">
            <v>74200</v>
          </cell>
          <cell r="AM46">
            <v>74800</v>
          </cell>
          <cell r="AN46">
            <v>75300</v>
          </cell>
          <cell r="AO46">
            <v>74450</v>
          </cell>
          <cell r="AP46">
            <v>75700</v>
          </cell>
          <cell r="AQ46">
            <v>76000</v>
          </cell>
          <cell r="AR46">
            <v>76375</v>
          </cell>
          <cell r="AS46">
            <v>76125</v>
          </cell>
          <cell r="AT46">
            <v>76062.5</v>
          </cell>
          <cell r="AU46">
            <v>79440.5</v>
          </cell>
          <cell r="AV46">
            <v>75671.277461350692</v>
          </cell>
          <cell r="AW46">
            <v>72202.054922701383</v>
          </cell>
          <cell r="AX46">
            <v>75328.527461350692</v>
          </cell>
          <cell r="AY46">
            <v>75499.902461350692</v>
          </cell>
          <cell r="AZ46">
            <v>78377.816740976486</v>
          </cell>
          <cell r="BA46">
            <v>78573.450222929459</v>
          </cell>
          <cell r="BB46">
            <v>78769.083704882432</v>
          </cell>
          <cell r="BC46">
            <v>78964.71718683542</v>
          </cell>
          <cell r="BD46">
            <v>78769.083704882447</v>
          </cell>
          <cell r="BE46">
            <v>79173.963815107665</v>
          </cell>
          <cell r="BF46">
            <v>79396.823589699154</v>
          </cell>
          <cell r="BG46">
            <v>79619.683364290642</v>
          </cell>
          <cell r="BH46">
            <v>79842.543138882145</v>
          </cell>
          <cell r="BI46">
            <v>79619.683364290657</v>
          </cell>
          <cell r="BJ46">
            <v>80174.353326691082</v>
          </cell>
          <cell r="BK46">
            <v>80262.505446896335</v>
          </cell>
          <cell r="BL46">
            <v>80923.646348435854</v>
          </cell>
          <cell r="BM46">
            <v>82025.547851001698</v>
          </cell>
          <cell r="BN46">
            <v>80846.513243256253</v>
          </cell>
          <cell r="BO46">
            <v>82488.34648207936</v>
          </cell>
          <cell r="BP46">
            <v>82796.878902797791</v>
          </cell>
          <cell r="BQ46">
            <v>83105.411323516222</v>
          </cell>
          <cell r="BR46">
            <v>83544.269191291169</v>
          </cell>
          <cell r="BS46">
            <v>82983.726474921132</v>
          </cell>
          <cell r="BT46">
            <v>84313.70228686693</v>
          </cell>
          <cell r="BU46">
            <v>85251.269869935466</v>
          </cell>
          <cell r="BV46">
            <v>86231.783020224335</v>
          </cell>
          <cell r="BW46">
            <v>87339.959694546938</v>
          </cell>
          <cell r="BX46">
            <v>88493.450751915661</v>
          </cell>
          <cell r="BY46">
            <v>89582.11577627834</v>
          </cell>
          <cell r="BZ46">
            <v>90557.999556887284</v>
          </cell>
          <cell r="CA46">
            <v>91489.794126427252</v>
          </cell>
          <cell r="CB46">
            <v>92343.505796287602</v>
          </cell>
          <cell r="CC46">
            <v>93282.097499528434</v>
          </cell>
        </row>
        <row r="47">
          <cell r="A47" t="str">
            <v>Total Sales per Avg. FTE</v>
          </cell>
          <cell r="B47">
            <v>6.9324356435643564</v>
          </cell>
          <cell r="C47">
            <v>6.7109444985394351</v>
          </cell>
          <cell r="D47">
            <v>7.1105203405865653</v>
          </cell>
          <cell r="E47">
            <v>9.095274418604653</v>
          </cell>
          <cell r="F47">
            <v>29.922897577356679</v>
          </cell>
          <cell r="G47">
            <v>7.9055852534562208</v>
          </cell>
          <cell r="H47">
            <v>6.9696115627822941</v>
          </cell>
          <cell r="I47">
            <v>7.2586157941437444</v>
          </cell>
          <cell r="J47">
            <v>9.0246045694200347</v>
          </cell>
          <cell r="K47">
            <v>31.18095579986538</v>
          </cell>
          <cell r="L47">
            <v>7.7129930795847752</v>
          </cell>
          <cell r="M47">
            <v>7.2382154882154879</v>
          </cell>
          <cell r="N47">
            <v>7.3816982687551524</v>
          </cell>
          <cell r="O47">
            <v>9.4906122448979584</v>
          </cell>
          <cell r="P47">
            <v>31.865512337933918</v>
          </cell>
          <cell r="Q47">
            <v>8.6675530984450226</v>
          </cell>
          <cell r="R47">
            <v>8.2236263535543284</v>
          </cell>
          <cell r="S47">
            <v>8.8172314657510036</v>
          </cell>
          <cell r="T47">
            <v>11.37977165663246</v>
          </cell>
          <cell r="U47">
            <v>37.079113924050631</v>
          </cell>
          <cell r="V47">
            <v>9.4067278287461775</v>
          </cell>
          <cell r="W47">
            <v>9.0211800302571863</v>
          </cell>
          <cell r="X47">
            <v>9.6671686746987948</v>
          </cell>
          <cell r="Y47">
            <v>12.623688155922039</v>
          </cell>
          <cell r="Z47">
            <v>40.746787603930464</v>
          </cell>
          <cell r="AA47">
            <v>10.290989660265879</v>
          </cell>
          <cell r="AB47">
            <v>9.5072254335260116</v>
          </cell>
          <cell r="AC47">
            <v>10.164520743919885</v>
          </cell>
          <cell r="AD47">
            <v>14.041310541310541</v>
          </cell>
          <cell r="AE47">
            <v>44.537226277372262</v>
          </cell>
          <cell r="AF47">
            <v>10.665254237288135</v>
          </cell>
          <cell r="AG47">
            <v>10.555090655509066</v>
          </cell>
          <cell r="AH47">
            <v>10.709141274238227</v>
          </cell>
          <cell r="AI47">
            <v>14.924554183813443</v>
          </cell>
          <cell r="AJ47">
            <v>46.913769123783041</v>
          </cell>
          <cell r="AK47">
            <v>11.454421768707483</v>
          </cell>
          <cell r="AL47">
            <v>11.284366576819407</v>
          </cell>
          <cell r="AM47">
            <v>11.232620320855615</v>
          </cell>
          <cell r="AN47">
            <v>15.312084993359894</v>
          </cell>
          <cell r="AO47">
            <v>49.327065144392201</v>
          </cell>
          <cell r="AP47">
            <v>11.202113606340818</v>
          </cell>
          <cell r="AQ47">
            <v>11.342105263157896</v>
          </cell>
          <cell r="AR47">
            <v>11.797054009819968</v>
          </cell>
          <cell r="AS47">
            <v>16.210180623973727</v>
          </cell>
          <cell r="AT47">
            <v>50.550534100246509</v>
          </cell>
          <cell r="AU47">
            <v>11.732051031904382</v>
          </cell>
          <cell r="AV47">
            <v>12.29</v>
          </cell>
          <cell r="AW47">
            <v>12.908219869888571</v>
          </cell>
          <cell r="AX47">
            <v>17.881671730422639</v>
          </cell>
          <cell r="AY47">
            <v>54.847752977162159</v>
          </cell>
          <cell r="AZ47">
            <v>13.077679917870469</v>
          </cell>
          <cell r="BA47">
            <v>13.159661400464454</v>
          </cell>
          <cell r="BB47">
            <v>13.190454314445688</v>
          </cell>
          <cell r="BC47">
            <v>19.527708765821732</v>
          </cell>
          <cell r="BD47">
            <v>58.906359979815193</v>
          </cell>
          <cell r="BE47">
            <v>13.74189124269148</v>
          </cell>
          <cell r="BF47">
            <v>14.358257024124857</v>
          </cell>
          <cell r="BG47">
            <v>14.45622428230131</v>
          </cell>
          <cell r="BH47">
            <v>20.089540449756484</v>
          </cell>
          <cell r="BI47">
            <v>62.585026584454745</v>
          </cell>
          <cell r="BJ47">
            <v>14.643086614197363</v>
          </cell>
          <cell r="BK47">
            <v>14.751595323464752</v>
          </cell>
          <cell r="BL47">
            <v>14.507502478880722</v>
          </cell>
          <cell r="BM47">
            <v>20.432658408383098</v>
          </cell>
          <cell r="BN47">
            <v>64.418362537538641</v>
          </cell>
          <cell r="BO47">
            <v>14.256559261440485</v>
          </cell>
          <cell r="BP47">
            <v>14.263822690544593</v>
          </cell>
          <cell r="BQ47">
            <v>12.91131326963753</v>
          </cell>
          <cell r="BR47">
            <v>17.971141750482527</v>
          </cell>
          <cell r="BS47">
            <v>59.425939440879397</v>
          </cell>
          <cell r="BT47">
            <v>55.860383074426629</v>
          </cell>
          <cell r="BU47">
            <v>55.860383074426629</v>
          </cell>
          <cell r="BV47">
            <v>57.256892651287288</v>
          </cell>
          <cell r="BW47">
            <v>58.688314967569468</v>
          </cell>
          <cell r="BX47">
            <v>60.155522841758703</v>
          </cell>
          <cell r="BY47">
            <v>61.659410912802663</v>
          </cell>
          <cell r="BZ47">
            <v>63.200896185622724</v>
          </cell>
          <cell r="CA47">
            <v>64.780918590263283</v>
          </cell>
          <cell r="CB47">
            <v>66.400441555019853</v>
          </cell>
          <cell r="CC47">
            <v>68.060452593895349</v>
          </cell>
        </row>
        <row r="48">
          <cell r="A48" t="str">
            <v>% Change - Sales per FTE</v>
          </cell>
          <cell r="G48">
            <v>0.14037629195956214</v>
          </cell>
          <cell r="H48">
            <v>3.8544062508512056E-2</v>
          </cell>
          <cell r="I48">
            <v>2.0827653457631712E-2</v>
          </cell>
          <cell r="J48">
            <v>-7.7699523875893739E-3</v>
          </cell>
          <cell r="K48">
            <v>4.2043328833926141E-2</v>
          </cell>
          <cell r="L48">
            <v>-2.4361532726150381E-2</v>
          </cell>
          <cell r="M48">
            <v>3.8539296345801777E-2</v>
          </cell>
          <cell r="N48">
            <v>1.6956741905352235E-2</v>
          </cell>
          <cell r="O48">
            <v>5.1637461995508893E-2</v>
          </cell>
          <cell r="P48">
            <v>2.195431539887216E-2</v>
          </cell>
          <cell r="Q48">
            <v>0.12375999939463656</v>
          </cell>
          <cell r="R48">
            <v>0.13614002884318444</v>
          </cell>
          <cell r="S48">
            <v>0.19447194192047879</v>
          </cell>
          <cell r="T48">
            <v>0.19905558914284915</v>
          </cell>
          <cell r="U48">
            <v>0.16361267099133525</v>
          </cell>
          <cell r="V48">
            <v>8.5280669400659814E-2</v>
          </cell>
          <cell r="W48">
            <v>9.6983209403494808E-2</v>
          </cell>
          <cell r="X48">
            <v>9.6395020619479466E-2</v>
          </cell>
          <cell r="Y48">
            <v>0.10930944282740396</v>
          </cell>
          <cell r="Z48">
            <v>9.8914814614835533E-2</v>
          </cell>
          <cell r="AA48">
            <v>9.4003127082881166E-2</v>
          </cell>
          <cell r="AB48">
            <v>5.3878251142158939E-2</v>
          </cell>
          <cell r="AC48">
            <v>5.1447542290513182E-2</v>
          </cell>
          <cell r="AD48">
            <v>0.11229859038647638</v>
          </cell>
          <cell r="AE48">
            <v>9.3024233230012188E-2</v>
          </cell>
          <cell r="AF48">
            <v>3.6368181232103725E-2</v>
          </cell>
          <cell r="AG48">
            <v>0.11021777376687547</v>
          </cell>
          <cell r="AH48">
            <v>5.358054196939066E-2</v>
          </cell>
          <cell r="AI48">
            <v>6.2903219746072603E-2</v>
          </cell>
          <cell r="AJ48">
            <v>5.3360818467004911E-2</v>
          </cell>
          <cell r="AK48">
            <v>7.3994254038524554E-2</v>
          </cell>
          <cell r="AL48">
            <v>6.9092340853529999E-2</v>
          </cell>
          <cell r="AM48">
            <v>4.8881514699657735E-2</v>
          </cell>
          <cell r="AN48">
            <v>2.59659889852355E-2</v>
          </cell>
          <cell r="AO48">
            <v>5.1441102808039707E-2</v>
          </cell>
          <cell r="AP48">
            <v>-2.2027140912162846E-2</v>
          </cell>
          <cell r="AQ48">
            <v>5.1166971531302341E-3</v>
          </cell>
          <cell r="AR48">
            <v>5.0249511943029734E-2</v>
          </cell>
          <cell r="AS48">
            <v>5.865273285795447E-2</v>
          </cell>
          <cell r="AT48">
            <v>2.4803197844285307E-2</v>
          </cell>
          <cell r="AU48">
            <v>4.7306914050898374E-2</v>
          </cell>
          <cell r="AV48">
            <v>8.3573085846867512E-2</v>
          </cell>
          <cell r="AW48">
            <v>9.4190113832119282E-2</v>
          </cell>
          <cell r="AX48">
            <v>0.10311366327262839</v>
          </cell>
          <cell r="AY48">
            <v>8.5008377327801421E-2</v>
          </cell>
          <cell r="AZ48">
            <v>0.11469681493088957</v>
          </cell>
          <cell r="BA48">
            <v>7.0761708744056628E-2</v>
          </cell>
          <cell r="BB48">
            <v>2.186470693883158E-2</v>
          </cell>
          <cell r="BC48">
            <v>9.2051630306949406E-2</v>
          </cell>
          <cell r="BD48">
            <v>7.3997689647249176E-2</v>
          </cell>
          <cell r="BE48">
            <v>5.0789691213758426E-2</v>
          </cell>
          <cell r="BF48">
            <v>9.1081038271858539E-2</v>
          </cell>
          <cell r="BG48">
            <v>9.5961059238831359E-2</v>
          </cell>
          <cell r="BH48">
            <v>2.8770998721472818E-2</v>
          </cell>
          <cell r="BI48">
            <v>6.2449396056726059E-2</v>
          </cell>
          <cell r="BJ48">
            <v>6.5580156005468071E-2</v>
          </cell>
          <cell r="BK48">
            <v>2.7394571547159519E-2</v>
          </cell>
          <cell r="BL48">
            <v>3.5471362077712509E-3</v>
          </cell>
          <cell r="BM48">
            <v>1.7079432926041527E-2</v>
          </cell>
          <cell r="BN48">
            <v>2.929352359721249E-2</v>
          </cell>
          <cell r="BO48">
            <v>-2.6396576277990302E-2</v>
          </cell>
          <cell r="BP48">
            <v>-3.3065754735305042E-2</v>
          </cell>
          <cell r="BQ48">
            <v>-0.11002508609368444</v>
          </cell>
          <cell r="BR48">
            <v>-0.12046972100755438</v>
          </cell>
          <cell r="BS48">
            <v>-7.7499999999999999E-2</v>
          </cell>
          <cell r="BT48">
            <v>-0.06</v>
          </cell>
          <cell r="BU48">
            <v>0</v>
          </cell>
          <cell r="BV48">
            <v>2.5000000000000001E-2</v>
          </cell>
          <cell r="BW48">
            <v>2.5000000000000001E-2</v>
          </cell>
          <cell r="BX48">
            <v>2.5000000000000001E-2</v>
          </cell>
          <cell r="BY48">
            <v>2.5000000000000001E-2</v>
          </cell>
          <cell r="BZ48">
            <v>2.5000000000000001E-2</v>
          </cell>
          <cell r="CA48">
            <v>2.5000000000000001E-2</v>
          </cell>
          <cell r="CB48">
            <v>2.5000000000000001E-2</v>
          </cell>
          <cell r="CC48">
            <v>2.5000000000000001E-2</v>
          </cell>
        </row>
        <row r="50">
          <cell r="A50" t="str">
            <v>Units</v>
          </cell>
          <cell r="AS50">
            <v>31.3</v>
          </cell>
          <cell r="AT50">
            <v>97.2</v>
          </cell>
          <cell r="AX50">
            <v>33.299999999999997</v>
          </cell>
          <cell r="AY50">
            <v>105.2</v>
          </cell>
        </row>
        <row r="51">
          <cell r="A51" t="str">
            <v>% Change</v>
          </cell>
          <cell r="AS51">
            <v>0.15</v>
          </cell>
          <cell r="AT51">
            <v>0.09</v>
          </cell>
          <cell r="AX51">
            <v>6.3897763578274702E-2</v>
          </cell>
          <cell r="AY51">
            <v>8.2304526748971263E-2</v>
          </cell>
        </row>
        <row r="52">
          <cell r="A52" t="str">
            <v>ASP</v>
          </cell>
          <cell r="AN52">
            <v>44.48</v>
          </cell>
          <cell r="AO52">
            <v>44.64</v>
          </cell>
          <cell r="AS52">
            <v>40.549999999999997</v>
          </cell>
          <cell r="AT52">
            <v>42.08</v>
          </cell>
          <cell r="AX52">
            <v>41.86</v>
          </cell>
          <cell r="AY52">
            <v>41.61</v>
          </cell>
        </row>
        <row r="53">
          <cell r="A53" t="str">
            <v>% Change</v>
          </cell>
          <cell r="AS53">
            <v>-8.8354316546762623E-2</v>
          </cell>
          <cell r="AT53">
            <v>-5.7347670250896154E-2</v>
          </cell>
          <cell r="AX53">
            <v>3.2305795314426788E-2</v>
          </cell>
          <cell r="AY53">
            <v>-1.1169201520912497E-2</v>
          </cell>
        </row>
        <row r="54">
          <cell r="A54" t="str">
            <v>Units per FTE</v>
          </cell>
          <cell r="AN54">
            <v>0</v>
          </cell>
          <cell r="AO54">
            <v>0</v>
          </cell>
          <cell r="AS54">
            <v>1.2355263157894738</v>
          </cell>
          <cell r="AT54">
            <v>1.2216350051215665</v>
          </cell>
          <cell r="AX54">
            <v>1.2761880429228409</v>
          </cell>
          <cell r="AY54">
            <v>1.3438937148696986</v>
          </cell>
        </row>
        <row r="58">
          <cell r="A58" t="str">
            <v>Customers (min. 1 purch. per year)</v>
          </cell>
          <cell r="B58">
            <v>4393.5</v>
          </cell>
          <cell r="C58">
            <v>4541.3999999999996</v>
          </cell>
          <cell r="D58">
            <v>4654.5</v>
          </cell>
          <cell r="E58">
            <v>4698</v>
          </cell>
          <cell r="F58">
            <v>5225</v>
          </cell>
          <cell r="G58">
            <v>5294</v>
          </cell>
          <cell r="H58">
            <v>5408</v>
          </cell>
          <cell r="I58">
            <v>5494</v>
          </cell>
          <cell r="J58">
            <v>5570</v>
          </cell>
          <cell r="K58">
            <v>5586</v>
          </cell>
          <cell r="L58">
            <v>5938.8</v>
          </cell>
          <cell r="M58">
            <v>6064.8</v>
          </cell>
          <cell r="N58">
            <v>6161.4</v>
          </cell>
          <cell r="O58">
            <v>6270.5999999999995</v>
          </cell>
          <cell r="P58">
            <v>6289.5</v>
          </cell>
          <cell r="Q58">
            <v>6703.4</v>
          </cell>
          <cell r="R58">
            <v>6793.6</v>
          </cell>
          <cell r="S58">
            <v>6855.2</v>
          </cell>
          <cell r="T58">
            <v>6941</v>
          </cell>
          <cell r="U58">
            <v>6952</v>
          </cell>
          <cell r="V58">
            <v>8047.5</v>
          </cell>
          <cell r="W58">
            <v>8107.5</v>
          </cell>
          <cell r="X58">
            <v>8195</v>
          </cell>
          <cell r="Y58">
            <v>8257.5</v>
          </cell>
          <cell r="Z58">
            <v>8212.5</v>
          </cell>
          <cell r="AA58">
            <v>8372.5</v>
          </cell>
          <cell r="AB58">
            <v>8447.5</v>
          </cell>
          <cell r="AC58">
            <v>8547.5</v>
          </cell>
          <cell r="AD58">
            <v>8637.5</v>
          </cell>
          <cell r="AE58">
            <v>8562.5</v>
          </cell>
          <cell r="AF58">
            <v>8767.5</v>
          </cell>
          <cell r="AG58">
            <v>8842.5</v>
          </cell>
          <cell r="AH58">
            <v>8902.5</v>
          </cell>
          <cell r="AI58">
            <v>8987.5</v>
          </cell>
          <cell r="AJ58">
            <v>8987.5</v>
          </cell>
          <cell r="AK58">
            <v>9102.5</v>
          </cell>
          <cell r="AL58">
            <v>9187.5</v>
          </cell>
          <cell r="AM58">
            <v>9222.5</v>
          </cell>
          <cell r="AN58">
            <v>9312.5</v>
          </cell>
          <cell r="AO58">
            <v>9337.5</v>
          </cell>
          <cell r="AP58">
            <v>9387.5</v>
          </cell>
          <cell r="AQ58">
            <v>9467.5</v>
          </cell>
          <cell r="AR58">
            <v>9471.25</v>
          </cell>
          <cell r="AS58">
            <v>9503.75</v>
          </cell>
          <cell r="AT58">
            <v>9716.59375</v>
          </cell>
          <cell r="AY58">
            <v>9865.34375</v>
          </cell>
          <cell r="BD58">
            <v>9833.9083704882451</v>
          </cell>
          <cell r="BI58">
            <v>9938.5316846243641</v>
          </cell>
          <cell r="BN58">
            <v>10143.003331118627</v>
          </cell>
          <cell r="BS58">
            <v>10385.18382002669</v>
          </cell>
          <cell r="BT58">
            <v>10539.212785858366</v>
          </cell>
          <cell r="BU58">
            <v>10656.408733741933</v>
          </cell>
          <cell r="BV58">
            <v>10778.972877528042</v>
          </cell>
          <cell r="BW58">
            <v>10917.494961818367</v>
          </cell>
          <cell r="BX58">
            <v>11061.681343989458</v>
          </cell>
          <cell r="BY58">
            <v>11197.764472034793</v>
          </cell>
          <cell r="BZ58">
            <v>11319.74994461091</v>
          </cell>
          <cell r="CA58">
            <v>11436.224265803407</v>
          </cell>
          <cell r="CB58">
            <v>11542.93822453595</v>
          </cell>
          <cell r="CC58">
            <v>11660.262187441054</v>
          </cell>
        </row>
        <row r="59">
          <cell r="A59" t="str">
            <v>Customers as % of FTE</v>
          </cell>
          <cell r="B59">
            <v>8.6999999999999994E-2</v>
          </cell>
          <cell r="C59">
            <v>8.6999999999999994E-2</v>
          </cell>
          <cell r="D59">
            <v>8.6999999999999994E-2</v>
          </cell>
          <cell r="E59">
            <v>8.6999999999999994E-2</v>
          </cell>
          <cell r="F59">
            <v>9.6759259259259253E-2</v>
          </cell>
          <cell r="G59">
            <v>9.7137614678899087E-2</v>
          </cell>
          <cell r="H59">
            <v>9.6227758007117442E-2</v>
          </cell>
          <cell r="I59">
            <v>9.7238938053097343E-2</v>
          </cell>
          <cell r="J59">
            <v>9.7207678883071552E-2</v>
          </cell>
          <cell r="K59">
            <v>9.7486910994764392E-2</v>
          </cell>
          <cell r="L59">
            <v>0.10186620926243568</v>
          </cell>
          <cell r="M59">
            <v>0.10024462809917356</v>
          </cell>
          <cell r="N59">
            <v>0.10133881578947368</v>
          </cell>
          <cell r="O59">
            <v>0.10163047001620745</v>
          </cell>
          <cell r="P59">
            <v>0.10193679092382496</v>
          </cell>
          <cell r="Q59">
            <v>0.10777170418006431</v>
          </cell>
          <cell r="R59">
            <v>0.10835087719298246</v>
          </cell>
          <cell r="S59">
            <v>0.10677881619937694</v>
          </cell>
          <cell r="T59">
            <v>0.10727975270479134</v>
          </cell>
          <cell r="U59">
            <v>0.10744976816074188</v>
          </cell>
          <cell r="V59">
            <v>0.12174735249621785</v>
          </cell>
          <cell r="W59">
            <v>0.12265506807866869</v>
          </cell>
          <cell r="X59">
            <v>0.12286356821589206</v>
          </cell>
          <cell r="Y59">
            <v>0.12380059970014992</v>
          </cell>
          <cell r="Z59">
            <v>0.12312593703148426</v>
          </cell>
          <cell r="AA59">
            <v>0.12187045123726346</v>
          </cell>
          <cell r="AB59">
            <v>0.12119799139167863</v>
          </cell>
          <cell r="AC59">
            <v>0.12193295292439373</v>
          </cell>
          <cell r="AD59">
            <v>0.12286628733997156</v>
          </cell>
          <cell r="AE59">
            <v>0.12179943100995733</v>
          </cell>
          <cell r="AF59">
            <v>0.12296633941093969</v>
          </cell>
          <cell r="AG59">
            <v>0.12264216366158114</v>
          </cell>
          <cell r="AH59">
            <v>0.12313278008298756</v>
          </cell>
          <cell r="AI59">
            <v>0.12227891156462585</v>
          </cell>
          <cell r="AJ59">
            <v>0.12227891156462585</v>
          </cell>
          <cell r="AK59">
            <v>0.12384353741496598</v>
          </cell>
          <cell r="AL59">
            <v>0.12266355140186916</v>
          </cell>
          <cell r="AM59">
            <v>0.12346050870147256</v>
          </cell>
          <cell r="AN59">
            <v>0.12269433465085638</v>
          </cell>
          <cell r="AO59">
            <v>0.12302371541501976</v>
          </cell>
          <cell r="AP59">
            <v>0.12433774834437086</v>
          </cell>
          <cell r="AQ59">
            <v>0.12375816993464052</v>
          </cell>
          <cell r="AR59">
            <v>0.12421311475409837</v>
          </cell>
          <cell r="AS59">
            <v>0.12504934210526317</v>
          </cell>
          <cell r="AT59">
            <v>0.12212068987186657</v>
          </cell>
          <cell r="AY59">
            <v>0.12602636369443024</v>
          </cell>
          <cell r="BD59">
            <v>0.1243813963699557</v>
          </cell>
          <cell r="BI59">
            <v>0.12430316228776234</v>
          </cell>
          <cell r="BN59">
            <v>0.12319325481798714</v>
          </cell>
          <cell r="BS59">
            <v>0.12388554150544548</v>
          </cell>
          <cell r="BT59">
            <v>0.12428530400278422</v>
          </cell>
          <cell r="BU59">
            <v>0.12433969510472113</v>
          </cell>
          <cell r="BV59">
            <v>0.12423958387929911</v>
          </cell>
          <cell r="BW59">
            <v>0.12417483598344405</v>
          </cell>
          <cell r="BX59">
            <v>0.12419568376868984</v>
          </cell>
          <cell r="BY59">
            <v>0.12428471571174243</v>
          </cell>
          <cell r="BZ59">
            <v>0.12436781937666216</v>
          </cell>
          <cell r="CA59">
            <v>0.12435913995058118</v>
          </cell>
          <cell r="CB59">
            <v>0.12448472070368989</v>
          </cell>
          <cell r="CC59">
            <v>0.12425889328063243</v>
          </cell>
        </row>
        <row r="60">
          <cell r="A60" t="str">
            <v>Cust. as % Trail. 12 Month Avg. FTE</v>
          </cell>
          <cell r="F60">
            <v>0.1</v>
          </cell>
          <cell r="G60">
            <v>0.1</v>
          </cell>
          <cell r="H60">
            <v>0.1</v>
          </cell>
          <cell r="I60">
            <v>0.1</v>
          </cell>
          <cell r="J60">
            <v>0.1</v>
          </cell>
          <cell r="K60">
            <v>0.1</v>
          </cell>
          <cell r="L60">
            <v>0.105</v>
          </cell>
          <cell r="M60">
            <v>0.105</v>
          </cell>
          <cell r="N60">
            <v>0.105</v>
          </cell>
          <cell r="O60">
            <v>0.105</v>
          </cell>
          <cell r="P60">
            <v>0.105</v>
          </cell>
          <cell r="Q60">
            <v>0.11</v>
          </cell>
          <cell r="R60">
            <v>0.11</v>
          </cell>
          <cell r="S60">
            <v>0.11</v>
          </cell>
          <cell r="T60">
            <v>0.11</v>
          </cell>
          <cell r="U60">
            <v>0.11</v>
          </cell>
          <cell r="V60">
            <v>0.125</v>
          </cell>
          <cell r="W60">
            <v>0.125</v>
          </cell>
          <cell r="X60">
            <v>0.125</v>
          </cell>
          <cell r="Y60">
            <v>0.125</v>
          </cell>
          <cell r="Z60">
            <v>0.125</v>
          </cell>
          <cell r="AA60">
            <v>0.125</v>
          </cell>
          <cell r="AB60">
            <v>0.125</v>
          </cell>
          <cell r="AC60">
            <v>0.125</v>
          </cell>
          <cell r="AD60">
            <v>0.125</v>
          </cell>
          <cell r="AE60">
            <v>0.125</v>
          </cell>
          <cell r="AF60">
            <v>0.125</v>
          </cell>
          <cell r="AG60">
            <v>0.125</v>
          </cell>
          <cell r="AH60">
            <v>0.125</v>
          </cell>
          <cell r="AI60">
            <v>0.125</v>
          </cell>
          <cell r="AJ60">
            <v>0.125</v>
          </cell>
          <cell r="AK60">
            <v>0.125</v>
          </cell>
          <cell r="AL60">
            <v>0.125</v>
          </cell>
          <cell r="AM60">
            <v>0.125</v>
          </cell>
          <cell r="AN60">
            <v>0.125</v>
          </cell>
          <cell r="AO60">
            <v>0.125</v>
          </cell>
          <cell r="AP60">
            <v>0.125</v>
          </cell>
          <cell r="AQ60">
            <v>0.125</v>
          </cell>
          <cell r="AR60">
            <v>0.125</v>
          </cell>
          <cell r="AS60">
            <v>0.125</v>
          </cell>
          <cell r="AT60">
            <v>0.125</v>
          </cell>
          <cell r="AY60">
            <v>0.125</v>
          </cell>
          <cell r="BD60">
            <v>0.125</v>
          </cell>
          <cell r="BI60">
            <v>0.125</v>
          </cell>
          <cell r="BN60">
            <v>0.125</v>
          </cell>
          <cell r="BS60">
            <v>0.125</v>
          </cell>
          <cell r="BT60">
            <v>0.125</v>
          </cell>
          <cell r="BU60">
            <v>0.125</v>
          </cell>
          <cell r="BV60">
            <v>0.125</v>
          </cell>
          <cell r="BW60">
            <v>0.125</v>
          </cell>
          <cell r="BX60">
            <v>0.125</v>
          </cell>
          <cell r="BY60">
            <v>0.125</v>
          </cell>
          <cell r="BZ60">
            <v>0.125</v>
          </cell>
          <cell r="CA60">
            <v>0.125</v>
          </cell>
          <cell r="CB60">
            <v>0.125</v>
          </cell>
          <cell r="CC60">
            <v>0.125</v>
          </cell>
        </row>
        <row r="61">
          <cell r="A61" t="str">
            <v>Revenue per Customer</v>
          </cell>
          <cell r="B61">
            <v>79.683168316831683</v>
          </cell>
          <cell r="C61">
            <v>75.88122605363985</v>
          </cell>
          <cell r="D61">
            <v>80.73713610484478</v>
          </cell>
          <cell r="E61">
            <v>104.05938697318008</v>
          </cell>
          <cell r="F61">
            <v>298.44153110047847</v>
          </cell>
          <cell r="G61">
            <v>81.012089157536835</v>
          </cell>
          <cell r="H61">
            <v>71.332840236686394</v>
          </cell>
          <cell r="I61">
            <v>74.449035311248636</v>
          </cell>
          <cell r="J61">
            <v>92.190305206463194</v>
          </cell>
          <cell r="K61">
            <v>310.98621553884709</v>
          </cell>
          <cell r="L61">
            <v>75.067522058328279</v>
          </cell>
          <cell r="M61">
            <v>70.892692256958185</v>
          </cell>
          <cell r="N61">
            <v>72.662057324634006</v>
          </cell>
          <cell r="O61">
            <v>92.70245271584858</v>
          </cell>
          <cell r="P61">
            <v>302.84776214325461</v>
          </cell>
          <cell r="Q61">
            <v>80.101875831468988</v>
          </cell>
          <cell r="R61">
            <v>75.59548189170215</v>
          </cell>
          <cell r="S61">
            <v>81.610067759058978</v>
          </cell>
          <cell r="T61">
            <v>105.66579502520705</v>
          </cell>
          <cell r="U61">
            <v>337.08285385500574</v>
          </cell>
          <cell r="V61">
            <v>76.446101273687475</v>
          </cell>
          <cell r="W61">
            <v>73.54918285538082</v>
          </cell>
          <cell r="X61">
            <v>78.328248932275784</v>
          </cell>
          <cell r="Y61">
            <v>101.96790796245837</v>
          </cell>
          <cell r="Z61">
            <v>328.20700152207002</v>
          </cell>
          <cell r="AA61">
            <v>83.212899372947149</v>
          </cell>
          <cell r="AB61">
            <v>77.881029890500145</v>
          </cell>
          <cell r="AC61">
            <v>83.123720386077807</v>
          </cell>
          <cell r="AD61">
            <v>114.11866859623734</v>
          </cell>
          <cell r="AE61">
            <v>356.2978102189781</v>
          </cell>
          <cell r="AF61">
            <v>86.124893071000855</v>
          </cell>
          <cell r="AG61">
            <v>85.586655357647729</v>
          </cell>
          <cell r="AH61">
            <v>86.852007862959837</v>
          </cell>
          <cell r="AI61">
            <v>121.05702364394993</v>
          </cell>
          <cell r="AJ61">
            <v>375.31015299026433</v>
          </cell>
          <cell r="AK61">
            <v>92.491073880801977</v>
          </cell>
          <cell r="AL61">
            <v>91.134693877551015</v>
          </cell>
          <cell r="AM61">
            <v>91.103280021686089</v>
          </cell>
          <cell r="AN61">
            <v>123.81208053691275</v>
          </cell>
          <cell r="AO61">
            <v>393.29585006693435</v>
          </cell>
          <cell r="AP61">
            <v>90.332889480692415</v>
          </cell>
          <cell r="AQ61">
            <v>91.048323210984947</v>
          </cell>
          <cell r="AR61">
            <v>95.129998680216445</v>
          </cell>
          <cell r="AS61">
            <v>129.84348283572274</v>
          </cell>
          <cell r="AT61">
            <v>395.71480489240378</v>
          </cell>
          <cell r="AY61">
            <v>419.75222606916259</v>
          </cell>
          <cell r="BD61">
            <v>471.83681453904251</v>
          </cell>
          <cell r="BI61">
            <v>501.38191013759763</v>
          </cell>
          <cell r="BN61">
            <v>513.45738830844232</v>
          </cell>
          <cell r="BS61">
            <v>474.84820582256094</v>
          </cell>
          <cell r="BT61">
            <v>446.88306459541303</v>
          </cell>
          <cell r="BU61">
            <v>446.88306459541297</v>
          </cell>
          <cell r="BV61">
            <v>458.0551412102983</v>
          </cell>
          <cell r="BW61">
            <v>469.50651974055569</v>
          </cell>
          <cell r="BX61">
            <v>481.24418273406962</v>
          </cell>
          <cell r="BY61">
            <v>493.2752873024213</v>
          </cell>
          <cell r="BZ61">
            <v>505.6071694849818</v>
          </cell>
          <cell r="CA61">
            <v>518.24734872210638</v>
          </cell>
          <cell r="CB61">
            <v>531.20353244015882</v>
          </cell>
          <cell r="CC61">
            <v>544.48362075116279</v>
          </cell>
        </row>
        <row r="62">
          <cell r="G62">
            <v>1.6677560252388313E-2</v>
          </cell>
          <cell r="H62">
            <v>-5.9940858279467379E-2</v>
          </cell>
          <cell r="I62">
            <v>-7.7883624524784367E-2</v>
          </cell>
          <cell r="J62">
            <v>-0.1140606543240158</v>
          </cell>
          <cell r="K62">
            <v>4.2033976947213558E-2</v>
          </cell>
          <cell r="L62">
            <v>-7.3378765577180705E-2</v>
          </cell>
          <cell r="M62">
            <v>-6.1703414341525153E-3</v>
          </cell>
          <cell r="N62">
            <v>-2.4002701702497853E-2</v>
          </cell>
          <cell r="O62">
            <v>5.5553293617849331E-3</v>
          </cell>
          <cell r="P62">
            <v>-2.6169820361622631E-2</v>
          </cell>
          <cell r="Q62">
            <v>6.7064339345435764E-2</v>
          </cell>
          <cell r="R62">
            <v>6.6336733519700486E-2</v>
          </cell>
          <cell r="S62">
            <v>0.12314556955699363</v>
          </cell>
          <cell r="T62">
            <v>0.13983818043189955</v>
          </cell>
          <cell r="U62">
            <v>0.11304389858940755</v>
          </cell>
          <cell r="V62">
            <v>-4.5639063003631852E-2</v>
          </cell>
          <cell r="W62">
            <v>-2.706906530806763E-2</v>
          </cell>
          <cell r="X62">
            <v>-4.0213406469312707E-2</v>
          </cell>
          <cell r="Y62">
            <v>-3.499606530066357E-2</v>
          </cell>
          <cell r="Z62">
            <v>-2.6331366996060868E-2</v>
          </cell>
          <cell r="AA62">
            <v>8.8517242691469766E-2</v>
          </cell>
          <cell r="AB62">
            <v>5.8897282973721099E-2</v>
          </cell>
          <cell r="AC62">
            <v>6.1222758317351023E-2</v>
          </cell>
          <cell r="AD62">
            <v>0.11916259612046298</v>
          </cell>
          <cell r="AE62">
            <v>8.5588694228447615E-2</v>
          </cell>
          <cell r="AF62">
            <v>3.4994498689471243E-2</v>
          </cell>
          <cell r="AG62">
            <v>9.8940980595423555E-2</v>
          </cell>
          <cell r="AH62">
            <v>4.4852269118436539E-2</v>
          </cell>
          <cell r="AI62">
            <v>6.0799474205759818E-2</v>
          </cell>
          <cell r="AJ62">
            <v>5.3360818467004911E-2</v>
          </cell>
          <cell r="AK62">
            <v>7.3918011190479804E-2</v>
          </cell>
          <cell r="AL62">
            <v>6.4823639815334122E-2</v>
          </cell>
          <cell r="AM62">
            <v>4.8948461449897174E-2</v>
          </cell>
          <cell r="AN62">
            <v>2.2758339913146353E-2</v>
          </cell>
          <cell r="AO62">
            <v>4.7922223615241677E-2</v>
          </cell>
          <cell r="AP62">
            <v>-2.3333974940013436E-2</v>
          </cell>
          <cell r="AQ62">
            <v>-9.4772542586374353E-4</v>
          </cell>
          <cell r="AR62">
            <v>4.4199491583309047E-2</v>
          </cell>
          <cell r="AS62">
            <v>4.8714166442036522E-2</v>
          </cell>
          <cell r="AT62">
            <v>6.1504712675146678E-3</v>
          </cell>
          <cell r="AY62">
            <v>6.0744305948559729E-2</v>
          </cell>
          <cell r="BD62">
            <v>0.12408412686130199</v>
          </cell>
          <cell r="BI62">
            <v>6.2617190283083435E-2</v>
          </cell>
          <cell r="BN62">
            <v>2.4084391412388051E-2</v>
          </cell>
          <cell r="BS62">
            <v>-7.5194521230042555E-2</v>
          </cell>
          <cell r="BT62">
            <v>-5.8892801708505971E-2</v>
          </cell>
          <cell r="BU62">
            <v>0</v>
          </cell>
          <cell r="BV62">
            <v>2.4999999999999911E-2</v>
          </cell>
          <cell r="BW62">
            <v>2.4999999999999911E-2</v>
          </cell>
          <cell r="BX62">
            <v>2.5000000000000133E-2</v>
          </cell>
          <cell r="BY62">
            <v>2.4999999999999911E-2</v>
          </cell>
          <cell r="BZ62">
            <v>2.4999999999999911E-2</v>
          </cell>
          <cell r="CA62">
            <v>2.5000000000000133E-2</v>
          </cell>
          <cell r="CB62">
            <v>2.4999999999999689E-2</v>
          </cell>
          <cell r="CC62">
            <v>2.4999999999999911E-2</v>
          </cell>
        </row>
        <row r="63">
          <cell r="A63" t="str">
            <v>Reported Sales per Avg. FTE</v>
          </cell>
          <cell r="B63">
            <v>6.9</v>
          </cell>
          <cell r="C63">
            <v>6.47</v>
          </cell>
          <cell r="D63">
            <v>6.85</v>
          </cell>
          <cell r="E63">
            <v>8.9499999999999993</v>
          </cell>
          <cell r="F63">
            <v>29.169999999999998</v>
          </cell>
          <cell r="G63">
            <v>7.63</v>
          </cell>
          <cell r="H63">
            <v>6.7</v>
          </cell>
          <cell r="I63">
            <v>6.95</v>
          </cell>
          <cell r="J63">
            <v>8.6999999999999993</v>
          </cell>
          <cell r="K63">
            <v>30.67</v>
          </cell>
          <cell r="L63">
            <v>7.4</v>
          </cell>
          <cell r="O63">
            <v>9.1199999999999992</v>
          </cell>
          <cell r="P63">
            <v>30.87</v>
          </cell>
        </row>
        <row r="64">
          <cell r="G64">
            <v>0.10579710144927534</v>
          </cell>
          <cell r="H64">
            <v>3.5548686244204042E-2</v>
          </cell>
          <cell r="I64">
            <v>1.4598540145985384E-2</v>
          </cell>
          <cell r="J64">
            <v>-2.7932960893854775E-2</v>
          </cell>
          <cell r="L64">
            <v>-3.0144167758846652E-2</v>
          </cell>
          <cell r="O64">
            <v>4.8275862068965614E-2</v>
          </cell>
          <cell r="P64">
            <v>6.5210303227909439E-3</v>
          </cell>
        </row>
        <row r="65">
          <cell r="A65" t="str">
            <v>Multichannel subscribers (thousands)</v>
          </cell>
          <cell r="AO65" t="str">
            <v>2002</v>
          </cell>
          <cell r="AT65" t="str">
            <v>2003</v>
          </cell>
          <cell r="AY65" t="str">
            <v>2004</v>
          </cell>
          <cell r="BD65" t="str">
            <v>2005</v>
          </cell>
          <cell r="BI65" t="str">
            <v>2006</v>
          </cell>
          <cell r="BN65" t="str">
            <v>2007</v>
          </cell>
          <cell r="BS65" t="str">
            <v>2008E</v>
          </cell>
          <cell r="BT65" t="str">
            <v>2009E</v>
          </cell>
          <cell r="BU65" t="str">
            <v>2010E</v>
          </cell>
          <cell r="BV65" t="str">
            <v>2011E</v>
          </cell>
          <cell r="BW65" t="str">
            <v>2012E</v>
          </cell>
          <cell r="BX65" t="str">
            <v>2013E</v>
          </cell>
          <cell r="BY65" t="str">
            <v>2014E</v>
          </cell>
          <cell r="BZ65" t="str">
            <v>2015E</v>
          </cell>
          <cell r="CA65" t="str">
            <v>2016E</v>
          </cell>
          <cell r="CB65" t="str">
            <v>2017E</v>
          </cell>
          <cell r="CC65" t="str">
            <v>2018E</v>
          </cell>
        </row>
        <row r="66">
          <cell r="A66" t="str">
            <v>CATV</v>
          </cell>
          <cell r="AO66">
            <v>64394.394706232692</v>
          </cell>
          <cell r="AT66">
            <v>64327.991734303767</v>
          </cell>
          <cell r="AY66">
            <v>63847.696874187117</v>
          </cell>
          <cell r="BD66">
            <v>63557.093911387608</v>
          </cell>
          <cell r="BI66">
            <v>63626.65907151682</v>
          </cell>
          <cell r="BN66">
            <v>63010.161073289069</v>
          </cell>
          <cell r="BS66">
            <v>61505.365991524595</v>
          </cell>
          <cell r="BT66">
            <v>59824.531081597845</v>
          </cell>
          <cell r="BU66">
            <v>58259.747559007395</v>
          </cell>
          <cell r="BV66">
            <v>57050.999803817002</v>
          </cell>
          <cell r="BW66">
            <v>56384.744594738382</v>
          </cell>
          <cell r="BX66">
            <v>55808.811696758246</v>
          </cell>
          <cell r="BY66">
            <v>55295.658816704905</v>
          </cell>
          <cell r="BZ66">
            <v>54826.500242075177</v>
          </cell>
          <cell r="CA66">
            <v>54475.430367410911</v>
          </cell>
          <cell r="CB66">
            <v>54151.02364915533</v>
          </cell>
          <cell r="CC66">
            <v>54800.835932945192</v>
          </cell>
        </row>
        <row r="67">
          <cell r="A67" t="str">
            <v>DBS</v>
          </cell>
          <cell r="AO67">
            <v>19357</v>
          </cell>
          <cell r="AT67">
            <v>21630</v>
          </cell>
          <cell r="AY67">
            <v>24943</v>
          </cell>
          <cell r="BD67">
            <v>27173</v>
          </cell>
          <cell r="BI67">
            <v>29058</v>
          </cell>
          <cell r="BN67">
            <v>30611</v>
          </cell>
          <cell r="BS67">
            <v>31716</v>
          </cell>
          <cell r="BT67">
            <v>32541.21032075441</v>
          </cell>
          <cell r="BU67">
            <v>33214.063961338601</v>
          </cell>
          <cell r="BV67">
            <v>33742.669438121331</v>
          </cell>
          <cell r="BW67">
            <v>34169.576272147548</v>
          </cell>
          <cell r="BX67">
            <v>34513.254149997709</v>
          </cell>
          <cell r="BY67">
            <v>34789.508652409371</v>
          </cell>
          <cell r="BZ67">
            <v>35011.7814693849</v>
          </cell>
          <cell r="CA67">
            <v>35223.697797321292</v>
          </cell>
          <cell r="CB67">
            <v>35312.949521105475</v>
          </cell>
          <cell r="CC67">
            <v>35736.704915358743</v>
          </cell>
        </row>
        <row r="68">
          <cell r="A68" t="str">
            <v>Overlap</v>
          </cell>
          <cell r="AO68">
            <v>-5760.8064808105637</v>
          </cell>
          <cell r="AT68">
            <v>-3890.8761269820425</v>
          </cell>
          <cell r="AY68">
            <v>-2848.5484574286602</v>
          </cell>
          <cell r="BD68">
            <v>-2129.266095912626</v>
          </cell>
          <cell r="BI68">
            <v>-1750.0465125792939</v>
          </cell>
          <cell r="BN68">
            <v>-1446.9605708026047</v>
          </cell>
          <cell r="BS68">
            <v>-1073.9170967889813</v>
          </cell>
          <cell r="BT68">
            <v>-865.13260970669444</v>
          </cell>
          <cell r="BU68">
            <v>-784.4860983041707</v>
          </cell>
          <cell r="BV68">
            <v>-691.03369133180638</v>
          </cell>
          <cell r="BW68">
            <v>-596.64472357961597</v>
          </cell>
          <cell r="BX68">
            <v>-500.12526790307135</v>
          </cell>
          <cell r="BY68">
            <v>-402.05780730264706</v>
          </cell>
          <cell r="BZ68">
            <v>-303.22091558270267</v>
          </cell>
          <cell r="CA68">
            <v>-202.48554141109506</v>
          </cell>
          <cell r="CB68">
            <v>-101.18961830939139</v>
          </cell>
          <cell r="CC68">
            <v>-102.40389372910408</v>
          </cell>
        </row>
        <row r="69">
          <cell r="A69" t="str">
            <v>Other</v>
          </cell>
          <cell r="AO69">
            <v>8003.8097195842211</v>
          </cell>
          <cell r="AT69">
            <v>6826.8542043269808</v>
          </cell>
          <cell r="AY69">
            <v>3601.8213948902485</v>
          </cell>
          <cell r="BD69">
            <v>1793.8679757765021</v>
          </cell>
          <cell r="BI69">
            <v>1536.5457513670876</v>
          </cell>
          <cell r="BN69">
            <v>2020.6630317474185</v>
          </cell>
          <cell r="BS69">
            <v>3757.5285072698725</v>
          </cell>
          <cell r="BT69">
            <v>5513.7408875831779</v>
          </cell>
          <cell r="BU69">
            <v>7360.9130978338617</v>
          </cell>
          <cell r="BV69">
            <v>9155.2395829989036</v>
          </cell>
          <cell r="BW69">
            <v>10628.19647280627</v>
          </cell>
          <cell r="BX69">
            <v>12075.253106152602</v>
          </cell>
          <cell r="BY69">
            <v>13393.752179319566</v>
          </cell>
          <cell r="BZ69">
            <v>14595.065818878846</v>
          </cell>
          <cell r="CA69">
            <v>15712.271025034896</v>
          </cell>
          <cell r="CB69">
            <v>16720.732326999907</v>
          </cell>
          <cell r="CC69">
            <v>16921.381114923905</v>
          </cell>
        </row>
        <row r="70">
          <cell r="A70" t="str">
            <v>Total U.S. Multichannel Subscribers</v>
          </cell>
          <cell r="AO70">
            <v>86000</v>
          </cell>
          <cell r="AT70">
            <v>88900</v>
          </cell>
          <cell r="AY70">
            <v>89500</v>
          </cell>
          <cell r="BD70">
            <v>90394.695791251492</v>
          </cell>
          <cell r="BI70">
            <v>92471.158310304614</v>
          </cell>
          <cell r="BN70">
            <v>94194.863534233882</v>
          </cell>
          <cell r="BS70">
            <v>95904.97740200549</v>
          </cell>
          <cell r="BT70">
            <v>97014.349680228741</v>
          </cell>
          <cell r="BU70">
            <v>98050.238519875697</v>
          </cell>
          <cell r="BV70">
            <v>99257.875133605441</v>
          </cell>
          <cell r="BW70">
            <v>100585.87261611258</v>
          </cell>
          <cell r="BX70">
            <v>101897.19368500548</v>
          </cell>
          <cell r="BY70">
            <v>103076.86184113119</v>
          </cell>
          <cell r="BZ70">
            <v>104130.12661475623</v>
          </cell>
          <cell r="CA70">
            <v>105208.913648356</v>
          </cell>
          <cell r="CB70">
            <v>106083.51587895132</v>
          </cell>
          <cell r="CC70">
            <v>107356.51806949874</v>
          </cell>
        </row>
        <row r="71">
          <cell r="A71" t="str">
            <v>Growth in U.S. Multichannel Subs</v>
          </cell>
          <cell r="AT71">
            <v>3.3720930232558066E-2</v>
          </cell>
          <cell r="AY71">
            <v>6.7491563554555878E-3</v>
          </cell>
          <cell r="BD71">
            <v>9.9966010195697841E-3</v>
          </cell>
          <cell r="BI71">
            <v>2.2971065955554426E-2</v>
          </cell>
          <cell r="BN71">
            <v>1.8640463204159685E-2</v>
          </cell>
          <cell r="BS71">
            <v>1.815506497496111E-2</v>
          </cell>
          <cell r="BT71">
            <v>1.1567410871420103E-2</v>
          </cell>
          <cell r="BU71">
            <v>1.0677686786144225E-2</v>
          </cell>
          <cell r="BV71">
            <v>1.2316508679220961E-2</v>
          </cell>
          <cell r="BW71">
            <v>1.3379265682643249E-2</v>
          </cell>
          <cell r="BX71">
            <v>1.3036831463376197E-2</v>
          </cell>
          <cell r="BY71">
            <v>1.1577042639392188E-2</v>
          </cell>
          <cell r="BZ71">
            <v>1.0218246411579646E-2</v>
          </cell>
          <cell r="CA71">
            <v>1.0359989646328671E-2</v>
          </cell>
          <cell r="CB71">
            <v>8.3130050512500997E-3</v>
          </cell>
          <cell r="CC71">
            <v>1.2000000000000011E-2</v>
          </cell>
        </row>
        <row r="72">
          <cell r="A72" t="str">
            <v>Market share in subscribers</v>
          </cell>
          <cell r="AO72">
            <v>0.88255813953488371</v>
          </cell>
          <cell r="AT72">
            <v>0.89500000000000002</v>
          </cell>
          <cell r="AY72">
            <v>0.87463687150837988</v>
          </cell>
          <cell r="BD72">
            <v>0.87463687150837988</v>
          </cell>
          <cell r="BI72">
            <v>0.86463687150837987</v>
          </cell>
          <cell r="BN72">
            <v>0.86463687150837987</v>
          </cell>
          <cell r="BS72">
            <v>0.86463687150837987</v>
          </cell>
          <cell r="BT72">
            <v>0.86463687150837987</v>
          </cell>
          <cell r="BU72">
            <v>0.86463687150837987</v>
          </cell>
          <cell r="BV72">
            <v>0.86463687150837987</v>
          </cell>
          <cell r="BW72">
            <v>0.86463687150837987</v>
          </cell>
          <cell r="BX72">
            <v>0.86463687150837987</v>
          </cell>
          <cell r="BY72">
            <v>0.86463687150837987</v>
          </cell>
          <cell r="BZ72">
            <v>0.86463687150837987</v>
          </cell>
          <cell r="CA72">
            <v>0.86463687150837987</v>
          </cell>
          <cell r="CB72">
            <v>0.86463687150837987</v>
          </cell>
          <cell r="CC72">
            <v>0.86463687150837987</v>
          </cell>
        </row>
        <row r="73">
          <cell r="A73" t="str">
            <v>Total Subscribers</v>
          </cell>
          <cell r="AO73">
            <v>85578.5</v>
          </cell>
          <cell r="AT73">
            <v>90380.5</v>
          </cell>
          <cell r="AY73">
            <v>90751.5</v>
          </cell>
          <cell r="BD73">
            <v>92649.033927811921</v>
          </cell>
          <cell r="BI73">
            <v>94482.973026177904</v>
          </cell>
          <cell r="BN73">
            <v>97639.580271720144</v>
          </cell>
          <cell r="BS73">
            <v>99686.860848706885</v>
          </cell>
          <cell r="BT73">
            <v>101069.14888540417</v>
          </cell>
          <cell r="BU73">
            <v>102311.02799551326</v>
          </cell>
          <cell r="BV73">
            <v>103630.90474466537</v>
          </cell>
          <cell r="BW73">
            <v>105005.13749956296</v>
          </cell>
          <cell r="BX73">
            <v>106323.17921534099</v>
          </cell>
          <cell r="BY73">
            <v>107492.43373841922</v>
          </cell>
          <cell r="BZ73">
            <v>108524.2104362525</v>
          </cell>
          <cell r="CA73">
            <v>109573.11744995511</v>
          </cell>
          <cell r="CB73">
            <v>110382.21780183348</v>
          </cell>
          <cell r="CC73">
            <v>111706.80441545548</v>
          </cell>
        </row>
        <row r="74">
          <cell r="A74" t="str">
            <v>Market share in subscribers</v>
          </cell>
          <cell r="AO74">
            <v>0.99509883720930237</v>
          </cell>
          <cell r="AT74">
            <v>1.0166535433070867</v>
          </cell>
          <cell r="AY74">
            <v>1.0139832402234636</v>
          </cell>
          <cell r="BD74">
            <v>1.024938832050128</v>
          </cell>
          <cell r="BI74">
            <v>1.02175613188625</v>
          </cell>
          <cell r="BN74">
            <v>1.0365701122995346</v>
          </cell>
          <cell r="BS74">
            <v>1.039433651403189</v>
          </cell>
          <cell r="BT74">
            <v>1.0417958705958505</v>
          </cell>
          <cell r="BU74">
            <v>1.0434551668609542</v>
          </cell>
          <cell r="BV74">
            <v>1.0440572559625485</v>
          </cell>
          <cell r="BW74">
            <v>1.0439352442695067</v>
          </cell>
          <cell r="BX74">
            <v>1.0434357941595287</v>
          </cell>
          <cell r="BY74">
            <v>1.0428376632584488</v>
          </cell>
          <cell r="BZ74">
            <v>1.0421980070931134</v>
          </cell>
          <cell r="CA74">
            <v>1.0414813122791646</v>
          </cell>
          <cell r="CB74">
            <v>1.0405218651292372</v>
          </cell>
          <cell r="CC74">
            <v>1.0405218651292372</v>
          </cell>
        </row>
        <row r="76">
          <cell r="A76" t="str">
            <v>Revenue Breakdown</v>
          </cell>
        </row>
        <row r="77">
          <cell r="A77" t="str">
            <v>Jewelry</v>
          </cell>
          <cell r="B77">
            <v>0.35699999999999998</v>
          </cell>
          <cell r="C77">
            <v>0.37</v>
          </cell>
          <cell r="D77">
            <v>0.38200000000000001</v>
          </cell>
          <cell r="E77">
            <v>0.30299999999999999</v>
          </cell>
          <cell r="F77">
            <v>0.3489682484511244</v>
          </cell>
          <cell r="G77">
            <v>0.38600000000000001</v>
          </cell>
          <cell r="H77">
            <v>0.37</v>
          </cell>
          <cell r="I77">
            <v>0.38900000000000001</v>
          </cell>
          <cell r="J77">
            <v>0.31</v>
          </cell>
          <cell r="K77">
            <v>0.36068800157037112</v>
          </cell>
          <cell r="L77">
            <v>0.35499999999999998</v>
          </cell>
          <cell r="M77">
            <v>0.36499999999999999</v>
          </cell>
          <cell r="N77">
            <v>0.36</v>
          </cell>
          <cell r="O77">
            <v>0.27</v>
          </cell>
          <cell r="P77">
            <v>0.33249192680866529</v>
          </cell>
          <cell r="Q77">
            <v>0.35</v>
          </cell>
          <cell r="R77">
            <v>0.36</v>
          </cell>
          <cell r="S77">
            <v>0.35399999999999998</v>
          </cell>
          <cell r="T77">
            <v>0.25600000000000001</v>
          </cell>
          <cell r="U77">
            <v>0.32372680608365018</v>
          </cell>
          <cell r="V77">
            <v>0.33</v>
          </cell>
          <cell r="W77">
            <v>0.33</v>
          </cell>
          <cell r="X77">
            <v>0.33</v>
          </cell>
          <cell r="Y77">
            <v>0.33</v>
          </cell>
          <cell r="Z77">
            <v>0.33</v>
          </cell>
          <cell r="AA77">
            <v>0.31</v>
          </cell>
          <cell r="AB77">
            <v>0.31</v>
          </cell>
          <cell r="AC77">
            <v>0.32</v>
          </cell>
          <cell r="AD77">
            <v>0.32</v>
          </cell>
          <cell r="AE77">
            <v>0.31555985315327129</v>
          </cell>
          <cell r="AF77">
            <v>0.31555985315327129</v>
          </cell>
          <cell r="AG77">
            <v>0.26</v>
          </cell>
          <cell r="AH77">
            <v>0.26</v>
          </cell>
          <cell r="AI77">
            <v>0.26</v>
          </cell>
          <cell r="AJ77">
            <v>0.31555985315327129</v>
          </cell>
          <cell r="AK77">
            <v>0.31555985315327129</v>
          </cell>
          <cell r="AL77">
            <v>0.28999999999999998</v>
          </cell>
          <cell r="AM77">
            <v>0.28999999999999998</v>
          </cell>
          <cell r="AN77">
            <v>0.28999999999999998</v>
          </cell>
          <cell r="AO77">
            <v>0.31555985315327129</v>
          </cell>
          <cell r="AP77">
            <v>0.3</v>
          </cell>
          <cell r="AQ77">
            <v>0.3</v>
          </cell>
          <cell r="AR77">
            <v>0.3</v>
          </cell>
          <cell r="AS77">
            <v>0.30000000000000004</v>
          </cell>
          <cell r="AT77">
            <v>0.3</v>
          </cell>
          <cell r="AU77">
            <v>0.28000000000000003</v>
          </cell>
          <cell r="AV77">
            <v>0.24</v>
          </cell>
          <cell r="AW77">
            <v>0.18</v>
          </cell>
          <cell r="AX77">
            <v>0.1616109873793615</v>
          </cell>
          <cell r="AY77">
            <v>0.21</v>
          </cell>
          <cell r="AZ77">
            <v>0.24</v>
          </cell>
          <cell r="BA77">
            <v>0.24</v>
          </cell>
          <cell r="BB77">
            <v>0.24</v>
          </cell>
          <cell r="BC77">
            <v>0.24</v>
          </cell>
          <cell r="BD77">
            <v>0.24</v>
          </cell>
          <cell r="BE77">
            <v>0.21</v>
          </cell>
          <cell r="BF77">
            <v>0.23</v>
          </cell>
          <cell r="BG77">
            <v>0.21</v>
          </cell>
          <cell r="BH77">
            <v>0.21</v>
          </cell>
          <cell r="BI77">
            <v>0.21457555689343766</v>
          </cell>
          <cell r="BJ77">
            <v>0.21</v>
          </cell>
          <cell r="BK77">
            <v>0.21</v>
          </cell>
          <cell r="BL77">
            <v>0.21</v>
          </cell>
          <cell r="BM77">
            <v>0.21</v>
          </cell>
          <cell r="BN77">
            <v>0.20999999999999996</v>
          </cell>
          <cell r="BO77">
            <v>0.21</v>
          </cell>
          <cell r="BP77">
            <v>0.21</v>
          </cell>
          <cell r="BQ77">
            <v>0.21</v>
          </cell>
          <cell r="BR77">
            <v>0.21</v>
          </cell>
          <cell r="BS77">
            <v>0.20999999999999996</v>
          </cell>
          <cell r="BT77">
            <v>0.20999999999999996</v>
          </cell>
          <cell r="BU77">
            <v>0.20999999999999996</v>
          </cell>
          <cell r="BV77">
            <v>0.20999999999999996</v>
          </cell>
          <cell r="BW77">
            <v>0.20999999999999996</v>
          </cell>
          <cell r="BX77">
            <v>0.20999999999999996</v>
          </cell>
          <cell r="BY77">
            <v>0.20999999999999996</v>
          </cell>
          <cell r="BZ77">
            <v>0.20999999999999996</v>
          </cell>
          <cell r="CA77">
            <v>0.20999999999999996</v>
          </cell>
          <cell r="CB77">
            <v>0.20999999999999996</v>
          </cell>
          <cell r="CC77">
            <v>0.20999999999999996</v>
          </cell>
        </row>
        <row r="78">
          <cell r="A78" t="str">
            <v>Apparel &amp; Accessories</v>
          </cell>
          <cell r="B78">
            <v>0.16600000000000001</v>
          </cell>
          <cell r="C78">
            <v>0.21299999999999999</v>
          </cell>
          <cell r="D78">
            <v>0.151</v>
          </cell>
          <cell r="E78">
            <v>0.161</v>
          </cell>
          <cell r="F78">
            <v>0.17120426624563842</v>
          </cell>
          <cell r="G78">
            <v>0.14599999999999999</v>
          </cell>
          <cell r="H78">
            <v>0.18</v>
          </cell>
          <cell r="I78">
            <v>0.157</v>
          </cell>
          <cell r="J78">
            <v>0.191</v>
          </cell>
          <cell r="K78">
            <v>0.16944208594558155</v>
          </cell>
          <cell r="L78">
            <v>0.16899999999999998</v>
          </cell>
          <cell r="M78">
            <v>0.215</v>
          </cell>
          <cell r="N78">
            <v>0.2</v>
          </cell>
          <cell r="O78">
            <v>0.183</v>
          </cell>
          <cell r="P78">
            <v>0.19094217542253333</v>
          </cell>
          <cell r="Q78">
            <v>0.19</v>
          </cell>
          <cell r="R78">
            <v>0.19500000000000001</v>
          </cell>
          <cell r="S78">
            <v>0.192</v>
          </cell>
          <cell r="T78">
            <v>0.16800000000000001</v>
          </cell>
          <cell r="U78">
            <v>0.18468778517110265</v>
          </cell>
          <cell r="V78">
            <v>0.21</v>
          </cell>
          <cell r="W78">
            <v>0.21</v>
          </cell>
          <cell r="X78">
            <v>0.21</v>
          </cell>
          <cell r="Y78">
            <v>0.21</v>
          </cell>
          <cell r="Z78">
            <v>0.20999999999999994</v>
          </cell>
          <cell r="AA78">
            <v>0.22</v>
          </cell>
          <cell r="AB78">
            <v>0.22</v>
          </cell>
          <cell r="AC78">
            <v>0.22</v>
          </cell>
          <cell r="AD78">
            <v>0.22</v>
          </cell>
          <cell r="AE78">
            <v>0.22</v>
          </cell>
          <cell r="AF78">
            <v>0.22</v>
          </cell>
          <cell r="AG78">
            <v>0.22</v>
          </cell>
          <cell r="AH78">
            <v>0.22</v>
          </cell>
          <cell r="AI78">
            <v>0.22</v>
          </cell>
          <cell r="AJ78">
            <v>0.22</v>
          </cell>
          <cell r="AK78">
            <v>0.22</v>
          </cell>
          <cell r="AL78">
            <v>0.22</v>
          </cell>
          <cell r="AM78">
            <v>0.22</v>
          </cell>
          <cell r="AN78">
            <v>0.22</v>
          </cell>
          <cell r="AO78">
            <v>0.22</v>
          </cell>
          <cell r="AP78">
            <v>0.22</v>
          </cell>
          <cell r="AQ78">
            <v>0.22</v>
          </cell>
          <cell r="AR78">
            <v>0.22</v>
          </cell>
          <cell r="AS78">
            <v>0.21999999999999992</v>
          </cell>
          <cell r="AT78">
            <v>0.22</v>
          </cell>
          <cell r="AU78">
            <v>0.22</v>
          </cell>
          <cell r="AV78">
            <v>0.24</v>
          </cell>
          <cell r="AW78">
            <v>0.36</v>
          </cell>
          <cell r="AX78">
            <v>0.41674832962138092</v>
          </cell>
          <cell r="AY78">
            <v>0.32</v>
          </cell>
          <cell r="AZ78">
            <v>0.34</v>
          </cell>
          <cell r="BA78">
            <v>0.34</v>
          </cell>
          <cell r="BB78">
            <v>0.34</v>
          </cell>
          <cell r="BC78">
            <v>0.34</v>
          </cell>
          <cell r="BD78">
            <v>0.34</v>
          </cell>
          <cell r="BE78">
            <v>0.35</v>
          </cell>
          <cell r="BF78">
            <v>0.33</v>
          </cell>
          <cell r="BG78">
            <v>0.35</v>
          </cell>
          <cell r="BH78">
            <v>0.35</v>
          </cell>
          <cell r="BI78">
            <v>0.34542444310656228</v>
          </cell>
          <cell r="BJ78">
            <v>0.35</v>
          </cell>
          <cell r="BK78">
            <v>0.35</v>
          </cell>
          <cell r="BL78">
            <v>0.35</v>
          </cell>
          <cell r="BM78">
            <v>0.35</v>
          </cell>
          <cell r="BN78">
            <v>0.34999999999999992</v>
          </cell>
          <cell r="BO78">
            <v>0.35</v>
          </cell>
          <cell r="BP78">
            <v>0.35</v>
          </cell>
          <cell r="BQ78">
            <v>0.35</v>
          </cell>
          <cell r="BR78">
            <v>0.35</v>
          </cell>
          <cell r="BS78">
            <v>0.34999999999999992</v>
          </cell>
          <cell r="BT78">
            <v>0.34999999999999992</v>
          </cell>
          <cell r="BU78">
            <v>0.34999999999999992</v>
          </cell>
          <cell r="BV78">
            <v>0.34999999999999992</v>
          </cell>
          <cell r="BW78">
            <v>0.34999999999999992</v>
          </cell>
          <cell r="BX78">
            <v>0.34999999999999992</v>
          </cell>
          <cell r="BY78">
            <v>0.34999999999999992</v>
          </cell>
          <cell r="BZ78">
            <v>0.34999999999999992</v>
          </cell>
          <cell r="CA78">
            <v>0.34999999999999992</v>
          </cell>
          <cell r="CB78">
            <v>0.34999999999999992</v>
          </cell>
          <cell r="CC78">
            <v>0.34999999999999992</v>
          </cell>
        </row>
        <row r="79">
          <cell r="A79" t="str">
            <v>Housewares/Home</v>
          </cell>
          <cell r="B79">
            <v>0.29299999999999998</v>
          </cell>
          <cell r="C79">
            <v>0.245</v>
          </cell>
          <cell r="D79">
            <v>0.28000000000000003</v>
          </cell>
          <cell r="E79">
            <v>0.29299999999999998</v>
          </cell>
          <cell r="F79">
            <v>0.27925945245379991</v>
          </cell>
          <cell r="G79">
            <v>0.26600000000000001</v>
          </cell>
          <cell r="H79">
            <v>0.22300000000000006</v>
          </cell>
          <cell r="I79">
            <v>0.254</v>
          </cell>
          <cell r="J79">
            <v>0.29900000000000004</v>
          </cell>
          <cell r="K79">
            <v>0.26338033547685918</v>
          </cell>
          <cell r="L79">
            <v>0.27200000000000008</v>
          </cell>
          <cell r="M79">
            <v>0.23000000000000007</v>
          </cell>
          <cell r="N79">
            <v>0.24000000000000007</v>
          </cell>
          <cell r="O79">
            <v>0.24200000000000008</v>
          </cell>
          <cell r="P79">
            <v>0.24584275507530873</v>
          </cell>
          <cell r="Q79">
            <v>0.25500000000000006</v>
          </cell>
          <cell r="R79">
            <v>0.24000000000000002</v>
          </cell>
          <cell r="S79">
            <v>0.24900000000000022</v>
          </cell>
          <cell r="T79">
            <v>0.37100000000000011</v>
          </cell>
          <cell r="U79">
            <v>0.28658540874524729</v>
          </cell>
          <cell r="V79">
            <v>0.25</v>
          </cell>
          <cell r="W79">
            <v>0.25</v>
          </cell>
          <cell r="X79">
            <v>0.25</v>
          </cell>
          <cell r="Y79">
            <v>0.25</v>
          </cell>
          <cell r="Z79">
            <v>0.25</v>
          </cell>
          <cell r="AA79">
            <v>0.25</v>
          </cell>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0.25</v>
          </cell>
          <cell r="AU79">
            <v>0.25</v>
          </cell>
          <cell r="AV79">
            <v>0.25</v>
          </cell>
          <cell r="AW79">
            <v>0.25</v>
          </cell>
          <cell r="AX79">
            <v>0.25</v>
          </cell>
          <cell r="AY79">
            <v>0.25</v>
          </cell>
          <cell r="AZ79">
            <v>0.2</v>
          </cell>
          <cell r="BA79">
            <v>0.2</v>
          </cell>
          <cell r="BB79">
            <v>0.2</v>
          </cell>
          <cell r="BC79">
            <v>0.2</v>
          </cell>
          <cell r="BD79">
            <v>0.2</v>
          </cell>
          <cell r="BE79">
            <v>0.21999999999341777</v>
          </cell>
          <cell r="BF79">
            <v>0.22000000000000008</v>
          </cell>
          <cell r="BG79">
            <v>0.21999999999999981</v>
          </cell>
          <cell r="BH79">
            <v>0.21999999999999559</v>
          </cell>
          <cell r="BI79">
            <v>0.21999999999856135</v>
          </cell>
          <cell r="BJ79">
            <v>0.21999999999067316</v>
          </cell>
          <cell r="BK79">
            <v>0.21999999999067316</v>
          </cell>
          <cell r="BL79">
            <v>0.21999999999067316</v>
          </cell>
          <cell r="BM79">
            <v>0.21999999999067316</v>
          </cell>
          <cell r="BN79">
            <v>0.21999999999067335</v>
          </cell>
          <cell r="BO79">
            <v>0.21999999999067316</v>
          </cell>
          <cell r="BP79">
            <v>0.21999999999067316</v>
          </cell>
          <cell r="BQ79">
            <v>0.21999999999067316</v>
          </cell>
          <cell r="BR79">
            <v>0.21999999999067316</v>
          </cell>
          <cell r="BS79">
            <v>0.21999999999067335</v>
          </cell>
          <cell r="BT79">
            <v>0.21999999999067335</v>
          </cell>
          <cell r="BU79">
            <v>0.21999999999067335</v>
          </cell>
          <cell r="BV79">
            <v>0.21999999999067335</v>
          </cell>
          <cell r="BW79">
            <v>0.21999999999067335</v>
          </cell>
          <cell r="BX79">
            <v>0.21999999999067335</v>
          </cell>
          <cell r="BY79">
            <v>0.21999999999067335</v>
          </cell>
          <cell r="BZ79">
            <v>0.21999999999067335</v>
          </cell>
          <cell r="CA79">
            <v>0.21999999999067335</v>
          </cell>
          <cell r="CB79">
            <v>0.21999999999067335</v>
          </cell>
          <cell r="CC79">
            <v>0.21999999999067335</v>
          </cell>
        </row>
        <row r="80">
          <cell r="A80" t="str">
            <v>Electronics</v>
          </cell>
          <cell r="B80">
            <v>0.113</v>
          </cell>
          <cell r="C80">
            <v>9.0999999999999998E-2</v>
          </cell>
          <cell r="D80">
            <v>8.7999999999999995E-2</v>
          </cell>
          <cell r="E80">
            <v>0.14099999999999999</v>
          </cell>
          <cell r="F80">
            <v>0.11089160468064722</v>
          </cell>
          <cell r="G80">
            <v>8.3000000000000004E-2</v>
          </cell>
          <cell r="H80">
            <v>0.10300000000000001</v>
          </cell>
          <cell r="I80">
            <v>0.09</v>
          </cell>
          <cell r="J80">
            <v>0.09</v>
          </cell>
          <cell r="K80">
            <v>9.1158688648024455E-2</v>
          </cell>
          <cell r="L80">
            <v>0.09</v>
          </cell>
          <cell r="M80">
            <v>0.11</v>
          </cell>
          <cell r="N80">
            <v>0.12</v>
          </cell>
          <cell r="O80">
            <v>0.17499999999999999</v>
          </cell>
          <cell r="P80">
            <v>0.12750628031548314</v>
          </cell>
          <cell r="Q80">
            <v>0.1</v>
          </cell>
          <cell r="R80">
            <v>0.1</v>
          </cell>
          <cell r="S80">
            <v>0.1</v>
          </cell>
          <cell r="T80">
            <v>0.1</v>
          </cell>
          <cell r="U80">
            <v>0.1</v>
          </cell>
          <cell r="V80">
            <v>0.1</v>
          </cell>
          <cell r="W80">
            <v>0.1</v>
          </cell>
          <cell r="X80">
            <v>0.1</v>
          </cell>
          <cell r="Y80">
            <v>0.1</v>
          </cell>
          <cell r="Z80">
            <v>0.1</v>
          </cell>
          <cell r="AA80">
            <v>0.1</v>
          </cell>
          <cell r="AB80">
            <v>0.1</v>
          </cell>
          <cell r="AC80">
            <v>0.1</v>
          </cell>
          <cell r="AD80">
            <v>0.1</v>
          </cell>
          <cell r="AE80">
            <v>9.9999999999999992E-2</v>
          </cell>
          <cell r="AF80">
            <v>9.9999999999999992E-2</v>
          </cell>
          <cell r="AG80">
            <v>9.9999999999999992E-2</v>
          </cell>
          <cell r="AH80">
            <v>9.9999999999999992E-2</v>
          </cell>
          <cell r="AI80">
            <v>9.9999999999999992E-2</v>
          </cell>
          <cell r="AJ80">
            <v>9.9999999999999992E-2</v>
          </cell>
          <cell r="AK80">
            <v>9.9999999999999992E-2</v>
          </cell>
          <cell r="AL80">
            <v>9.9999999999999992E-2</v>
          </cell>
          <cell r="AM80">
            <v>9.9999999999999992E-2</v>
          </cell>
          <cell r="AN80">
            <v>9.9999999999999992E-2</v>
          </cell>
          <cell r="AO80">
            <v>9.9999999999999992E-2</v>
          </cell>
          <cell r="AP80">
            <v>0.09</v>
          </cell>
          <cell r="AQ80">
            <v>0.09</v>
          </cell>
          <cell r="AR80">
            <v>0.09</v>
          </cell>
          <cell r="AS80">
            <v>9.0000000000000024E-2</v>
          </cell>
          <cell r="AT80">
            <v>0.09</v>
          </cell>
          <cell r="AU80">
            <v>0.09</v>
          </cell>
          <cell r="AV80">
            <v>0.09</v>
          </cell>
          <cell r="AW80">
            <v>0.09</v>
          </cell>
          <cell r="AX80">
            <v>9.0000000000000011E-2</v>
          </cell>
          <cell r="AY80">
            <v>0.09</v>
          </cell>
          <cell r="AZ80">
            <v>0.09</v>
          </cell>
          <cell r="BA80">
            <v>0.09</v>
          </cell>
          <cell r="BB80">
            <v>0.09</v>
          </cell>
          <cell r="BC80">
            <v>0.09</v>
          </cell>
          <cell r="BD80">
            <v>0.09</v>
          </cell>
          <cell r="BE80">
            <v>0.09</v>
          </cell>
          <cell r="BF80">
            <v>0.09</v>
          </cell>
          <cell r="BG80">
            <v>0.09</v>
          </cell>
          <cell r="BH80">
            <v>0.09</v>
          </cell>
          <cell r="BI80">
            <v>8.9999999999999983E-2</v>
          </cell>
          <cell r="BJ80">
            <v>0.09</v>
          </cell>
          <cell r="BK80">
            <v>0.09</v>
          </cell>
          <cell r="BL80">
            <v>0.09</v>
          </cell>
          <cell r="BM80">
            <v>0.09</v>
          </cell>
          <cell r="BN80">
            <v>9.0000000000000011E-2</v>
          </cell>
          <cell r="BO80">
            <v>0.09</v>
          </cell>
          <cell r="BP80">
            <v>0.09</v>
          </cell>
          <cell r="BQ80">
            <v>0.09</v>
          </cell>
          <cell r="BR80">
            <v>0.09</v>
          </cell>
          <cell r="BS80">
            <v>9.0000000000000011E-2</v>
          </cell>
          <cell r="BT80">
            <v>9.0000000000000011E-2</v>
          </cell>
          <cell r="BU80">
            <v>9.0000000000000011E-2</v>
          </cell>
          <cell r="BV80">
            <v>9.0000000000000011E-2</v>
          </cell>
          <cell r="BW80">
            <v>9.0000000000000011E-2</v>
          </cell>
          <cell r="BX80">
            <v>9.0000000000000011E-2</v>
          </cell>
          <cell r="BY80">
            <v>9.0000000000000011E-2</v>
          </cell>
          <cell r="BZ80">
            <v>9.0000000000000011E-2</v>
          </cell>
          <cell r="CA80">
            <v>9.0000000000000011E-2</v>
          </cell>
          <cell r="CB80">
            <v>9.0000000000000011E-2</v>
          </cell>
          <cell r="CC80">
            <v>9.0000000000000011E-2</v>
          </cell>
        </row>
        <row r="81">
          <cell r="A81" t="str">
            <v>Collectibles</v>
          </cell>
          <cell r="B81">
            <v>5.2999999999999999E-2</v>
          </cell>
          <cell r="C81">
            <v>6.4000000000000001E-2</v>
          </cell>
          <cell r="D81">
            <v>8.4000000000000005E-2</v>
          </cell>
          <cell r="E81">
            <v>6.8000000000000005E-2</v>
          </cell>
          <cell r="F81">
            <v>6.7604265091316493E-2</v>
          </cell>
          <cell r="G81">
            <v>8.8999999999999996E-2</v>
          </cell>
          <cell r="H81">
            <v>9.4E-2</v>
          </cell>
          <cell r="I81">
            <v>0.08</v>
          </cell>
          <cell r="J81">
            <v>0.08</v>
          </cell>
          <cell r="K81">
            <v>8.5330888359163665E-2</v>
          </cell>
          <cell r="L81">
            <v>8.4000000000000005E-2</v>
          </cell>
          <cell r="M81">
            <v>0.05</v>
          </cell>
          <cell r="N81">
            <v>0.05</v>
          </cell>
          <cell r="O81">
            <v>0.1</v>
          </cell>
          <cell r="P81">
            <v>7.3216862378009631E-2</v>
          </cell>
          <cell r="Q81">
            <v>7.4999999999999997E-2</v>
          </cell>
          <cell r="R81">
            <v>7.4999999999999997E-2</v>
          </cell>
          <cell r="S81">
            <v>7.4999999999999997E-2</v>
          </cell>
          <cell r="T81">
            <v>7.4999999999999997E-2</v>
          </cell>
          <cell r="U81">
            <v>7.4999999999999997E-2</v>
          </cell>
          <cell r="V81">
            <v>7.4999999999999997E-2</v>
          </cell>
          <cell r="W81">
            <v>7.4999999999999997E-2</v>
          </cell>
          <cell r="X81">
            <v>7.4999999999999997E-2</v>
          </cell>
          <cell r="Y81">
            <v>7.4999999999999997E-2</v>
          </cell>
          <cell r="Z81">
            <v>7.4999999999999997E-2</v>
          </cell>
          <cell r="AA81">
            <v>7.0000000000000007E-2</v>
          </cell>
          <cell r="AB81">
            <v>7.0000000000000007E-2</v>
          </cell>
          <cell r="AC81">
            <v>7.0000000000000007E-2</v>
          </cell>
          <cell r="AD81">
            <v>7.0000000000000007E-2</v>
          </cell>
          <cell r="AE81">
            <v>7.0000000000000007E-2</v>
          </cell>
          <cell r="AF81">
            <v>7.0000000000000007E-2</v>
          </cell>
          <cell r="AG81">
            <v>7.0000000000000007E-2</v>
          </cell>
          <cell r="AH81">
            <v>7.0000000000000007E-2</v>
          </cell>
          <cell r="AI81">
            <v>7.0000000000000007E-2</v>
          </cell>
          <cell r="AJ81">
            <v>7.0000000000000007E-2</v>
          </cell>
          <cell r="AK81">
            <v>7.0000000000000007E-2</v>
          </cell>
          <cell r="AL81">
            <v>7.0000000000000007E-2</v>
          </cell>
          <cell r="AM81">
            <v>7.0000000000000007E-2</v>
          </cell>
          <cell r="AN81">
            <v>7.0000000000000007E-2</v>
          </cell>
          <cell r="AO81">
            <v>7.0000000000000007E-2</v>
          </cell>
          <cell r="AP81">
            <v>7.0000000000000007E-2</v>
          </cell>
          <cell r="AQ81">
            <v>7.0000000000000007E-2</v>
          </cell>
          <cell r="AR81">
            <v>7.0000000000000007E-2</v>
          </cell>
          <cell r="AS81">
            <v>6.9999999999999993E-2</v>
          </cell>
          <cell r="AT81">
            <v>7.0000000000000007E-2</v>
          </cell>
          <cell r="AU81">
            <v>7.0000000000000007E-2</v>
          </cell>
          <cell r="AV81">
            <v>7.0000000000000007E-2</v>
          </cell>
          <cell r="AW81">
            <v>7.0000000000000007E-2</v>
          </cell>
          <cell r="AX81">
            <v>6.9999999999999979E-2</v>
          </cell>
          <cell r="AY81">
            <v>7.0000000000000007E-2</v>
          </cell>
          <cell r="AZ81">
            <v>7.0000000000000007E-2</v>
          </cell>
          <cell r="BA81">
            <v>7.0000000000000007E-2</v>
          </cell>
          <cell r="BB81">
            <v>7.0000000000000007E-2</v>
          </cell>
          <cell r="BC81">
            <v>7.0000000000000007E-2</v>
          </cell>
          <cell r="BD81">
            <v>7.0000000000000007E-2</v>
          </cell>
          <cell r="BE81">
            <v>7.0000000000000007E-2</v>
          </cell>
          <cell r="BF81">
            <v>7.0000000000000007E-2</v>
          </cell>
          <cell r="BG81">
            <v>7.0000000000000007E-2</v>
          </cell>
          <cell r="BH81">
            <v>7.0000000000000007E-2</v>
          </cell>
          <cell r="BI81">
            <v>7.0000000000000007E-2</v>
          </cell>
          <cell r="BJ81">
            <v>7.0000000000000007E-2</v>
          </cell>
          <cell r="BK81">
            <v>7.0000000000000007E-2</v>
          </cell>
          <cell r="BL81">
            <v>7.0000000000000007E-2</v>
          </cell>
          <cell r="BM81">
            <v>7.0000000000000007E-2</v>
          </cell>
          <cell r="BN81">
            <v>7.0000000000000007E-2</v>
          </cell>
          <cell r="BO81">
            <v>7.0000000000000007E-2</v>
          </cell>
          <cell r="BP81">
            <v>7.0000000000000007E-2</v>
          </cell>
          <cell r="BQ81">
            <v>7.0000000000000007E-2</v>
          </cell>
          <cell r="BR81">
            <v>7.0000000000000007E-2</v>
          </cell>
          <cell r="BS81">
            <v>7.0000000000000007E-2</v>
          </cell>
          <cell r="BT81">
            <v>7.0000000000000007E-2</v>
          </cell>
          <cell r="BU81">
            <v>7.0000000000000007E-2</v>
          </cell>
          <cell r="BV81">
            <v>7.0000000000000007E-2</v>
          </cell>
          <cell r="BW81">
            <v>7.0000000000000007E-2</v>
          </cell>
          <cell r="BX81">
            <v>7.0000000000000007E-2</v>
          </cell>
          <cell r="BY81">
            <v>7.0000000000000007E-2</v>
          </cell>
          <cell r="BZ81">
            <v>7.0000000000000007E-2</v>
          </cell>
          <cell r="CA81">
            <v>7.0000000000000007E-2</v>
          </cell>
          <cell r="CB81">
            <v>7.0000000000000007E-2</v>
          </cell>
          <cell r="CC81">
            <v>7.0000000000000007E-2</v>
          </cell>
        </row>
        <row r="82">
          <cell r="A82" t="str">
            <v>Other</v>
          </cell>
          <cell r="B82">
            <v>1.7999999999999974E-2</v>
          </cell>
          <cell r="C82">
            <v>1.6999999999999984E-2</v>
          </cell>
          <cell r="D82">
            <v>1.499999999999985E-2</v>
          </cell>
          <cell r="E82">
            <v>3.4000000000000044E-2</v>
          </cell>
          <cell r="F82">
            <v>2.2072163077473568E-2</v>
          </cell>
          <cell r="G82">
            <v>2.9999999999999954E-2</v>
          </cell>
          <cell r="H82">
            <v>2.9999999999999954E-2</v>
          </cell>
          <cell r="I82">
            <v>2.9999999999999954E-2</v>
          </cell>
          <cell r="J82">
            <v>2.9999999999999954E-2</v>
          </cell>
          <cell r="K82">
            <v>2.9999999999999933E-2</v>
          </cell>
          <cell r="L82">
            <v>2.9999999999999933E-2</v>
          </cell>
          <cell r="M82">
            <v>2.9999999999999933E-2</v>
          </cell>
          <cell r="N82">
            <v>2.9999999999999933E-2</v>
          </cell>
          <cell r="O82">
            <v>2.9999999999999933E-2</v>
          </cell>
          <cell r="P82">
            <v>2.9999999999999943E-2</v>
          </cell>
          <cell r="Q82">
            <v>2.9999999999999933E-2</v>
          </cell>
          <cell r="R82">
            <v>2.9999999999999933E-2</v>
          </cell>
          <cell r="S82">
            <v>2.9999999999999933E-2</v>
          </cell>
          <cell r="T82">
            <v>2.9999999999999933E-2</v>
          </cell>
          <cell r="U82">
            <v>2.9999999999999791E-2</v>
          </cell>
          <cell r="V82">
            <v>3.4999999999999962E-2</v>
          </cell>
          <cell r="W82">
            <v>3.4999999999999962E-2</v>
          </cell>
          <cell r="X82">
            <v>3.4999999999999962E-2</v>
          </cell>
          <cell r="Y82">
            <v>3.4999999999999962E-2</v>
          </cell>
          <cell r="Z82">
            <v>3.5000000000000017E-2</v>
          </cell>
          <cell r="AA82">
            <v>0.05</v>
          </cell>
          <cell r="AB82">
            <v>0.05</v>
          </cell>
          <cell r="AC82">
            <v>0.04</v>
          </cell>
          <cell r="AD82">
            <v>0.04</v>
          </cell>
          <cell r="AE82">
            <v>4.4440146846728756E-2</v>
          </cell>
          <cell r="AF82">
            <v>4.4440146846728756E-2</v>
          </cell>
          <cell r="AG82">
            <v>0.10000000000000009</v>
          </cell>
          <cell r="AH82">
            <v>0.10000000000000009</v>
          </cell>
          <cell r="AI82">
            <v>0.10000000000000009</v>
          </cell>
          <cell r="AJ82">
            <v>4.4440146846728756E-2</v>
          </cell>
          <cell r="AK82">
            <v>4.4440146846728756E-2</v>
          </cell>
          <cell r="AL82">
            <v>7.0000000000000062E-2</v>
          </cell>
          <cell r="AM82">
            <v>7.0000000000000062E-2</v>
          </cell>
          <cell r="AN82">
            <v>7.0000000000000062E-2</v>
          </cell>
          <cell r="AO82">
            <v>4.4440146846728756E-2</v>
          </cell>
          <cell r="AP82">
            <v>7.0000000000000021E-2</v>
          </cell>
          <cell r="AQ82">
            <v>6.999999999999991E-2</v>
          </cell>
          <cell r="AR82">
            <v>6.9999999999999923E-2</v>
          </cell>
          <cell r="AS82">
            <v>7.0000000000000312E-2</v>
          </cell>
          <cell r="AT82">
            <v>7.0000000000000062E-2</v>
          </cell>
          <cell r="AU82">
            <v>7.0000000000000062E-2</v>
          </cell>
          <cell r="AV82">
            <v>7.0000000000000062E-2</v>
          </cell>
          <cell r="AW82">
            <v>5.0000000000000044E-2</v>
          </cell>
          <cell r="AX82">
            <v>1.1640682999257784E-2</v>
          </cell>
          <cell r="AY82">
            <v>6.0000000000000053E-2</v>
          </cell>
          <cell r="AZ82">
            <v>6.0000000000000053E-2</v>
          </cell>
          <cell r="BA82">
            <v>6.0000000000000053E-2</v>
          </cell>
          <cell r="BB82">
            <v>6.0000000000000053E-2</v>
          </cell>
          <cell r="BC82">
            <v>6.0000000000000053E-2</v>
          </cell>
          <cell r="BD82">
            <v>6.0000000000000053E-2</v>
          </cell>
          <cell r="BE82">
            <v>6.0000000006582212E-2</v>
          </cell>
          <cell r="BF82">
            <v>6.0000000000000081E-2</v>
          </cell>
          <cell r="BG82">
            <v>6.000000000000015E-2</v>
          </cell>
          <cell r="BH82">
            <v>6.0000000000004397E-2</v>
          </cell>
          <cell r="BI82">
            <v>6.0000000001438715E-2</v>
          </cell>
          <cell r="BJ82">
            <v>6.0000000009326822E-2</v>
          </cell>
          <cell r="BK82">
            <v>6.0000000009326517E-2</v>
          </cell>
          <cell r="BL82">
            <v>6.0000000009326822E-2</v>
          </cell>
          <cell r="BM82">
            <v>6.0000000009326766E-2</v>
          </cell>
          <cell r="BN82">
            <v>6.00000000093266E-2</v>
          </cell>
          <cell r="BO82">
            <v>6.0000000009326725E-2</v>
          </cell>
          <cell r="BP82">
            <v>6.0000000009326517E-2</v>
          </cell>
          <cell r="BQ82">
            <v>6.0000000009326822E-2</v>
          </cell>
          <cell r="BR82">
            <v>6.0000000009326766E-2</v>
          </cell>
          <cell r="BS82">
            <v>6.00000000093266E-2</v>
          </cell>
          <cell r="BT82">
            <v>6.00000000093266E-2</v>
          </cell>
          <cell r="BU82">
            <v>6.00000000093266E-2</v>
          </cell>
          <cell r="BV82">
            <v>6.00000000093266E-2</v>
          </cell>
          <cell r="BW82">
            <v>6.00000000093266E-2</v>
          </cell>
          <cell r="BX82">
            <v>6.00000000093266E-2</v>
          </cell>
          <cell r="BY82">
            <v>6.00000000093266E-2</v>
          </cell>
          <cell r="BZ82">
            <v>6.00000000093266E-2</v>
          </cell>
          <cell r="CA82">
            <v>6.00000000093266E-2</v>
          </cell>
          <cell r="CB82">
            <v>6.00000000093266E-2</v>
          </cell>
          <cell r="CC82">
            <v>6.00000000093266E-2</v>
          </cell>
        </row>
        <row r="83">
          <cell r="A83" t="str">
            <v xml:space="preserve">   Total Revenues</v>
          </cell>
          <cell r="B83">
            <v>1</v>
          </cell>
          <cell r="C83">
            <v>0.99999999999999989</v>
          </cell>
          <cell r="D83">
            <v>0.99999999999999989</v>
          </cell>
          <cell r="E83">
            <v>1</v>
          </cell>
          <cell r="F83">
            <v>1</v>
          </cell>
          <cell r="G83">
            <v>0.99999999999999989</v>
          </cell>
          <cell r="H83">
            <v>1</v>
          </cell>
          <cell r="I83">
            <v>0.99999999999999989</v>
          </cell>
          <cell r="J83">
            <v>0.99999999999999989</v>
          </cell>
          <cell r="K83">
            <v>0.99999999999999989</v>
          </cell>
          <cell r="L83">
            <v>0.99999999999999989</v>
          </cell>
          <cell r="M83">
            <v>1</v>
          </cell>
          <cell r="N83">
            <v>1.0000000000000002</v>
          </cell>
          <cell r="O83">
            <v>1</v>
          </cell>
          <cell r="P83">
            <v>1</v>
          </cell>
          <cell r="Q83">
            <v>1</v>
          </cell>
          <cell r="R83">
            <v>0.99999999999999978</v>
          </cell>
          <cell r="S83">
            <v>1</v>
          </cell>
          <cell r="T83">
            <v>1</v>
          </cell>
          <cell r="U83">
            <v>0.99999999999999989</v>
          </cell>
          <cell r="V83">
            <v>1</v>
          </cell>
          <cell r="W83">
            <v>1</v>
          </cell>
          <cell r="X83">
            <v>1</v>
          </cell>
          <cell r="Y83">
            <v>1</v>
          </cell>
          <cell r="Z83">
            <v>0.99999999999999989</v>
          </cell>
          <cell r="AA83">
            <v>1</v>
          </cell>
          <cell r="AB83">
            <v>1</v>
          </cell>
          <cell r="AC83">
            <v>1</v>
          </cell>
          <cell r="AD83">
            <v>1</v>
          </cell>
          <cell r="AE83">
            <v>1</v>
          </cell>
          <cell r="AF83">
            <v>1</v>
          </cell>
          <cell r="AG83">
            <v>1</v>
          </cell>
          <cell r="AH83">
            <v>1</v>
          </cell>
          <cell r="AI83">
            <v>1</v>
          </cell>
          <cell r="AJ83">
            <v>1</v>
          </cell>
          <cell r="AK83">
            <v>1</v>
          </cell>
          <cell r="AL83">
            <v>1</v>
          </cell>
          <cell r="AM83">
            <v>1</v>
          </cell>
          <cell r="AN83">
            <v>1</v>
          </cell>
          <cell r="AO83">
            <v>1</v>
          </cell>
          <cell r="AP83">
            <v>1</v>
          </cell>
          <cell r="AQ83">
            <v>0.99999999999999989</v>
          </cell>
          <cell r="AR83">
            <v>0.99999999999999989</v>
          </cell>
          <cell r="AS83">
            <v>1.0000000000000004</v>
          </cell>
          <cell r="AT83">
            <v>1</v>
          </cell>
          <cell r="AU83">
            <v>0.98</v>
          </cell>
          <cell r="AV83">
            <v>0.96</v>
          </cell>
          <cell r="AW83">
            <v>1</v>
          </cell>
          <cell r="AX83">
            <v>1</v>
          </cell>
          <cell r="AY83">
            <v>1</v>
          </cell>
          <cell r="AZ83">
            <v>1</v>
          </cell>
          <cell r="BA83">
            <v>1</v>
          </cell>
          <cell r="BB83">
            <v>1</v>
          </cell>
          <cell r="BC83">
            <v>1</v>
          </cell>
          <cell r="BD83">
            <v>1</v>
          </cell>
          <cell r="BE83">
            <v>1</v>
          </cell>
          <cell r="BF83">
            <v>1</v>
          </cell>
          <cell r="BG83">
            <v>1</v>
          </cell>
          <cell r="BH83">
            <v>1</v>
          </cell>
          <cell r="BI83">
            <v>1</v>
          </cell>
          <cell r="BJ83">
            <v>0.99999999999999978</v>
          </cell>
          <cell r="BK83">
            <v>0.99999999999999944</v>
          </cell>
          <cell r="BL83">
            <v>0.99999999999999978</v>
          </cell>
          <cell r="BM83">
            <v>0.99999999999999978</v>
          </cell>
          <cell r="BN83">
            <v>0.99999999999999978</v>
          </cell>
          <cell r="BO83">
            <v>0.99999999999999967</v>
          </cell>
          <cell r="BP83">
            <v>0.99999999999999944</v>
          </cell>
          <cell r="BQ83">
            <v>0.99999999999999978</v>
          </cell>
          <cell r="BR83">
            <v>0.99999999999999978</v>
          </cell>
          <cell r="BS83">
            <v>0.99999999999999978</v>
          </cell>
          <cell r="BT83">
            <v>0.99999999999999978</v>
          </cell>
          <cell r="BU83">
            <v>0.99999999999999978</v>
          </cell>
          <cell r="BV83">
            <v>0.99999999999999978</v>
          </cell>
          <cell r="BW83">
            <v>0.99999999999999978</v>
          </cell>
          <cell r="BX83">
            <v>0.99999999999999978</v>
          </cell>
          <cell r="BY83">
            <v>0.99999999999999978</v>
          </cell>
          <cell r="BZ83">
            <v>0.99999999999999978</v>
          </cell>
          <cell r="CA83">
            <v>0.99999999999999978</v>
          </cell>
          <cell r="CB83">
            <v>0.99999999999999978</v>
          </cell>
          <cell r="CC83">
            <v>0.99999999999999978</v>
          </cell>
        </row>
        <row r="85">
          <cell r="A85" t="str">
            <v>Revenue % Change</v>
          </cell>
        </row>
        <row r="86">
          <cell r="A86" t="str">
            <v>Jewelry</v>
          </cell>
          <cell r="G86">
            <v>0.32457219079675026</v>
          </cell>
          <cell r="H86">
            <v>0.11944330788405333</v>
          </cell>
          <cell r="I86">
            <v>0.10837722527648164</v>
          </cell>
          <cell r="J86">
            <v>7.4645532878060639E-2</v>
          </cell>
          <cell r="K86">
            <v>0.15144261444696716</v>
          </cell>
          <cell r="L86">
            <v>-4.3999631814325424E-2</v>
          </cell>
          <cell r="M86">
            <v>9.9468760666682865E-2</v>
          </cell>
          <cell r="N86">
            <v>1.2959925126491356E-2</v>
          </cell>
          <cell r="O86">
            <v>-1.4033985614222533E-2</v>
          </cell>
          <cell r="P86">
            <v>1.0759492605218801E-2</v>
          </cell>
          <cell r="Q86">
            <v>0.18748117290677957</v>
          </cell>
          <cell r="R86">
            <v>0.17811448403913421</v>
          </cell>
          <cell r="S86">
            <v>0.22878962302182138</v>
          </cell>
          <cell r="T86">
            <v>0.19627863802785761</v>
          </cell>
          <cell r="U86">
            <v>0.19785291217947454</v>
          </cell>
          <cell r="V86">
            <v>8.0250312787041977E-2</v>
          </cell>
          <cell r="W86">
            <v>6.4340127511717471E-2</v>
          </cell>
          <cell r="X86">
            <v>6.9582245542957777E-2</v>
          </cell>
          <cell r="Y86">
            <v>0.47989054900079942</v>
          </cell>
        </row>
        <row r="87">
          <cell r="A87" t="str">
            <v>Apparel &amp; Accessories</v>
          </cell>
          <cell r="G87">
            <v>7.7460386552035132E-2</v>
          </cell>
          <cell r="H87">
            <v>-5.3991570802208289E-2</v>
          </cell>
          <cell r="I87">
            <v>0.13168109277876239</v>
          </cell>
          <cell r="J87">
            <v>0.2461022024494488</v>
          </cell>
          <cell r="K87">
            <v>0.10256251474635181</v>
          </cell>
          <cell r="L87">
            <v>0.20323611842994982</v>
          </cell>
          <cell r="M87">
            <v>0.33124413867632607</v>
          </cell>
          <cell r="N87">
            <v>0.39434327980964312</v>
          </cell>
          <cell r="O87">
            <v>8.4619972776908137E-2</v>
          </cell>
          <cell r="P87">
            <v>0.23560312081888468</v>
          </cell>
          <cell r="Q87">
            <v>0.35410997654374121</v>
          </cell>
          <cell r="R87">
            <v>8.3363028442963616E-2</v>
          </cell>
          <cell r="S87">
            <v>0.19963190315350698</v>
          </cell>
          <cell r="T87">
            <v>0.15828208292656321</v>
          </cell>
          <cell r="U87">
            <v>0.18998706914966657</v>
          </cell>
          <cell r="V87">
            <v>0.26632213699916418</v>
          </cell>
          <cell r="W87">
            <v>0.25041357637740225</v>
          </cell>
          <cell r="X87">
            <v>0.25493598695807229</v>
          </cell>
          <cell r="Y87">
            <v>0.43504538084926003</v>
          </cell>
        </row>
        <row r="88">
          <cell r="A88" t="str">
            <v>Housewares</v>
          </cell>
          <cell r="G88">
            <v>0.11216842368955238</v>
          </cell>
          <cell r="H88">
            <v>1.8921867992424346E-2</v>
          </cell>
          <cell r="I88">
            <v>-1.2636564321277355E-2</v>
          </cell>
          <cell r="J88">
            <v>7.1888818035381163E-2</v>
          </cell>
          <cell r="K88">
            <v>5.068366636945032E-2</v>
          </cell>
          <cell r="L88">
            <v>6.2929054924816041E-2</v>
          </cell>
          <cell r="M88">
            <v>0.14951522246740834</v>
          </cell>
          <cell r="N88">
            <v>3.4229424866680347E-2</v>
          </cell>
          <cell r="O88">
            <v>-8.3770959999739381E-2</v>
          </cell>
          <cell r="P88">
            <v>2.3463802600395489E-2</v>
          </cell>
          <cell r="Q88">
            <v>0.12916736530867889</v>
          </cell>
          <cell r="R88">
            <v>0.2464109758674895</v>
          </cell>
          <cell r="S88">
            <v>0.29647718700183789</v>
          </cell>
          <cell r="T88">
            <v>0.93425928414337722</v>
          </cell>
          <cell r="U88">
            <v>0.43417647986633434</v>
          </cell>
          <cell r="V88">
            <v>0.12325493011130306</v>
          </cell>
          <cell r="W88">
            <v>0.2094774176269516</v>
          </cell>
          <cell r="X88">
            <v>0.15197795704699613</v>
          </cell>
          <cell r="Y88">
            <v>-0.22639063026994077</v>
          </cell>
        </row>
        <row r="89">
          <cell r="A89" t="str">
            <v>Electronics</v>
          </cell>
          <cell r="G89">
            <v>-0.10017885768493506</v>
          </cell>
          <cell r="H89">
            <v>0.26706220562700578</v>
          </cell>
          <cell r="I89">
            <v>0.11316922776949778</v>
          </cell>
          <cell r="J89">
            <v>-0.32954509994086689</v>
          </cell>
          <cell r="K89">
            <v>-8.4209956534713304E-2</v>
          </cell>
          <cell r="L89">
            <v>0.12714925473512073</v>
          </cell>
          <cell r="M89">
            <v>0.1902747322551932</v>
          </cell>
          <cell r="N89">
            <v>0.4594126328674264</v>
          </cell>
          <cell r="O89">
            <v>1.2011792707995239</v>
          </cell>
          <cell r="P89">
            <v>0.53367001593755425</v>
          </cell>
          <cell r="Q89">
            <v>0.33827243295843434</v>
          </cell>
          <cell r="R89">
            <v>8.5888350187585782E-2</v>
          </cell>
          <cell r="S89">
            <v>4.1347138154086194E-2</v>
          </cell>
          <cell r="T89">
            <v>-0.27902849940285357</v>
          </cell>
          <cell r="U89">
            <v>-3.5117657466274044E-2</v>
          </cell>
          <cell r="V89">
            <v>0.1457200287135294</v>
          </cell>
          <cell r="W89">
            <v>0.16109832092187348</v>
          </cell>
          <cell r="X89">
            <v>0.14737004521880892</v>
          </cell>
          <cell r="Y89">
            <v>0.1480363046794082</v>
          </cell>
        </row>
        <row r="90">
          <cell r="A90" t="str">
            <v>Collectibles</v>
          </cell>
          <cell r="G90">
            <v>1.0571723637787245</v>
          </cell>
          <cell r="H90">
            <v>0.64418235845470351</v>
          </cell>
          <cell r="I90">
            <v>3.6602032208632673E-2</v>
          </cell>
          <cell r="J90">
            <v>0.23574040403055907</v>
          </cell>
          <cell r="K90">
            <v>0.406140404198158</v>
          </cell>
          <cell r="L90">
            <v>-1.891577977362513E-2</v>
          </cell>
          <cell r="M90">
            <v>-0.40716490608179445</v>
          </cell>
          <cell r="N90">
            <v>-0.31590032834339388</v>
          </cell>
          <cell r="O90">
            <v>0.41504381694255099</v>
          </cell>
          <cell r="P90">
            <v>-5.9187094063748114E-2</v>
          </cell>
          <cell r="Q90">
            <v>7.5397490770170217E-2</v>
          </cell>
          <cell r="R90">
            <v>0.7917157778095163</v>
          </cell>
          <cell r="S90">
            <v>0.87442484867735448</v>
          </cell>
          <cell r="T90">
            <v>-5.3724905466245421E-2</v>
          </cell>
          <cell r="U90">
            <v>0.26024819736931626</v>
          </cell>
          <cell r="V90">
            <v>0.1457200287135294</v>
          </cell>
          <cell r="W90">
            <v>0.16109832092187371</v>
          </cell>
          <cell r="X90">
            <v>0.14737004521880914</v>
          </cell>
          <cell r="Y90">
            <v>0.1480363046794082</v>
          </cell>
        </row>
        <row r="91">
          <cell r="A91" t="str">
            <v>Other</v>
          </cell>
          <cell r="G91">
            <v>1.0417628329639022</v>
          </cell>
          <cell r="H91">
            <v>0.97548819038361434</v>
          </cell>
          <cell r="I91">
            <v>1.1768642676381509</v>
          </cell>
          <cell r="J91">
            <v>-7.3194696977083473E-2</v>
          </cell>
          <cell r="K91">
            <v>0.51416385581402291</v>
          </cell>
          <cell r="L91">
            <v>3.9482090477940934E-2</v>
          </cell>
          <cell r="M91">
            <v>0.11452997656623376</v>
          </cell>
          <cell r="N91">
            <v>9.4559474650568243E-2</v>
          </cell>
          <cell r="O91">
            <v>0.13203505355404066</v>
          </cell>
          <cell r="P91">
            <v>9.6474206021406328E-2</v>
          </cell>
          <cell r="Q91">
            <v>0.20444518966258873</v>
          </cell>
          <cell r="R91">
            <v>0.19447718520633583</v>
          </cell>
          <cell r="S91">
            <v>0.24961656578489033</v>
          </cell>
          <cell r="T91">
            <v>0.26170012604500315</v>
          </cell>
          <cell r="U91">
            <v>0.23028558438564639</v>
          </cell>
          <cell r="V91">
            <v>0.33667336683246263</v>
          </cell>
          <cell r="W91">
            <v>0.35461470774220127</v>
          </cell>
          <cell r="X91">
            <v>0.33859838608862591</v>
          </cell>
          <cell r="Y91">
            <v>0.33937568879264468</v>
          </cell>
        </row>
        <row r="92">
          <cell r="A92" t="str">
            <v xml:space="preserve">   Total Revenues</v>
          </cell>
          <cell r="G92">
            <v>0.22505769977834134</v>
          </cell>
          <cell r="H92">
            <v>0.11944330788405355</v>
          </cell>
          <cell r="I92">
            <v>8.843213381906434E-2</v>
          </cell>
          <cell r="J92">
            <v>5.0379343425975387E-2</v>
          </cell>
          <cell r="K92">
            <v>0.11402905171811217</v>
          </cell>
          <cell r="L92">
            <v>3.9482090477944709E-2</v>
          </cell>
          <cell r="M92">
            <v>0.11452997656622643</v>
          </cell>
          <cell r="N92">
            <v>9.4559474650569575E-2</v>
          </cell>
          <cell r="O92">
            <v>0.13203505355404088</v>
          </cell>
          <cell r="P92">
            <v>9.6474206021406106E-2</v>
          </cell>
          <cell r="Q92">
            <v>0.20444518966259073</v>
          </cell>
          <cell r="R92">
            <v>0.19447718520634449</v>
          </cell>
          <cell r="S92">
            <v>0.24961656578490321</v>
          </cell>
          <cell r="T92">
            <v>0.26170012604500625</v>
          </cell>
          <cell r="U92">
            <v>0.23028558438565261</v>
          </cell>
          <cell r="V92">
            <v>0.1457200287135294</v>
          </cell>
          <cell r="W92">
            <v>0.16109832092187348</v>
          </cell>
          <cell r="X92">
            <v>0.14737004521880914</v>
          </cell>
          <cell r="Y92">
            <v>0.1480363046794082</v>
          </cell>
        </row>
        <row r="94">
          <cell r="L94" t="str">
            <v>Previous 1997 Results</v>
          </cell>
          <cell r="Q94" t="str">
            <v>Previous 1998 Results</v>
          </cell>
        </row>
        <row r="95">
          <cell r="L95" t="str">
            <v>Q1</v>
          </cell>
          <cell r="M95" t="str">
            <v>Q2</v>
          </cell>
          <cell r="N95" t="str">
            <v>Q3</v>
          </cell>
          <cell r="O95" t="str">
            <v>Q4</v>
          </cell>
          <cell r="P95">
            <v>1997</v>
          </cell>
          <cell r="Q95" t="str">
            <v>Q1</v>
          </cell>
          <cell r="R95" t="str">
            <v>Q2</v>
          </cell>
          <cell r="S95" t="str">
            <v>Q3</v>
          </cell>
          <cell r="T95" t="str">
            <v>Q4</v>
          </cell>
          <cell r="U95">
            <v>1998</v>
          </cell>
        </row>
        <row r="96">
          <cell r="A96" t="str">
            <v>Scenario Analysis</v>
          </cell>
          <cell r="L96">
            <v>445.81099999999998</v>
          </cell>
          <cell r="M96">
            <v>429.95</v>
          </cell>
          <cell r="N96">
            <v>447.7</v>
          </cell>
          <cell r="O96">
            <v>581.29999999999995</v>
          </cell>
          <cell r="P96">
            <v>1904.761</v>
          </cell>
          <cell r="Q96">
            <v>482.1</v>
          </cell>
          <cell r="R96">
            <v>461.1</v>
          </cell>
          <cell r="S96">
            <v>502.3</v>
          </cell>
          <cell r="T96">
            <v>658.5</v>
          </cell>
          <cell r="U96">
            <v>2104</v>
          </cell>
          <cell r="BN96">
            <v>1</v>
          </cell>
        </row>
        <row r="97">
          <cell r="L97">
            <v>0.21188735741444867</v>
          </cell>
          <cell r="M97">
            <v>0.20434885931558935</v>
          </cell>
          <cell r="N97">
            <v>0.2127851711026616</v>
          </cell>
          <cell r="O97">
            <v>0.27628326996197716</v>
          </cell>
          <cell r="Q97">
            <v>0.22913498098859317</v>
          </cell>
          <cell r="R97">
            <v>0.21915399239543729</v>
          </cell>
          <cell r="S97">
            <v>0.23873574144486692</v>
          </cell>
          <cell r="T97">
            <v>0.31297528517110268</v>
          </cell>
        </row>
        <row r="98">
          <cell r="A98" t="str">
            <v>Sales per FTE Growth</v>
          </cell>
          <cell r="BS98">
            <v>-7.7499999999999999E-2</v>
          </cell>
          <cell r="BT98">
            <v>-0.06</v>
          </cell>
          <cell r="BU98">
            <v>0</v>
          </cell>
          <cell r="BV98">
            <v>2.5000000000000001E-2</v>
          </cell>
          <cell r="BW98">
            <v>2.5000000000000001E-2</v>
          </cell>
          <cell r="BX98">
            <v>2.5000000000000001E-2</v>
          </cell>
          <cell r="BY98">
            <v>2.5000000000000001E-2</v>
          </cell>
          <cell r="BZ98">
            <v>2.5000000000000001E-2</v>
          </cell>
          <cell r="CA98">
            <v>2.5000000000000001E-2</v>
          </cell>
          <cell r="CB98">
            <v>2.5000000000000001E-2</v>
          </cell>
          <cell r="CC98">
            <v>2.5000000000000001E-2</v>
          </cell>
        </row>
        <row r="99">
          <cell r="A99" t="str">
            <v>Base Case</v>
          </cell>
          <cell r="BS99">
            <v>-7.7499999999999999E-2</v>
          </cell>
          <cell r="BT99">
            <v>-0.06</v>
          </cell>
          <cell r="BU99">
            <v>0</v>
          </cell>
          <cell r="BV99">
            <v>2.5000000000000001E-2</v>
          </cell>
          <cell r="BW99">
            <v>2.5000000000000001E-2</v>
          </cell>
          <cell r="BX99">
            <v>2.5000000000000001E-2</v>
          </cell>
          <cell r="BY99">
            <v>2.5000000000000001E-2</v>
          </cell>
          <cell r="BZ99">
            <v>2.5000000000000001E-2</v>
          </cell>
          <cell r="CA99">
            <v>2.5000000000000001E-2</v>
          </cell>
          <cell r="CB99">
            <v>2.5000000000000001E-2</v>
          </cell>
          <cell r="CC99">
            <v>2.5000000000000001E-2</v>
          </cell>
        </row>
        <row r="100">
          <cell r="A100" t="str">
            <v>Bear Case</v>
          </cell>
          <cell r="BS100">
            <v>-7.7499999999999999E-2</v>
          </cell>
          <cell r="BT100">
            <v>-0.09</v>
          </cell>
          <cell r="BU100">
            <v>-0.03</v>
          </cell>
          <cell r="BV100">
            <v>-4.9999999999999975E-3</v>
          </cell>
          <cell r="BW100">
            <v>-4.9999999999999975E-3</v>
          </cell>
          <cell r="BX100">
            <v>-4.9999999999999975E-3</v>
          </cell>
          <cell r="BY100">
            <v>-4.9999999999999975E-3</v>
          </cell>
          <cell r="BZ100">
            <v>-4.9999999999999975E-3</v>
          </cell>
          <cell r="CA100">
            <v>-4.9999999999999975E-3</v>
          </cell>
          <cell r="CB100">
            <v>-4.9999999999999975E-3</v>
          </cell>
          <cell r="CC100">
            <v>-4.9999999999999975E-3</v>
          </cell>
        </row>
        <row r="101">
          <cell r="A101" t="str">
            <v>5.0x Leverage Case</v>
          </cell>
          <cell r="BS101">
            <v>-7.7499999999999999E-2</v>
          </cell>
          <cell r="BT101">
            <v>-0.06</v>
          </cell>
          <cell r="BU101">
            <v>0</v>
          </cell>
          <cell r="BV101">
            <v>2.5000000000000001E-2</v>
          </cell>
          <cell r="BW101">
            <v>2.5000000000000001E-2</v>
          </cell>
          <cell r="BX101">
            <v>2.5000000000000001E-2</v>
          </cell>
          <cell r="BY101">
            <v>2.5000000000000001E-2</v>
          </cell>
          <cell r="BZ101">
            <v>2.5000000000000001E-2</v>
          </cell>
          <cell r="CA101">
            <v>2.5000000000000001E-2</v>
          </cell>
          <cell r="CB101">
            <v>2.5000000000000001E-2</v>
          </cell>
          <cell r="CC101">
            <v>2.5000000000000001E-2</v>
          </cell>
        </row>
        <row r="102">
          <cell r="A102" t="str">
            <v>Historical Growth</v>
          </cell>
          <cell r="BS102">
            <v>-7.7499999999999999E-2</v>
          </cell>
          <cell r="BT102">
            <v>5.8000000000000003E-2</v>
          </cell>
          <cell r="BU102">
            <v>5.8000000000000003E-2</v>
          </cell>
          <cell r="BV102">
            <v>5.8000000000000003E-2</v>
          </cell>
          <cell r="BW102">
            <v>5.8000000000000003E-2</v>
          </cell>
          <cell r="BX102">
            <v>5.8000000000000003E-2</v>
          </cell>
          <cell r="BY102">
            <v>5.8000000000000003E-2</v>
          </cell>
          <cell r="BZ102">
            <v>5.8000000000000003E-2</v>
          </cell>
          <cell r="CA102">
            <v>5.8000000000000003E-2</v>
          </cell>
          <cell r="CB102">
            <v>5.8000000000000003E-2</v>
          </cell>
          <cell r="CC102">
            <v>5.8000000000000003E-2</v>
          </cell>
        </row>
        <row r="104">
          <cell r="A104" t="str">
            <v>Gross Margin</v>
          </cell>
          <cell r="BS104">
            <v>0.35</v>
          </cell>
          <cell r="BT104">
            <v>0.34</v>
          </cell>
          <cell r="BU104">
            <v>0.34499999999999997</v>
          </cell>
          <cell r="BV104">
            <v>0.35499999999999998</v>
          </cell>
          <cell r="BW104">
            <v>0.35499999999999998</v>
          </cell>
          <cell r="BX104">
            <v>0.35499999999999998</v>
          </cell>
          <cell r="BY104">
            <v>0.35499999999999998</v>
          </cell>
          <cell r="BZ104">
            <v>0.35499999999999998</v>
          </cell>
          <cell r="CA104">
            <v>0.35499999999999998</v>
          </cell>
          <cell r="CB104">
            <v>0.35499999999999998</v>
          </cell>
          <cell r="CC104">
            <v>0.35499999999999998</v>
          </cell>
        </row>
        <row r="105">
          <cell r="A105" t="str">
            <v>Base Case</v>
          </cell>
          <cell r="BS105">
            <v>0.35</v>
          </cell>
          <cell r="BT105">
            <v>0.34</v>
          </cell>
          <cell r="BU105">
            <v>0.34499999999999997</v>
          </cell>
          <cell r="BV105">
            <v>0.35499999999999998</v>
          </cell>
          <cell r="BW105">
            <v>0.35499999999999998</v>
          </cell>
          <cell r="BX105">
            <v>0.35499999999999998</v>
          </cell>
          <cell r="BY105">
            <v>0.35499999999999998</v>
          </cell>
          <cell r="BZ105">
            <v>0.35499999999999998</v>
          </cell>
          <cell r="CA105">
            <v>0.35499999999999998</v>
          </cell>
          <cell r="CB105">
            <v>0.35499999999999998</v>
          </cell>
          <cell r="CC105">
            <v>0.35499999999999998</v>
          </cell>
        </row>
        <row r="106">
          <cell r="A106" t="str">
            <v>Bear Case</v>
          </cell>
          <cell r="BS106">
            <v>0.35</v>
          </cell>
          <cell r="BT106">
            <v>0.32</v>
          </cell>
          <cell r="BU106">
            <v>0.34499999999999997</v>
          </cell>
          <cell r="BV106">
            <v>0.35499999999999998</v>
          </cell>
          <cell r="BW106">
            <v>0.35499999999999998</v>
          </cell>
          <cell r="BX106">
            <v>0.35499999999999998</v>
          </cell>
          <cell r="BY106">
            <v>0.35499999999999998</v>
          </cell>
          <cell r="BZ106">
            <v>0.35499999999999998</v>
          </cell>
          <cell r="CA106">
            <v>0.35499999999999998</v>
          </cell>
          <cell r="CB106">
            <v>0.35499999999999998</v>
          </cell>
          <cell r="CC106">
            <v>0.35499999999999998</v>
          </cell>
        </row>
        <row r="107">
          <cell r="A107" t="str">
            <v>5.0x Leverage Case</v>
          </cell>
          <cell r="BS107">
            <v>0.35</v>
          </cell>
          <cell r="BT107">
            <v>0.34</v>
          </cell>
          <cell r="BU107">
            <v>0.34499999999999997</v>
          </cell>
          <cell r="BV107">
            <v>0.35499999999999998</v>
          </cell>
          <cell r="BW107">
            <v>0.35499999999999998</v>
          </cell>
          <cell r="BX107">
            <v>0.35499999999999998</v>
          </cell>
          <cell r="BY107">
            <v>0.35499999999999998</v>
          </cell>
          <cell r="BZ107">
            <v>0.35499999999999998</v>
          </cell>
          <cell r="CA107">
            <v>0.35499999999999998</v>
          </cell>
          <cell r="CB107">
            <v>0.35499999999999998</v>
          </cell>
          <cell r="CC107">
            <v>0.35499999999999998</v>
          </cell>
        </row>
        <row r="108">
          <cell r="A108" t="str">
            <v>Historical Growth</v>
          </cell>
          <cell r="BS108">
            <v>0.35</v>
          </cell>
          <cell r="BT108">
            <v>0.34</v>
          </cell>
          <cell r="BU108">
            <v>0.34499999999999997</v>
          </cell>
          <cell r="BV108">
            <v>0.35499999999999998</v>
          </cell>
          <cell r="BW108">
            <v>0.35499999999999998</v>
          </cell>
          <cell r="BX108">
            <v>0.35499999999999998</v>
          </cell>
          <cell r="BY108">
            <v>0.35499999999999998</v>
          </cell>
          <cell r="BZ108">
            <v>0.35499999999999998</v>
          </cell>
          <cell r="CA108">
            <v>0.35499999999999998</v>
          </cell>
          <cell r="CB108">
            <v>0.35499999999999998</v>
          </cell>
          <cell r="CC108">
            <v>0.35499999999999998</v>
          </cell>
        </row>
      </sheetData>
      <sheetData sheetId="15" refreshError="1">
        <row r="2">
          <cell r="A2" t="str">
            <v>QVC - United Kingdom Operations</v>
          </cell>
        </row>
        <row r="3">
          <cell r="A3" t="str">
            <v>($ Millions)</v>
          </cell>
        </row>
        <row r="4">
          <cell r="B4">
            <v>1995</v>
          </cell>
          <cell r="G4">
            <v>1996</v>
          </cell>
          <cell r="L4">
            <v>1997</v>
          </cell>
          <cell r="Q4">
            <v>1998</v>
          </cell>
          <cell r="V4" t="str">
            <v>1999</v>
          </cell>
          <cell r="AA4" t="str">
            <v>2000</v>
          </cell>
          <cell r="AF4" t="str">
            <v>2001</v>
          </cell>
          <cell r="AK4" t="str">
            <v>2002</v>
          </cell>
          <cell r="AP4" t="str">
            <v>2003</v>
          </cell>
          <cell r="AU4" t="str">
            <v>2004</v>
          </cell>
          <cell r="AZ4" t="str">
            <v>2005</v>
          </cell>
          <cell r="BE4">
            <v>2006</v>
          </cell>
          <cell r="BJ4">
            <v>2007</v>
          </cell>
          <cell r="BO4" t="str">
            <v>2008E</v>
          </cell>
        </row>
        <row r="5">
          <cell r="B5" t="str">
            <v>Q1</v>
          </cell>
          <cell r="C5" t="str">
            <v>Q2</v>
          </cell>
          <cell r="D5" t="str">
            <v>Q3</v>
          </cell>
          <cell r="E5" t="str">
            <v>Q4</v>
          </cell>
          <cell r="F5" t="str">
            <v>1995</v>
          </cell>
          <cell r="G5" t="str">
            <v>Q1</v>
          </cell>
          <cell r="H5" t="str">
            <v>Q2</v>
          </cell>
          <cell r="I5" t="str">
            <v>Q3</v>
          </cell>
          <cell r="J5" t="str">
            <v>Q4</v>
          </cell>
          <cell r="K5" t="str">
            <v>1996</v>
          </cell>
          <cell r="L5" t="str">
            <v>Q1</v>
          </cell>
          <cell r="M5" t="str">
            <v>Q2</v>
          </cell>
          <cell r="N5" t="str">
            <v>Q3</v>
          </cell>
          <cell r="O5" t="str">
            <v>Q4</v>
          </cell>
          <cell r="P5" t="str">
            <v>1997</v>
          </cell>
          <cell r="Q5" t="str">
            <v>Q1</v>
          </cell>
          <cell r="R5" t="str">
            <v>Q2</v>
          </cell>
          <cell r="S5" t="str">
            <v>Q3</v>
          </cell>
          <cell r="T5" t="str">
            <v>Q4</v>
          </cell>
          <cell r="U5" t="str">
            <v>1998</v>
          </cell>
          <cell r="V5" t="str">
            <v>Q1</v>
          </cell>
          <cell r="W5" t="str">
            <v>Q2</v>
          </cell>
          <cell r="X5" t="str">
            <v>Q3</v>
          </cell>
          <cell r="Y5" t="str">
            <v>Q4</v>
          </cell>
          <cell r="Z5" t="str">
            <v>1999</v>
          </cell>
          <cell r="AA5" t="str">
            <v>Q1</v>
          </cell>
          <cell r="AB5" t="str">
            <v>Q2</v>
          </cell>
          <cell r="AC5" t="str">
            <v>Q3</v>
          </cell>
          <cell r="AD5" t="str">
            <v>Q4</v>
          </cell>
          <cell r="AE5" t="str">
            <v>2000</v>
          </cell>
          <cell r="AF5" t="str">
            <v>Q1</v>
          </cell>
          <cell r="AG5" t="str">
            <v>Q2</v>
          </cell>
          <cell r="AH5" t="str">
            <v>Q3</v>
          </cell>
          <cell r="AI5" t="str">
            <v>Q4</v>
          </cell>
          <cell r="AJ5" t="str">
            <v>2001</v>
          </cell>
          <cell r="AK5" t="str">
            <v>Q1</v>
          </cell>
          <cell r="AL5" t="str">
            <v>Q2</v>
          </cell>
          <cell r="AM5" t="str">
            <v>Q3</v>
          </cell>
          <cell r="AN5" t="str">
            <v>Q4</v>
          </cell>
          <cell r="AO5" t="str">
            <v>2002</v>
          </cell>
          <cell r="AP5" t="str">
            <v>Q1</v>
          </cell>
          <cell r="AQ5" t="str">
            <v>Q2</v>
          </cell>
          <cell r="AR5" t="str">
            <v>Q3</v>
          </cell>
          <cell r="AS5" t="str">
            <v>Q4</v>
          </cell>
          <cell r="AT5" t="str">
            <v>2003</v>
          </cell>
          <cell r="AU5" t="str">
            <v>Q1</v>
          </cell>
          <cell r="AV5" t="str">
            <v>Q2</v>
          </cell>
          <cell r="AW5" t="str">
            <v>Q3</v>
          </cell>
          <cell r="AX5" t="str">
            <v>Q4</v>
          </cell>
          <cell r="AY5" t="str">
            <v>2004</v>
          </cell>
          <cell r="AZ5" t="str">
            <v>Q1</v>
          </cell>
          <cell r="BA5" t="str">
            <v>Q2</v>
          </cell>
          <cell r="BB5" t="str">
            <v>Q3</v>
          </cell>
          <cell r="BC5" t="str">
            <v>Q4</v>
          </cell>
          <cell r="BD5" t="str">
            <v>2005</v>
          </cell>
          <cell r="BE5" t="str">
            <v>1Q</v>
          </cell>
          <cell r="BF5" t="str">
            <v>2Q</v>
          </cell>
          <cell r="BG5" t="str">
            <v>3Q</v>
          </cell>
          <cell r="BH5" t="str">
            <v>4Q</v>
          </cell>
          <cell r="BI5">
            <v>2006</v>
          </cell>
          <cell r="BJ5" t="str">
            <v>1Q</v>
          </cell>
          <cell r="BK5" t="str">
            <v>2Q</v>
          </cell>
          <cell r="BL5" t="str">
            <v>3Q</v>
          </cell>
          <cell r="BM5" t="str">
            <v>4Q</v>
          </cell>
          <cell r="BN5">
            <v>2007</v>
          </cell>
          <cell r="BO5" t="str">
            <v>1Q</v>
          </cell>
          <cell r="BP5" t="str">
            <v>2Q</v>
          </cell>
          <cell r="BQ5" t="str">
            <v>3Q</v>
          </cell>
          <cell r="BR5" t="str">
            <v>4QE</v>
          </cell>
          <cell r="BS5" t="str">
            <v>2008E</v>
          </cell>
          <cell r="BT5" t="str">
            <v>2009E</v>
          </cell>
          <cell r="BU5" t="str">
            <v>2010E</v>
          </cell>
          <cell r="BV5" t="str">
            <v>2011E</v>
          </cell>
          <cell r="BW5" t="str">
            <v>2012E</v>
          </cell>
          <cell r="BX5" t="str">
            <v>2013E</v>
          </cell>
          <cell r="BY5" t="str">
            <v>2014E</v>
          </cell>
          <cell r="BZ5" t="str">
            <v>2015E</v>
          </cell>
          <cell r="CA5" t="str">
            <v>2016E</v>
          </cell>
          <cell r="CB5" t="str">
            <v>2017E</v>
          </cell>
          <cell r="CC5" t="str">
            <v>2018E</v>
          </cell>
        </row>
        <row r="6">
          <cell r="A6" t="str">
            <v>Jewelry</v>
          </cell>
          <cell r="B6">
            <v>2.9988000000000001</v>
          </cell>
          <cell r="C6">
            <v>4.7359999999999998</v>
          </cell>
          <cell r="D6">
            <v>5.9973999999999998</v>
          </cell>
          <cell r="E6">
            <v>6.938699999999999</v>
          </cell>
          <cell r="F6">
            <v>20.670899999999996</v>
          </cell>
          <cell r="G6">
            <v>8.1831999999999994</v>
          </cell>
          <cell r="H6">
            <v>7.4</v>
          </cell>
          <cell r="I6">
            <v>8.5579999999999998</v>
          </cell>
          <cell r="J6">
            <v>10.85</v>
          </cell>
          <cell r="K6">
            <v>34.991199999999999</v>
          </cell>
          <cell r="L6">
            <v>11.715</v>
          </cell>
          <cell r="M6">
            <v>13.14</v>
          </cell>
          <cell r="N6">
            <v>14.6</v>
          </cell>
          <cell r="O6">
            <v>15.39</v>
          </cell>
          <cell r="P6">
            <v>54.844999999999999</v>
          </cell>
          <cell r="Q6">
            <v>19.646550000000001</v>
          </cell>
          <cell r="R6">
            <v>21.751537499999998</v>
          </cell>
          <cell r="S6">
            <v>19.344999999999999</v>
          </cell>
          <cell r="T6">
            <v>18.468</v>
          </cell>
          <cell r="U6">
            <v>79.211087500000005</v>
          </cell>
          <cell r="V6">
            <v>24.717000000000002</v>
          </cell>
          <cell r="W6">
            <v>24.782999999999998</v>
          </cell>
          <cell r="X6">
            <v>25.146000000000001</v>
          </cell>
          <cell r="Y6">
            <v>33.495000000000005</v>
          </cell>
          <cell r="Z6">
            <v>108.14100000000001</v>
          </cell>
          <cell r="AA6">
            <v>24.49</v>
          </cell>
          <cell r="AB6">
            <v>22.164999999999999</v>
          </cell>
          <cell r="AC6">
            <v>20.46</v>
          </cell>
          <cell r="AD6">
            <v>26.132999999999999</v>
          </cell>
          <cell r="AE6">
            <v>93.248000000000005</v>
          </cell>
          <cell r="AF6">
            <v>21.297000000000001</v>
          </cell>
          <cell r="AG6">
            <v>19.84</v>
          </cell>
          <cell r="AH6">
            <v>18.382999999999999</v>
          </cell>
          <cell r="AI6">
            <v>24.707000000000001</v>
          </cell>
          <cell r="AJ6">
            <v>84.227000000000004</v>
          </cell>
          <cell r="AK6">
            <v>20.956</v>
          </cell>
          <cell r="AL6">
            <v>20.491</v>
          </cell>
          <cell r="AM6">
            <v>21.327999999999999</v>
          </cell>
          <cell r="AN6">
            <v>29.14</v>
          </cell>
          <cell r="AO6">
            <v>91.915000000000006</v>
          </cell>
          <cell r="AP6">
            <v>24.49</v>
          </cell>
          <cell r="AQ6">
            <v>25.73</v>
          </cell>
          <cell r="AR6">
            <v>26.35</v>
          </cell>
          <cell r="AS6">
            <v>38.130000000000003</v>
          </cell>
          <cell r="AT6">
            <v>114.69999999999999</v>
          </cell>
          <cell r="AU6">
            <v>34.72</v>
          </cell>
          <cell r="AV6">
            <v>33.79</v>
          </cell>
          <cell r="AW6">
            <v>34.72</v>
          </cell>
          <cell r="AX6">
            <v>47.74</v>
          </cell>
          <cell r="AY6">
            <v>150.97</v>
          </cell>
          <cell r="AZ6">
            <v>40.299999999999997</v>
          </cell>
          <cell r="BA6">
            <v>39.99</v>
          </cell>
          <cell r="BB6">
            <v>39.99</v>
          </cell>
          <cell r="BC6">
            <v>51.46</v>
          </cell>
          <cell r="BD6">
            <v>171.74</v>
          </cell>
          <cell r="BE6">
            <v>41.54</v>
          </cell>
          <cell r="BF6">
            <v>42.47</v>
          </cell>
          <cell r="BG6">
            <v>44.64</v>
          </cell>
          <cell r="BH6">
            <v>61.07</v>
          </cell>
          <cell r="BI6">
            <v>189.72</v>
          </cell>
          <cell r="BJ6">
            <v>47.12</v>
          </cell>
          <cell r="BK6">
            <v>49.6</v>
          </cell>
          <cell r="BL6">
            <v>52.39</v>
          </cell>
          <cell r="BM6">
            <v>70.06</v>
          </cell>
          <cell r="BN6">
            <v>219.17</v>
          </cell>
          <cell r="BO6">
            <v>53.32</v>
          </cell>
          <cell r="BP6">
            <v>50.53</v>
          </cell>
          <cell r="BQ6">
            <v>49.6</v>
          </cell>
          <cell r="BR6">
            <v>62.660353713298548</v>
          </cell>
          <cell r="BS6">
            <v>216.11035371329854</v>
          </cell>
          <cell r="BT6">
            <v>182.15734901217144</v>
          </cell>
          <cell r="BU6">
            <v>186.42951042868125</v>
          </cell>
          <cell r="BV6">
            <v>189.95622379834887</v>
          </cell>
          <cell r="BW6">
            <v>195.26472638375148</v>
          </cell>
          <cell r="BX6">
            <v>200.15788090414367</v>
          </cell>
          <cell r="BY6">
            <v>202.55977547499339</v>
          </cell>
          <cell r="BZ6">
            <v>204.99049278069333</v>
          </cell>
          <cell r="CA6">
            <v>207.45037869406161</v>
          </cell>
          <cell r="CB6">
            <v>209.93978323839039</v>
          </cell>
          <cell r="CC6">
            <v>212.45906063725104</v>
          </cell>
        </row>
        <row r="7">
          <cell r="A7" t="str">
            <v>Apparel &amp; Accessories</v>
          </cell>
          <cell r="B7">
            <v>1.3944000000000001</v>
          </cell>
          <cell r="C7">
            <v>2.7263999999999999</v>
          </cell>
          <cell r="D7">
            <v>2.3706999999999998</v>
          </cell>
          <cell r="E7">
            <v>3.6869000000000001</v>
          </cell>
          <cell r="F7">
            <v>10.1784</v>
          </cell>
          <cell r="G7">
            <v>3.1799999999999997</v>
          </cell>
          <cell r="H7">
            <v>3.5999999999999996</v>
          </cell>
          <cell r="I7">
            <v>3.4540000000000002</v>
          </cell>
          <cell r="J7">
            <v>6.6850000000000005</v>
          </cell>
          <cell r="K7">
            <v>16.919</v>
          </cell>
          <cell r="L7">
            <v>5.5769999999999991</v>
          </cell>
          <cell r="M7">
            <v>7.74</v>
          </cell>
          <cell r="N7">
            <v>8.6</v>
          </cell>
          <cell r="O7">
            <v>10.430999999999999</v>
          </cell>
          <cell r="P7">
            <v>32.347999999999999</v>
          </cell>
          <cell r="Q7">
            <v>10.665270000000001</v>
          </cell>
          <cell r="R7">
            <v>11.8079775</v>
          </cell>
          <cell r="S7">
            <v>11.395</v>
          </cell>
          <cell r="T7">
            <v>11.995649999999998</v>
          </cell>
          <cell r="U7">
            <v>45.863897499999993</v>
          </cell>
          <cell r="V7">
            <v>15.729000000000001</v>
          </cell>
          <cell r="W7">
            <v>15.770999999999999</v>
          </cell>
          <cell r="X7">
            <v>16.001999999999999</v>
          </cell>
          <cell r="Y7">
            <v>21.314999999999998</v>
          </cell>
          <cell r="Z7">
            <v>68.816999999999993</v>
          </cell>
          <cell r="AA7">
            <v>17.38</v>
          </cell>
          <cell r="AB7">
            <v>15.73</v>
          </cell>
          <cell r="AC7">
            <v>14.52</v>
          </cell>
          <cell r="AD7">
            <v>18.545999999999999</v>
          </cell>
          <cell r="AE7">
            <v>66.175999999999988</v>
          </cell>
          <cell r="AF7">
            <v>15.113999999999997</v>
          </cell>
          <cell r="AG7">
            <v>14.079999999999997</v>
          </cell>
          <cell r="AH7">
            <v>13.045999999999996</v>
          </cell>
          <cell r="AI7">
            <v>17.533999999999995</v>
          </cell>
          <cell r="AJ7">
            <v>59.773999999999987</v>
          </cell>
          <cell r="AK7">
            <v>14.871999999999995</v>
          </cell>
          <cell r="AL7">
            <v>14.541999999999994</v>
          </cell>
          <cell r="AM7">
            <v>15.135999999999996</v>
          </cell>
          <cell r="AN7">
            <v>20.679999999999996</v>
          </cell>
          <cell r="AO7">
            <v>65.229999999999976</v>
          </cell>
          <cell r="AP7">
            <v>17.379999999999995</v>
          </cell>
          <cell r="AQ7">
            <v>18.259999999999994</v>
          </cell>
          <cell r="AR7">
            <v>18.699999999999996</v>
          </cell>
          <cell r="AS7">
            <v>27.059999999999992</v>
          </cell>
          <cell r="AT7">
            <v>81.399999999999977</v>
          </cell>
          <cell r="AU7">
            <v>24.639999999999993</v>
          </cell>
          <cell r="AV7">
            <v>23.979999999999993</v>
          </cell>
          <cell r="AW7">
            <v>24.639999999999993</v>
          </cell>
          <cell r="AX7">
            <v>33.879999999999988</v>
          </cell>
          <cell r="AY7">
            <v>107.13999999999999</v>
          </cell>
          <cell r="AZ7">
            <v>28.599999999999994</v>
          </cell>
          <cell r="BA7">
            <v>28.379999999999992</v>
          </cell>
          <cell r="BB7">
            <v>28.379999999999992</v>
          </cell>
          <cell r="BC7">
            <v>36.519999999999989</v>
          </cell>
          <cell r="BD7">
            <v>121.87999999999997</v>
          </cell>
          <cell r="BE7">
            <v>29.479999999999993</v>
          </cell>
          <cell r="BF7">
            <v>30.139999999999993</v>
          </cell>
          <cell r="BG7">
            <v>31.679999999999993</v>
          </cell>
          <cell r="BH7">
            <v>43.339999999999989</v>
          </cell>
          <cell r="BI7">
            <v>134.63999999999996</v>
          </cell>
          <cell r="BJ7">
            <v>33.439999999999991</v>
          </cell>
          <cell r="BK7">
            <v>35.199999999999989</v>
          </cell>
          <cell r="BL7">
            <v>37.179999999999993</v>
          </cell>
          <cell r="BM7">
            <v>49.719999999999985</v>
          </cell>
          <cell r="BN7">
            <v>155.53999999999996</v>
          </cell>
          <cell r="BO7">
            <v>37.839999999999989</v>
          </cell>
          <cell r="BP7">
            <v>35.859999999999992</v>
          </cell>
          <cell r="BQ7">
            <v>35.199999999999989</v>
          </cell>
          <cell r="BR7">
            <v>44.468638119115084</v>
          </cell>
          <cell r="BS7">
            <v>153.36863811911505</v>
          </cell>
          <cell r="BT7">
            <v>129.27295736347648</v>
          </cell>
          <cell r="BU7">
            <v>132.30481385261248</v>
          </cell>
          <cell r="BV7">
            <v>134.8076426956024</v>
          </cell>
          <cell r="BW7">
            <v>138.5749671110494</v>
          </cell>
          <cell r="BX7">
            <v>142.04752838358581</v>
          </cell>
          <cell r="BY7">
            <v>143.75209872418884</v>
          </cell>
          <cell r="BZ7">
            <v>145.47712390887909</v>
          </cell>
          <cell r="CA7">
            <v>147.22284939578563</v>
          </cell>
          <cell r="CB7">
            <v>148.98952358853509</v>
          </cell>
          <cell r="CC7">
            <v>150.77739787159749</v>
          </cell>
        </row>
        <row r="8">
          <cell r="A8" t="str">
            <v>Housewares/Home</v>
          </cell>
          <cell r="B8">
            <v>2.4611999999999998</v>
          </cell>
          <cell r="C8">
            <v>3.1360000000000001</v>
          </cell>
          <cell r="D8">
            <v>4.3959999999999999</v>
          </cell>
          <cell r="E8">
            <v>6.7096999999999989</v>
          </cell>
          <cell r="F8">
            <v>16.7029</v>
          </cell>
          <cell r="G8">
            <v>5.6391999999999998</v>
          </cell>
          <cell r="H8">
            <v>4.5399999999999983</v>
          </cell>
          <cell r="I8">
            <v>5.6759999999999975</v>
          </cell>
          <cell r="J8">
            <v>10.604999999999997</v>
          </cell>
          <cell r="K8">
            <v>26.460199999999993</v>
          </cell>
          <cell r="L8">
            <v>9.107999999999997</v>
          </cell>
          <cell r="M8">
            <v>8.4239999999999977</v>
          </cell>
          <cell r="N8">
            <v>9.3599999999999977</v>
          </cell>
          <cell r="O8">
            <v>15.446999999999997</v>
          </cell>
          <cell r="P8">
            <v>42.338999999999992</v>
          </cell>
          <cell r="Q8">
            <v>13.917640900018849</v>
          </cell>
          <cell r="R8">
            <v>15.408816710735154</v>
          </cell>
          <cell r="S8">
            <v>12.401999999999996</v>
          </cell>
          <cell r="T8">
            <v>16.991699999999998</v>
          </cell>
          <cell r="U8">
            <v>58.720157610754001</v>
          </cell>
          <cell r="V8">
            <v>16.478000000000002</v>
          </cell>
          <cell r="W8">
            <v>16.521999999999998</v>
          </cell>
          <cell r="X8">
            <v>16.763999999999999</v>
          </cell>
          <cell r="Y8">
            <v>22.330000000000002</v>
          </cell>
          <cell r="Z8">
            <v>72.093999999999994</v>
          </cell>
          <cell r="AA8">
            <v>17.38</v>
          </cell>
          <cell r="AB8">
            <v>15.73</v>
          </cell>
          <cell r="AC8">
            <v>14.52</v>
          </cell>
          <cell r="AD8">
            <v>18.545999999999999</v>
          </cell>
          <cell r="AE8">
            <v>66.175999999999988</v>
          </cell>
          <cell r="AF8">
            <v>15.113999999999997</v>
          </cell>
          <cell r="AG8">
            <v>14.079999999999997</v>
          </cell>
          <cell r="AH8">
            <v>13.045999999999996</v>
          </cell>
          <cell r="AI8">
            <v>17.533999999999995</v>
          </cell>
          <cell r="AJ8">
            <v>59.773999999999987</v>
          </cell>
          <cell r="AK8">
            <v>14.871999999999995</v>
          </cell>
          <cell r="AL8">
            <v>14.541999999999994</v>
          </cell>
          <cell r="AM8">
            <v>15.135999999999996</v>
          </cell>
          <cell r="AN8">
            <v>20.679999999999996</v>
          </cell>
          <cell r="AO8">
            <v>65.229999999999976</v>
          </cell>
          <cell r="AP8">
            <v>17.379999999999995</v>
          </cell>
          <cell r="AQ8">
            <v>18.259999999999994</v>
          </cell>
          <cell r="AR8">
            <v>18.699999999999996</v>
          </cell>
          <cell r="AS8">
            <v>27.059999999999992</v>
          </cell>
          <cell r="AT8">
            <v>81.399999999999977</v>
          </cell>
          <cell r="AU8">
            <v>24.639999999999993</v>
          </cell>
          <cell r="AV8">
            <v>23.979999999999993</v>
          </cell>
          <cell r="AW8">
            <v>24.639999999999993</v>
          </cell>
          <cell r="AX8">
            <v>33.879999999999988</v>
          </cell>
          <cell r="AY8">
            <v>107.13999999999999</v>
          </cell>
          <cell r="AZ8">
            <v>28.599999999999994</v>
          </cell>
          <cell r="BA8">
            <v>28.379999999999992</v>
          </cell>
          <cell r="BB8">
            <v>28.379999999999992</v>
          </cell>
          <cell r="BC8">
            <v>36.519999999999989</v>
          </cell>
          <cell r="BD8">
            <v>121.87999999999997</v>
          </cell>
          <cell r="BE8">
            <v>29.479999999999993</v>
          </cell>
          <cell r="BF8">
            <v>30.139999999999993</v>
          </cell>
          <cell r="BG8">
            <v>31.679999999999993</v>
          </cell>
          <cell r="BH8">
            <v>43.339999999999989</v>
          </cell>
          <cell r="BI8">
            <v>134.63999999999996</v>
          </cell>
          <cell r="BJ8">
            <v>33.439999999999991</v>
          </cell>
          <cell r="BK8">
            <v>35.199999999999989</v>
          </cell>
          <cell r="BL8">
            <v>37.179999999999993</v>
          </cell>
          <cell r="BM8">
            <v>49.719999999999985</v>
          </cell>
          <cell r="BN8">
            <v>155.53999999999996</v>
          </cell>
          <cell r="BO8">
            <v>37.839999999999989</v>
          </cell>
          <cell r="BP8">
            <v>35.859999999999992</v>
          </cell>
          <cell r="BQ8">
            <v>35.199999999999989</v>
          </cell>
          <cell r="BR8">
            <v>44.468638119115084</v>
          </cell>
          <cell r="BS8">
            <v>153.36863811911505</v>
          </cell>
          <cell r="BT8">
            <v>129.27295736347648</v>
          </cell>
          <cell r="BU8">
            <v>132.30481385261248</v>
          </cell>
          <cell r="BV8">
            <v>134.8076426956024</v>
          </cell>
          <cell r="BW8">
            <v>138.5749671110494</v>
          </cell>
          <cell r="BX8">
            <v>142.04752838358581</v>
          </cell>
          <cell r="BY8">
            <v>143.75209872418884</v>
          </cell>
          <cell r="BZ8">
            <v>145.47712390887909</v>
          </cell>
          <cell r="CA8">
            <v>147.22284939578563</v>
          </cell>
          <cell r="CB8">
            <v>148.98952358853509</v>
          </cell>
          <cell r="CC8">
            <v>150.77739787159749</v>
          </cell>
        </row>
        <row r="9">
          <cell r="A9" t="str">
            <v>Electronics</v>
          </cell>
          <cell r="B9">
            <v>0.94920000000000004</v>
          </cell>
          <cell r="C9">
            <v>1.1648000000000001</v>
          </cell>
          <cell r="D9">
            <v>1.3815999999999999</v>
          </cell>
          <cell r="E9">
            <v>3.2288999999999994</v>
          </cell>
          <cell r="F9">
            <v>6.724499999999999</v>
          </cell>
          <cell r="G9">
            <v>1.7596000000000001</v>
          </cell>
          <cell r="H9">
            <v>2.06</v>
          </cell>
          <cell r="I9">
            <v>1.98</v>
          </cell>
          <cell r="J9">
            <v>3.15</v>
          </cell>
          <cell r="K9">
            <v>8.9496000000000002</v>
          </cell>
          <cell r="L9">
            <v>2.9699999999999998</v>
          </cell>
          <cell r="M9">
            <v>3.96</v>
          </cell>
          <cell r="N9">
            <v>4.4000000000000004</v>
          </cell>
          <cell r="O9">
            <v>8.5499999999999989</v>
          </cell>
          <cell r="P9">
            <v>19.88</v>
          </cell>
          <cell r="Q9">
            <v>6.4071336947226536</v>
          </cell>
          <cell r="R9">
            <v>7.0936123048715087</v>
          </cell>
          <cell r="S9">
            <v>5.83</v>
          </cell>
          <cell r="T9">
            <v>9.8324999999999978</v>
          </cell>
          <cell r="U9">
            <v>29.16324599959416</v>
          </cell>
          <cell r="V9">
            <v>10.486000000000002</v>
          </cell>
          <cell r="W9">
            <v>10.513999999999999</v>
          </cell>
          <cell r="X9">
            <v>10.668000000000001</v>
          </cell>
          <cell r="Y9">
            <v>14.21</v>
          </cell>
          <cell r="Z9">
            <v>45.878</v>
          </cell>
          <cell r="AA9">
            <v>11.85</v>
          </cell>
          <cell r="AB9">
            <v>10.725</v>
          </cell>
          <cell r="AC9">
            <v>9.9</v>
          </cell>
          <cell r="AD9">
            <v>12.645</v>
          </cell>
          <cell r="AE9">
            <v>45.120000000000005</v>
          </cell>
          <cell r="AF9">
            <v>10.305000000000001</v>
          </cell>
          <cell r="AG9">
            <v>9.6000000000000014</v>
          </cell>
          <cell r="AH9">
            <v>8.8950000000000014</v>
          </cell>
          <cell r="AI9">
            <v>11.955000000000002</v>
          </cell>
          <cell r="AJ9">
            <v>40.75500000000001</v>
          </cell>
          <cell r="AK9">
            <v>10.14</v>
          </cell>
          <cell r="AL9">
            <v>9.9150000000000009</v>
          </cell>
          <cell r="AM9">
            <v>10.32</v>
          </cell>
          <cell r="AN9">
            <v>14.100000000000001</v>
          </cell>
          <cell r="AO9">
            <v>44.475000000000001</v>
          </cell>
          <cell r="AP9">
            <v>11.850000000000001</v>
          </cell>
          <cell r="AQ9">
            <v>12.450000000000001</v>
          </cell>
          <cell r="AR9">
            <v>12.750000000000002</v>
          </cell>
          <cell r="AS9">
            <v>18.450000000000003</v>
          </cell>
          <cell r="AT9">
            <v>55.500000000000007</v>
          </cell>
          <cell r="AU9">
            <v>16.800000000000004</v>
          </cell>
          <cell r="AV9">
            <v>16.350000000000001</v>
          </cell>
          <cell r="AW9">
            <v>16.800000000000004</v>
          </cell>
          <cell r="AX9">
            <v>23.100000000000005</v>
          </cell>
          <cell r="AY9">
            <v>73.050000000000011</v>
          </cell>
          <cell r="AZ9">
            <v>19.500000000000004</v>
          </cell>
          <cell r="BA9">
            <v>19.350000000000001</v>
          </cell>
          <cell r="BB9">
            <v>19.350000000000001</v>
          </cell>
          <cell r="BC9">
            <v>24.900000000000002</v>
          </cell>
          <cell r="BD9">
            <v>83.100000000000009</v>
          </cell>
          <cell r="BE9">
            <v>20.100000000000001</v>
          </cell>
          <cell r="BF9">
            <v>20.550000000000004</v>
          </cell>
          <cell r="BG9">
            <v>21.6</v>
          </cell>
          <cell r="BH9">
            <v>29.550000000000004</v>
          </cell>
          <cell r="BI9">
            <v>91.800000000000011</v>
          </cell>
          <cell r="BJ9">
            <v>22.800000000000004</v>
          </cell>
          <cell r="BK9">
            <v>24.000000000000004</v>
          </cell>
          <cell r="BL9">
            <v>25.350000000000005</v>
          </cell>
          <cell r="BM9">
            <v>33.900000000000006</v>
          </cell>
          <cell r="BN9">
            <v>106.05000000000001</v>
          </cell>
          <cell r="BO9">
            <v>25.800000000000004</v>
          </cell>
          <cell r="BP9">
            <v>24.450000000000003</v>
          </cell>
          <cell r="BQ9">
            <v>24.000000000000004</v>
          </cell>
          <cell r="BR9">
            <v>30.319525990305753</v>
          </cell>
          <cell r="BS9">
            <v>104.56952599030576</v>
          </cell>
          <cell r="BT9">
            <v>88.140652747824916</v>
          </cell>
          <cell r="BU9">
            <v>90.207827626781267</v>
          </cell>
          <cell r="BV9">
            <v>91.914301837910756</v>
          </cell>
          <cell r="BW9">
            <v>94.48293212117008</v>
          </cell>
          <cell r="BX9">
            <v>96.850587534263084</v>
          </cell>
          <cell r="BY9">
            <v>98.012794584674239</v>
          </cell>
          <cell r="BZ9">
            <v>99.188948119690338</v>
          </cell>
          <cell r="CA9">
            <v>100.37921549712661</v>
          </cell>
          <cell r="CB9">
            <v>101.58376608309214</v>
          </cell>
          <cell r="CC9">
            <v>102.80277127608923</v>
          </cell>
        </row>
        <row r="10">
          <cell r="A10" t="str">
            <v>Collectibles</v>
          </cell>
          <cell r="B10">
            <v>0.44519999999999998</v>
          </cell>
          <cell r="C10">
            <v>0.81920000000000004</v>
          </cell>
          <cell r="D10">
            <v>1.3188</v>
          </cell>
          <cell r="E10">
            <v>1.5571999999999999</v>
          </cell>
          <cell r="F10">
            <v>4.1403999999999996</v>
          </cell>
          <cell r="G10">
            <v>1.8867999999999998</v>
          </cell>
          <cell r="H10">
            <v>1.88</v>
          </cell>
          <cell r="I10">
            <v>1.76</v>
          </cell>
          <cell r="J10">
            <v>2.8000000000000003</v>
          </cell>
          <cell r="K10">
            <v>8.3268000000000004</v>
          </cell>
          <cell r="L10">
            <v>2.7720000000000002</v>
          </cell>
          <cell r="M10">
            <v>1.8</v>
          </cell>
          <cell r="N10">
            <v>2</v>
          </cell>
          <cell r="O10">
            <v>5.7</v>
          </cell>
          <cell r="P10">
            <v>12.272</v>
          </cell>
          <cell r="Q10">
            <v>3.8442802168335928</v>
          </cell>
          <cell r="R10">
            <v>4.2561673829229063</v>
          </cell>
          <cell r="S10">
            <v>2.65</v>
          </cell>
          <cell r="T10">
            <v>6.5549999999999997</v>
          </cell>
          <cell r="U10">
            <v>17.305447599756498</v>
          </cell>
          <cell r="V10">
            <v>5.2430000000000012</v>
          </cell>
          <cell r="W10">
            <v>5.2569999999999997</v>
          </cell>
          <cell r="X10">
            <v>5.3340000000000005</v>
          </cell>
          <cell r="Y10">
            <v>7.1050000000000004</v>
          </cell>
          <cell r="Z10">
            <v>22.939</v>
          </cell>
          <cell r="AA10">
            <v>5.53</v>
          </cell>
          <cell r="AB10">
            <v>5.0050000000000008</v>
          </cell>
          <cell r="AC10">
            <v>4.62</v>
          </cell>
          <cell r="AD10">
            <v>5.9010000000000007</v>
          </cell>
          <cell r="AE10">
            <v>21.056000000000001</v>
          </cell>
          <cell r="AF10">
            <v>4.8090000000000011</v>
          </cell>
          <cell r="AG10">
            <v>4.4800000000000004</v>
          </cell>
          <cell r="AH10">
            <v>4.1509999999999998</v>
          </cell>
          <cell r="AI10">
            <v>5.5790000000000006</v>
          </cell>
          <cell r="AJ10">
            <v>19.019000000000002</v>
          </cell>
          <cell r="AK10">
            <v>4.7320000000000002</v>
          </cell>
          <cell r="AL10">
            <v>4.6269999999999998</v>
          </cell>
          <cell r="AM10">
            <v>4.8159999999999998</v>
          </cell>
          <cell r="AN10">
            <v>6.580000000000001</v>
          </cell>
          <cell r="AO10">
            <v>20.755000000000003</v>
          </cell>
          <cell r="AP10">
            <v>5.53</v>
          </cell>
          <cell r="AQ10">
            <v>5.8100000000000005</v>
          </cell>
          <cell r="AR10">
            <v>5.95</v>
          </cell>
          <cell r="AS10">
            <v>8.6100000000000012</v>
          </cell>
          <cell r="AT10">
            <v>25.9</v>
          </cell>
          <cell r="AU10">
            <v>7.8400000000000007</v>
          </cell>
          <cell r="AV10">
            <v>7.6300000000000008</v>
          </cell>
          <cell r="AW10">
            <v>7.8400000000000007</v>
          </cell>
          <cell r="AX10">
            <v>10.780000000000001</v>
          </cell>
          <cell r="AY10">
            <v>34.090000000000003</v>
          </cell>
          <cell r="AZ10">
            <v>9.1000000000000014</v>
          </cell>
          <cell r="BA10">
            <v>9.0300000000000011</v>
          </cell>
          <cell r="BB10">
            <v>9.0300000000000011</v>
          </cell>
          <cell r="BC10">
            <v>11.620000000000001</v>
          </cell>
          <cell r="BD10">
            <v>38.78</v>
          </cell>
          <cell r="BE10">
            <v>9.3800000000000008</v>
          </cell>
          <cell r="BF10">
            <v>9.5900000000000016</v>
          </cell>
          <cell r="BG10">
            <v>10.080000000000002</v>
          </cell>
          <cell r="BH10">
            <v>13.790000000000001</v>
          </cell>
          <cell r="BI10">
            <v>42.84</v>
          </cell>
          <cell r="BJ10">
            <v>10.64</v>
          </cell>
          <cell r="BK10">
            <v>11.200000000000001</v>
          </cell>
          <cell r="BL10">
            <v>11.830000000000002</v>
          </cell>
          <cell r="BM10">
            <v>15.820000000000002</v>
          </cell>
          <cell r="BN10">
            <v>49.49</v>
          </cell>
          <cell r="BO10">
            <v>12.040000000000001</v>
          </cell>
          <cell r="BP10">
            <v>11.410000000000002</v>
          </cell>
          <cell r="BQ10">
            <v>11.200000000000001</v>
          </cell>
          <cell r="BR10">
            <v>14.149112128809351</v>
          </cell>
          <cell r="BS10">
            <v>48.799112128809355</v>
          </cell>
          <cell r="BT10">
            <v>41.13230461565162</v>
          </cell>
          <cell r="BU10">
            <v>42.096986225831259</v>
          </cell>
          <cell r="BV10">
            <v>42.893340857691683</v>
          </cell>
          <cell r="BW10">
            <v>44.092034989879373</v>
          </cell>
          <cell r="BX10">
            <v>45.196940849322772</v>
          </cell>
          <cell r="BY10">
            <v>45.739304139514644</v>
          </cell>
          <cell r="BZ10">
            <v>46.28817578918882</v>
          </cell>
          <cell r="CA10">
            <v>46.843633898659078</v>
          </cell>
          <cell r="CB10">
            <v>47.405757505442999</v>
          </cell>
          <cell r="CC10">
            <v>47.974626595508305</v>
          </cell>
        </row>
        <row r="11">
          <cell r="A11" t="str">
            <v>Other</v>
          </cell>
          <cell r="B11">
            <v>0.15119999999999933</v>
          </cell>
          <cell r="C11">
            <v>0.2176000000000009</v>
          </cell>
          <cell r="D11">
            <v>0.23550000000000004</v>
          </cell>
          <cell r="E11">
            <v>0.7786000000000044</v>
          </cell>
          <cell r="F11">
            <v>1.3829000000000047</v>
          </cell>
          <cell r="G11">
            <v>0.55120000000000147</v>
          </cell>
          <cell r="H11">
            <v>0.52000000000000313</v>
          </cell>
          <cell r="I11">
            <v>0.57199999999999918</v>
          </cell>
          <cell r="J11">
            <v>0.91000000000000369</v>
          </cell>
          <cell r="K11">
            <v>2.5532000000000075</v>
          </cell>
          <cell r="L11">
            <v>0.85800000000000409</v>
          </cell>
          <cell r="M11">
            <v>0.93599999999999994</v>
          </cell>
          <cell r="N11">
            <v>1.0400000000000063</v>
          </cell>
          <cell r="O11">
            <v>1.4820000000000064</v>
          </cell>
          <cell r="P11">
            <v>4.3160000000000167</v>
          </cell>
          <cell r="Q11">
            <v>1.652125188424904</v>
          </cell>
          <cell r="R11">
            <v>1.8291386014704401</v>
          </cell>
          <cell r="S11">
            <v>11.97312500000001</v>
          </cell>
          <cell r="T11">
            <v>21.581775000000015</v>
          </cell>
          <cell r="U11">
            <v>37.036163789895369</v>
          </cell>
          <cell r="V11">
            <v>2.2469999999999999</v>
          </cell>
          <cell r="W11">
            <v>2.2530000000000001</v>
          </cell>
          <cell r="X11">
            <v>2.2860000000000014</v>
          </cell>
          <cell r="Y11">
            <v>3.0450000000000017</v>
          </cell>
          <cell r="Z11">
            <v>9.8310000000000031</v>
          </cell>
          <cell r="AA11">
            <v>2.3700000000000045</v>
          </cell>
          <cell r="AB11">
            <v>2.1450000000000102</v>
          </cell>
          <cell r="AC11">
            <v>1.980000000000004</v>
          </cell>
          <cell r="AD11">
            <v>2.5289999999999964</v>
          </cell>
          <cell r="AE11">
            <v>9.0240000000000151</v>
          </cell>
          <cell r="AF11">
            <v>2.061000000000007</v>
          </cell>
          <cell r="AG11">
            <v>1.9200000000000017</v>
          </cell>
          <cell r="AH11">
            <v>1.7789999999999964</v>
          </cell>
          <cell r="AI11">
            <v>2.3910000000000053</v>
          </cell>
          <cell r="AJ11">
            <v>8.1510000000000105</v>
          </cell>
          <cell r="AK11">
            <v>2.0280000000000058</v>
          </cell>
          <cell r="AL11">
            <v>1.9830000000000041</v>
          </cell>
          <cell r="AM11">
            <v>2.0640000000000072</v>
          </cell>
          <cell r="AN11">
            <v>2.8200000000000074</v>
          </cell>
          <cell r="AO11">
            <v>8.8950000000000244</v>
          </cell>
          <cell r="AP11">
            <v>2.3700000000000045</v>
          </cell>
          <cell r="AQ11">
            <v>2.4900000000000091</v>
          </cell>
          <cell r="AR11">
            <v>2.5499999999999972</v>
          </cell>
          <cell r="AS11">
            <v>3.6900000000000119</v>
          </cell>
          <cell r="AT11">
            <v>11.100000000000023</v>
          </cell>
          <cell r="AU11">
            <v>3.3600000000000136</v>
          </cell>
          <cell r="AV11">
            <v>3.2700000000000102</v>
          </cell>
          <cell r="AW11">
            <v>3.3600000000000136</v>
          </cell>
          <cell r="AX11">
            <v>4.620000000000033</v>
          </cell>
          <cell r="AY11">
            <v>14.61000000000007</v>
          </cell>
          <cell r="AZ11">
            <v>3.9000000000000057</v>
          </cell>
          <cell r="BA11">
            <v>3.8700000000000045</v>
          </cell>
          <cell r="BB11">
            <v>3.8700000000000045</v>
          </cell>
          <cell r="BC11">
            <v>4.9800000000000182</v>
          </cell>
          <cell r="BD11">
            <v>16.620000000000005</v>
          </cell>
          <cell r="BE11">
            <v>4.0200000000000102</v>
          </cell>
          <cell r="BF11">
            <v>4.1100000000000136</v>
          </cell>
          <cell r="BG11">
            <v>4.3199999999999932</v>
          </cell>
          <cell r="BH11">
            <v>5.9099999999999966</v>
          </cell>
          <cell r="BI11">
            <v>18.360000000000014</v>
          </cell>
          <cell r="BJ11">
            <v>4.5600000000000023</v>
          </cell>
          <cell r="BK11">
            <v>4.8000000000000398</v>
          </cell>
          <cell r="BL11">
            <v>5.0699999999999932</v>
          </cell>
          <cell r="BM11">
            <v>6.7800000000000296</v>
          </cell>
          <cell r="BN11">
            <v>21.210000000000036</v>
          </cell>
          <cell r="BO11">
            <v>5.1599999999999966</v>
          </cell>
          <cell r="BP11">
            <v>4.8900000000000148</v>
          </cell>
          <cell r="BQ11">
            <v>4.8000000000000398</v>
          </cell>
          <cell r="BR11">
            <v>6.0639051980611782</v>
          </cell>
          <cell r="BS11">
            <v>20.913905198061116</v>
          </cell>
          <cell r="BT11">
            <v>17.628130549565071</v>
          </cell>
          <cell r="BU11">
            <v>18.041565525356191</v>
          </cell>
          <cell r="BV11">
            <v>18.382860367582225</v>
          </cell>
          <cell r="BW11">
            <v>18.896586424234101</v>
          </cell>
          <cell r="BX11">
            <v>19.37011750685258</v>
          </cell>
          <cell r="BY11">
            <v>19.602558916934868</v>
          </cell>
          <cell r="BZ11">
            <v>19.837789623938079</v>
          </cell>
          <cell r="CA11">
            <v>20.075843099425356</v>
          </cell>
          <cell r="CB11">
            <v>20.316753216618395</v>
          </cell>
          <cell r="CC11">
            <v>20.56055425521788</v>
          </cell>
        </row>
        <row r="12">
          <cell r="A12" t="str">
            <v>Total Revenues</v>
          </cell>
          <cell r="B12">
            <v>8.4</v>
          </cell>
          <cell r="C12">
            <v>12.8</v>
          </cell>
          <cell r="D12">
            <v>15.7</v>
          </cell>
          <cell r="E12">
            <v>22.9</v>
          </cell>
          <cell r="F12">
            <v>59.800000000000004</v>
          </cell>
          <cell r="G12">
            <v>21.2</v>
          </cell>
          <cell r="H12">
            <v>20</v>
          </cell>
          <cell r="I12">
            <v>22</v>
          </cell>
          <cell r="J12">
            <v>35</v>
          </cell>
          <cell r="K12">
            <v>98.2</v>
          </cell>
          <cell r="L12">
            <v>33</v>
          </cell>
          <cell r="M12">
            <v>36</v>
          </cell>
          <cell r="N12">
            <v>40</v>
          </cell>
          <cell r="O12">
            <v>57</v>
          </cell>
          <cell r="P12">
            <v>166</v>
          </cell>
          <cell r="Q12">
            <v>56.133000000000003</v>
          </cell>
          <cell r="R12">
            <v>62.14725</v>
          </cell>
          <cell r="S12">
            <v>63.595125000000003</v>
          </cell>
          <cell r="T12">
            <v>85.424625000000006</v>
          </cell>
          <cell r="U12">
            <v>267.3</v>
          </cell>
          <cell r="V12">
            <v>74.900000000000006</v>
          </cell>
          <cell r="W12">
            <v>75.099999999999994</v>
          </cell>
          <cell r="X12">
            <v>76.2</v>
          </cell>
          <cell r="Y12">
            <v>101.5</v>
          </cell>
          <cell r="Z12">
            <v>327.7</v>
          </cell>
          <cell r="AA12">
            <v>79</v>
          </cell>
          <cell r="AB12">
            <v>71.5</v>
          </cell>
          <cell r="AC12">
            <v>66</v>
          </cell>
          <cell r="AD12">
            <v>84.3</v>
          </cell>
          <cell r="AE12">
            <v>300.8</v>
          </cell>
          <cell r="AF12">
            <v>68.7</v>
          </cell>
          <cell r="AG12">
            <v>64</v>
          </cell>
          <cell r="AH12">
            <v>59.3</v>
          </cell>
          <cell r="AI12">
            <v>79.7</v>
          </cell>
          <cell r="AJ12">
            <v>271.7</v>
          </cell>
          <cell r="AK12">
            <v>67.599999999999994</v>
          </cell>
          <cell r="AL12">
            <v>66.099999999999994</v>
          </cell>
          <cell r="AM12">
            <v>68.8</v>
          </cell>
          <cell r="AN12">
            <v>94</v>
          </cell>
          <cell r="AO12">
            <v>296.5</v>
          </cell>
          <cell r="AP12">
            <v>79</v>
          </cell>
          <cell r="AQ12">
            <v>83</v>
          </cell>
          <cell r="AR12">
            <v>85</v>
          </cell>
          <cell r="AS12">
            <v>123</v>
          </cell>
          <cell r="AT12">
            <v>370</v>
          </cell>
          <cell r="AU12">
            <v>112</v>
          </cell>
          <cell r="AV12">
            <v>109</v>
          </cell>
          <cell r="AW12">
            <v>112</v>
          </cell>
          <cell r="AX12">
            <v>154</v>
          </cell>
          <cell r="AY12">
            <v>487.00000000000006</v>
          </cell>
          <cell r="AZ12">
            <v>130</v>
          </cell>
          <cell r="BA12">
            <v>129</v>
          </cell>
          <cell r="BB12">
            <v>129</v>
          </cell>
          <cell r="BC12">
            <v>166</v>
          </cell>
          <cell r="BD12">
            <v>554</v>
          </cell>
          <cell r="BE12">
            <v>134</v>
          </cell>
          <cell r="BF12">
            <v>137</v>
          </cell>
          <cell r="BG12">
            <v>144</v>
          </cell>
          <cell r="BH12">
            <v>197</v>
          </cell>
          <cell r="BI12">
            <v>612</v>
          </cell>
          <cell r="BJ12">
            <v>152</v>
          </cell>
          <cell r="BK12">
            <v>160</v>
          </cell>
          <cell r="BL12">
            <v>169</v>
          </cell>
          <cell r="BM12">
            <v>226</v>
          </cell>
          <cell r="BN12">
            <v>707</v>
          </cell>
          <cell r="BO12">
            <v>172</v>
          </cell>
          <cell r="BP12">
            <v>163</v>
          </cell>
          <cell r="BQ12">
            <v>160</v>
          </cell>
          <cell r="BR12">
            <v>202.13017326870499</v>
          </cell>
          <cell r="BS12">
            <v>697.13017326870499</v>
          </cell>
          <cell r="BT12">
            <v>587.60435165216597</v>
          </cell>
          <cell r="BU12">
            <v>601.38551751187504</v>
          </cell>
          <cell r="BV12">
            <v>612.76201225273826</v>
          </cell>
          <cell r="BW12">
            <v>629.88621414113379</v>
          </cell>
          <cell r="BX12">
            <v>645.6705835617538</v>
          </cell>
          <cell r="BY12">
            <v>653.41863056449483</v>
          </cell>
          <cell r="BZ12">
            <v>661.2596541312688</v>
          </cell>
          <cell r="CA12">
            <v>669.19476998084394</v>
          </cell>
          <cell r="CB12">
            <v>677.22510722061418</v>
          </cell>
          <cell r="CC12">
            <v>685.35180850726147</v>
          </cell>
        </row>
        <row r="13">
          <cell r="A13" t="str">
            <v>% Change</v>
          </cell>
          <cell r="G13">
            <v>1.5238095238095237</v>
          </cell>
          <cell r="H13">
            <v>0.5625</v>
          </cell>
          <cell r="I13">
            <v>0.4012738853503186</v>
          </cell>
          <cell r="J13">
            <v>0.52838427947598254</v>
          </cell>
          <cell r="K13">
            <v>0.64214046822742477</v>
          </cell>
          <cell r="L13">
            <v>0.55660377358490565</v>
          </cell>
          <cell r="M13">
            <v>0.8</v>
          </cell>
          <cell r="N13">
            <v>0.81818181818181812</v>
          </cell>
          <cell r="O13">
            <v>0.62857142857142856</v>
          </cell>
          <cell r="P13">
            <v>0.69042769857433806</v>
          </cell>
          <cell r="Q13">
            <v>0.70100000000000007</v>
          </cell>
          <cell r="R13">
            <v>0.72631249999999992</v>
          </cell>
          <cell r="S13">
            <v>0.58987812500000003</v>
          </cell>
          <cell r="T13">
            <v>0.4986776315789474</v>
          </cell>
          <cell r="U13">
            <v>0.61024096385542181</v>
          </cell>
          <cell r="V13">
            <v>0.33433096396059359</v>
          </cell>
          <cell r="W13">
            <v>0.20842032431040791</v>
          </cell>
          <cell r="X13">
            <v>0.19820505109471842</v>
          </cell>
          <cell r="Y13">
            <v>0.18818197914243107</v>
          </cell>
          <cell r="Z13">
            <v>0.22596333707444805</v>
          </cell>
          <cell r="AA13">
            <v>5.4739652870493982E-2</v>
          </cell>
          <cell r="AB13">
            <v>-4.7936085219706936E-2</v>
          </cell>
          <cell r="AC13">
            <v>-0.13385826771653542</v>
          </cell>
          <cell r="AD13">
            <v>-0.16945812807881777</v>
          </cell>
          <cell r="AE13">
            <v>-8.2087274946597399E-2</v>
          </cell>
          <cell r="AF13">
            <v>-0.13037974683544296</v>
          </cell>
          <cell r="AG13">
            <v>-0.1048951048951049</v>
          </cell>
          <cell r="AH13">
            <v>-0.10151515151515156</v>
          </cell>
          <cell r="AI13">
            <v>-5.4567022538552723E-2</v>
          </cell>
          <cell r="AJ13">
            <v>-9.6742021276595813E-2</v>
          </cell>
          <cell r="AK13">
            <v>-1.6011644832605643E-2</v>
          </cell>
          <cell r="AL13">
            <v>3.2812499999999911E-2</v>
          </cell>
          <cell r="AM13">
            <v>0.16020236087689721</v>
          </cell>
          <cell r="AN13">
            <v>0.17942283563362604</v>
          </cell>
          <cell r="AO13">
            <v>9.1277143908722991E-2</v>
          </cell>
          <cell r="AP13">
            <v>0.16863905325443795</v>
          </cell>
          <cell r="AQ13">
            <v>0.25567322239031776</v>
          </cell>
          <cell r="AR13">
            <v>0.23546511627906974</v>
          </cell>
          <cell r="AS13">
            <v>0.3085106382978724</v>
          </cell>
          <cell r="AT13">
            <v>0.24789207419898829</v>
          </cell>
          <cell r="AU13">
            <v>0.41772151898734178</v>
          </cell>
          <cell r="AV13">
            <v>0.31325301204819267</v>
          </cell>
          <cell r="AW13">
            <v>0.31764705882352939</v>
          </cell>
          <cell r="AX13">
            <v>0.25203252032520318</v>
          </cell>
          <cell r="AY13">
            <v>0.31621621621621632</v>
          </cell>
          <cell r="AZ13">
            <v>0.16071428571428581</v>
          </cell>
          <cell r="BA13">
            <v>0.1834862385321101</v>
          </cell>
          <cell r="BB13">
            <v>0.15178571428571419</v>
          </cell>
          <cell r="BC13">
            <v>7.7922077922077948E-2</v>
          </cell>
          <cell r="BD13">
            <v>0.13757700205338796</v>
          </cell>
          <cell r="BE13">
            <v>3.076923076923066E-2</v>
          </cell>
          <cell r="BF13">
            <v>6.2015503875969102E-2</v>
          </cell>
          <cell r="BG13">
            <v>0.11627906976744184</v>
          </cell>
          <cell r="BH13">
            <v>0.18674698795180733</v>
          </cell>
          <cell r="BI13">
            <v>0.10469314079422376</v>
          </cell>
          <cell r="BJ13">
            <v>0.13432835820895517</v>
          </cell>
          <cell r="BK13">
            <v>0.16788321167883202</v>
          </cell>
          <cell r="BL13">
            <v>0.17361111111111116</v>
          </cell>
          <cell r="BM13">
            <v>0.14720812182741128</v>
          </cell>
          <cell r="BN13">
            <v>0.15522875816993453</v>
          </cell>
          <cell r="BO13">
            <v>0.13157894736842102</v>
          </cell>
          <cell r="BP13">
            <v>1.8750000000000044E-2</v>
          </cell>
          <cell r="BQ13">
            <v>-5.3254437869822535E-2</v>
          </cell>
          <cell r="BR13">
            <v>-0.1056187023508629</v>
          </cell>
          <cell r="BS13">
            <v>-1.3960150963642115E-2</v>
          </cell>
          <cell r="BT13">
            <v>-0.15710956979956003</v>
          </cell>
          <cell r="BU13">
            <v>2.3453137848554961E-2</v>
          </cell>
          <cell r="BV13">
            <v>1.8917141184130015E-2</v>
          </cell>
          <cell r="BW13">
            <v>2.7945926062617144E-2</v>
          </cell>
          <cell r="BX13">
            <v>2.5059080618461183E-2</v>
          </cell>
          <cell r="BY13">
            <v>1.2000000000000011E-2</v>
          </cell>
          <cell r="BZ13">
            <v>1.2000000000000011E-2</v>
          </cell>
          <cell r="CA13">
            <v>1.1999999999999789E-2</v>
          </cell>
          <cell r="CB13">
            <v>1.2000000000000233E-2</v>
          </cell>
          <cell r="CC13">
            <v>1.1999999999999789E-2</v>
          </cell>
        </row>
        <row r="14">
          <cell r="A14" t="str">
            <v>Cost of Goods Sold</v>
          </cell>
          <cell r="B14">
            <v>5.04</v>
          </cell>
          <cell r="C14">
            <v>7.68</v>
          </cell>
          <cell r="D14">
            <v>9.4199999999999982</v>
          </cell>
          <cell r="E14">
            <v>13.739999999999998</v>
          </cell>
          <cell r="F14">
            <v>35.880000000000003</v>
          </cell>
          <cell r="G14">
            <v>12.719999999999999</v>
          </cell>
          <cell r="H14">
            <v>12</v>
          </cell>
          <cell r="I14">
            <v>13.2</v>
          </cell>
          <cell r="J14">
            <v>21</v>
          </cell>
          <cell r="K14">
            <v>58.92</v>
          </cell>
          <cell r="L14">
            <v>19.569000000000003</v>
          </cell>
          <cell r="M14">
            <v>21.024000000000001</v>
          </cell>
          <cell r="N14">
            <v>23.560000000000002</v>
          </cell>
          <cell r="O14">
            <v>33.857999999999997</v>
          </cell>
          <cell r="P14">
            <v>98.010999999999996</v>
          </cell>
          <cell r="Q14">
            <v>35.922600000000003</v>
          </cell>
          <cell r="R14">
            <v>38.15325</v>
          </cell>
          <cell r="S14">
            <v>39.498925</v>
          </cell>
          <cell r="T14">
            <v>53.670825000000008</v>
          </cell>
          <cell r="U14">
            <v>167.24560000000002</v>
          </cell>
          <cell r="V14">
            <v>47.625600000000006</v>
          </cell>
          <cell r="W14">
            <v>47.825599999999994</v>
          </cell>
          <cell r="X14">
            <v>49.576999999999998</v>
          </cell>
          <cell r="Y14">
            <v>65.460000000000008</v>
          </cell>
          <cell r="Z14">
            <v>210.48819999999998</v>
          </cell>
          <cell r="AA14">
            <v>51.191999999999993</v>
          </cell>
          <cell r="AB14">
            <v>47.332999999999998</v>
          </cell>
          <cell r="AC14">
            <v>42.372</v>
          </cell>
          <cell r="AD14">
            <v>55.216499999999996</v>
          </cell>
          <cell r="AE14">
            <v>196.11349999999999</v>
          </cell>
          <cell r="AF14">
            <v>44.723700000000008</v>
          </cell>
          <cell r="AG14">
            <v>41.984000000000002</v>
          </cell>
          <cell r="AH14">
            <v>38.426400000000001</v>
          </cell>
          <cell r="AI14">
            <v>49.095200000000006</v>
          </cell>
          <cell r="AJ14">
            <v>174.22930000000002</v>
          </cell>
          <cell r="AK14">
            <v>43.8048</v>
          </cell>
          <cell r="AL14">
            <v>43.361599999999996</v>
          </cell>
          <cell r="AM14">
            <v>44.5824</v>
          </cell>
          <cell r="AN14">
            <v>58.655999999999999</v>
          </cell>
          <cell r="AO14">
            <v>190.40479999999999</v>
          </cell>
          <cell r="AP14">
            <v>49.927999999999997</v>
          </cell>
          <cell r="AQ14">
            <v>53.369</v>
          </cell>
          <cell r="AR14">
            <v>53.975000000000001</v>
          </cell>
          <cell r="AS14">
            <v>76.75200000000001</v>
          </cell>
          <cell r="AT14">
            <v>234.024</v>
          </cell>
          <cell r="AU14">
            <v>69.44</v>
          </cell>
          <cell r="AV14">
            <v>68.67</v>
          </cell>
          <cell r="AW14">
            <v>70.56</v>
          </cell>
          <cell r="AX14">
            <v>107.80000000000001</v>
          </cell>
          <cell r="AY14">
            <v>316.47000000000003</v>
          </cell>
          <cell r="AZ14">
            <v>82.550000000000011</v>
          </cell>
          <cell r="BA14">
            <v>83.85</v>
          </cell>
          <cell r="BB14">
            <v>83.205000000000013</v>
          </cell>
          <cell r="BC14">
            <v>106.24000000000001</v>
          </cell>
          <cell r="BD14">
            <v>355.84500000000003</v>
          </cell>
          <cell r="BE14">
            <v>85.09</v>
          </cell>
          <cell r="BF14">
            <v>87.68</v>
          </cell>
          <cell r="BG14">
            <v>92.16</v>
          </cell>
          <cell r="BH14">
            <v>120.63</v>
          </cell>
          <cell r="BI14">
            <v>385.56</v>
          </cell>
          <cell r="BJ14">
            <v>98.800000000000011</v>
          </cell>
          <cell r="BK14">
            <v>104</v>
          </cell>
          <cell r="BL14">
            <v>109.005</v>
          </cell>
          <cell r="BM14">
            <v>140.67500000000001</v>
          </cell>
          <cell r="BN14">
            <v>452.48</v>
          </cell>
          <cell r="BO14">
            <v>111.80000000000001</v>
          </cell>
          <cell r="BP14">
            <v>105.95</v>
          </cell>
          <cell r="BQ14">
            <v>103.2</v>
          </cell>
          <cell r="BR14">
            <v>125.21331089197122</v>
          </cell>
          <cell r="BS14">
            <v>446.16331089197121</v>
          </cell>
          <cell r="BT14">
            <v>376.06678505738626</v>
          </cell>
          <cell r="BU14">
            <v>384.88673120760006</v>
          </cell>
          <cell r="BV14">
            <v>392.16768784175247</v>
          </cell>
          <cell r="BW14">
            <v>403.1271770503256</v>
          </cell>
          <cell r="BX14">
            <v>413.22917347952244</v>
          </cell>
          <cell r="BY14">
            <v>418.1879235612767</v>
          </cell>
          <cell r="BZ14">
            <v>423.20617864401208</v>
          </cell>
          <cell r="CA14">
            <v>428.28465278774013</v>
          </cell>
          <cell r="CB14">
            <v>433.4240686211931</v>
          </cell>
          <cell r="CC14">
            <v>438.62515744464736</v>
          </cell>
        </row>
        <row r="15">
          <cell r="A15" t="str">
            <v>Gross Profit</v>
          </cell>
          <cell r="B15">
            <v>3.3600000000000003</v>
          </cell>
          <cell r="C15">
            <v>5.120000000000001</v>
          </cell>
          <cell r="D15">
            <v>6.28</v>
          </cell>
          <cell r="E15">
            <v>9.16</v>
          </cell>
          <cell r="F15">
            <v>23.92</v>
          </cell>
          <cell r="G15">
            <v>8.48</v>
          </cell>
          <cell r="H15">
            <v>8</v>
          </cell>
          <cell r="I15">
            <v>8.8000000000000007</v>
          </cell>
          <cell r="J15">
            <v>14</v>
          </cell>
          <cell r="K15">
            <v>39.28</v>
          </cell>
          <cell r="L15">
            <v>13.430999999999999</v>
          </cell>
          <cell r="M15">
            <v>14.975999999999999</v>
          </cell>
          <cell r="N15">
            <v>16.439999999999998</v>
          </cell>
          <cell r="O15">
            <v>23.142000000000003</v>
          </cell>
          <cell r="P15">
            <v>67.989000000000004</v>
          </cell>
          <cell r="Q15">
            <v>20.2104</v>
          </cell>
          <cell r="R15">
            <v>23.994</v>
          </cell>
          <cell r="S15">
            <v>24.0962</v>
          </cell>
          <cell r="T15">
            <v>31.753799999999998</v>
          </cell>
          <cell r="U15">
            <v>100.0544</v>
          </cell>
          <cell r="V15">
            <v>27.2744</v>
          </cell>
          <cell r="W15">
            <v>27.2744</v>
          </cell>
          <cell r="X15">
            <v>26.623000000000005</v>
          </cell>
          <cell r="Y15">
            <v>36.04</v>
          </cell>
          <cell r="Z15">
            <v>117.21180000000001</v>
          </cell>
          <cell r="AA15">
            <v>27.808000000000003</v>
          </cell>
          <cell r="AB15">
            <v>24.167000000000002</v>
          </cell>
          <cell r="AC15">
            <v>23.628</v>
          </cell>
          <cell r="AD15">
            <v>29.083499999999997</v>
          </cell>
          <cell r="AE15">
            <v>104.68650000000001</v>
          </cell>
          <cell r="AF15">
            <v>23.976299999999998</v>
          </cell>
          <cell r="AG15">
            <v>22.015999999999998</v>
          </cell>
          <cell r="AH15">
            <v>20.873599999999996</v>
          </cell>
          <cell r="AI15">
            <v>30.604800000000001</v>
          </cell>
          <cell r="AJ15">
            <v>97.470699999999994</v>
          </cell>
          <cell r="AK15">
            <v>23.795199999999998</v>
          </cell>
          <cell r="AL15">
            <v>22.738399999999995</v>
          </cell>
          <cell r="AM15">
            <v>24.217599999999997</v>
          </cell>
          <cell r="AN15">
            <v>35.344000000000001</v>
          </cell>
          <cell r="AO15">
            <v>106.09519999999998</v>
          </cell>
          <cell r="AP15">
            <v>29.071999999999999</v>
          </cell>
          <cell r="AQ15">
            <v>29.631</v>
          </cell>
          <cell r="AR15">
            <v>31.024999999999999</v>
          </cell>
          <cell r="AS15">
            <v>46.247999999999998</v>
          </cell>
          <cell r="AT15">
            <v>135.976</v>
          </cell>
          <cell r="AU15">
            <v>42.56</v>
          </cell>
          <cell r="AV15">
            <v>40.33</v>
          </cell>
          <cell r="AW15">
            <v>41.44</v>
          </cell>
          <cell r="AX15">
            <v>46.199999999999996</v>
          </cell>
          <cell r="AY15">
            <v>170.53</v>
          </cell>
          <cell r="AZ15">
            <v>47.449999999999996</v>
          </cell>
          <cell r="BA15">
            <v>45.15</v>
          </cell>
          <cell r="BB15">
            <v>45.794999999999995</v>
          </cell>
          <cell r="BC15">
            <v>59.76</v>
          </cell>
          <cell r="BD15">
            <v>198.15499999999997</v>
          </cell>
          <cell r="BE15">
            <v>48.91</v>
          </cell>
          <cell r="BF15">
            <v>49.32</v>
          </cell>
          <cell r="BG15">
            <v>51.839999999999996</v>
          </cell>
          <cell r="BH15">
            <v>76.37</v>
          </cell>
          <cell r="BI15">
            <v>226.44</v>
          </cell>
          <cell r="BJ15">
            <v>53.199999999999996</v>
          </cell>
          <cell r="BK15">
            <v>56</v>
          </cell>
          <cell r="BL15">
            <v>59.994999999999997</v>
          </cell>
          <cell r="BM15">
            <v>85.324999999999989</v>
          </cell>
          <cell r="BN15">
            <v>254.51999999999998</v>
          </cell>
          <cell r="BO15">
            <v>60.199999999999996</v>
          </cell>
          <cell r="BP15">
            <v>57.05</v>
          </cell>
          <cell r="BQ15">
            <v>56.8</v>
          </cell>
          <cell r="BR15">
            <v>76.916862376733775</v>
          </cell>
          <cell r="BS15">
            <v>250.96686237673379</v>
          </cell>
          <cell r="BT15">
            <v>211.53756659477975</v>
          </cell>
          <cell r="BU15">
            <v>216.498786304275</v>
          </cell>
          <cell r="BV15">
            <v>220.59432441098576</v>
          </cell>
          <cell r="BW15">
            <v>226.75903709080816</v>
          </cell>
          <cell r="BX15">
            <v>232.44141008223136</v>
          </cell>
          <cell r="BY15">
            <v>235.23070700321813</v>
          </cell>
          <cell r="BZ15">
            <v>238.05347548725675</v>
          </cell>
          <cell r="CA15">
            <v>240.91011719310382</v>
          </cell>
          <cell r="CB15">
            <v>243.8010385994211</v>
          </cell>
          <cell r="CC15">
            <v>246.72665106261411</v>
          </cell>
        </row>
        <row r="16">
          <cell r="A16" t="str">
            <v>Gross Margin</v>
          </cell>
          <cell r="B16">
            <v>0.4</v>
          </cell>
          <cell r="C16">
            <v>0.4</v>
          </cell>
          <cell r="D16">
            <v>0.4</v>
          </cell>
          <cell r="E16">
            <v>0.4</v>
          </cell>
          <cell r="F16">
            <v>0.4</v>
          </cell>
          <cell r="G16">
            <v>0.4</v>
          </cell>
          <cell r="H16">
            <v>0.4</v>
          </cell>
          <cell r="I16">
            <v>0.4</v>
          </cell>
          <cell r="J16">
            <v>0.4</v>
          </cell>
          <cell r="K16">
            <v>0.4</v>
          </cell>
          <cell r="L16">
            <v>0.40699999999999997</v>
          </cell>
          <cell r="M16">
            <v>0.41599999999999998</v>
          </cell>
          <cell r="N16">
            <v>0.41099999999999998</v>
          </cell>
          <cell r="O16">
            <v>0.40600000000000003</v>
          </cell>
          <cell r="P16">
            <v>0.40957228915662652</v>
          </cell>
          <cell r="Q16">
            <v>0.3600448933782267</v>
          </cell>
          <cell r="R16">
            <v>0.38608305274971944</v>
          </cell>
          <cell r="S16">
            <v>0.37890011223344555</v>
          </cell>
          <cell r="T16">
            <v>0.37171717171717167</v>
          </cell>
          <cell r="U16">
            <v>0.37431500187055744</v>
          </cell>
          <cell r="V16">
            <v>0.36414419225634176</v>
          </cell>
          <cell r="W16">
            <v>0.36317443408788286</v>
          </cell>
          <cell r="X16">
            <v>0.34938320209973756</v>
          </cell>
          <cell r="Y16">
            <v>0.35507389162561576</v>
          </cell>
          <cell r="Z16">
            <v>0.35768019530057982</v>
          </cell>
          <cell r="AA16">
            <v>0.35200000000000004</v>
          </cell>
          <cell r="AB16">
            <v>0.33800000000000002</v>
          </cell>
          <cell r="AC16">
            <v>0.35799999999999998</v>
          </cell>
          <cell r="AD16">
            <v>0.34499999999999997</v>
          </cell>
          <cell r="AE16">
            <v>0.34802692819148939</v>
          </cell>
          <cell r="AF16">
            <v>0.34899999999999998</v>
          </cell>
          <cell r="AG16">
            <v>0.34399999999999997</v>
          </cell>
          <cell r="AH16">
            <v>0.35199999999999998</v>
          </cell>
          <cell r="AI16">
            <v>0.38400000000000001</v>
          </cell>
          <cell r="AJ16">
            <v>0.35874383511225616</v>
          </cell>
          <cell r="AK16">
            <v>0.35199999999999998</v>
          </cell>
          <cell r="AL16">
            <v>0.34399999999999997</v>
          </cell>
          <cell r="AM16">
            <v>0.35199999999999998</v>
          </cell>
          <cell r="AN16">
            <v>0.376</v>
          </cell>
          <cell r="AO16">
            <v>0.35782529510961208</v>
          </cell>
          <cell r="AP16">
            <v>0.36799999999999999</v>
          </cell>
          <cell r="AQ16">
            <v>0.35699999999999998</v>
          </cell>
          <cell r="AR16">
            <v>0.36499999999999999</v>
          </cell>
          <cell r="AS16">
            <v>0.376</v>
          </cell>
          <cell r="AT16">
            <v>0.36750270270270269</v>
          </cell>
          <cell r="AU16">
            <v>0.38</v>
          </cell>
          <cell r="AV16">
            <v>0.37</v>
          </cell>
          <cell r="AW16">
            <v>0.37</v>
          </cell>
          <cell r="AX16">
            <v>0.3</v>
          </cell>
          <cell r="AY16">
            <v>0.35016427104722792</v>
          </cell>
          <cell r="AZ16">
            <v>0.36499999999999999</v>
          </cell>
          <cell r="BA16">
            <v>0.35</v>
          </cell>
          <cell r="BB16">
            <v>0.35499999999999998</v>
          </cell>
          <cell r="BC16">
            <v>0.36</v>
          </cell>
          <cell r="BD16">
            <v>0.35768050541516239</v>
          </cell>
          <cell r="BE16">
            <v>0.36499999999999999</v>
          </cell>
          <cell r="BF16">
            <v>0.36</v>
          </cell>
          <cell r="BG16">
            <v>0.36</v>
          </cell>
          <cell r="BH16">
            <v>0.38766497461928934</v>
          </cell>
          <cell r="BI16">
            <v>0.37</v>
          </cell>
          <cell r="BJ16">
            <v>0.35</v>
          </cell>
          <cell r="BK16">
            <v>0.35</v>
          </cell>
          <cell r="BL16">
            <v>0.35499999999999998</v>
          </cell>
          <cell r="BM16">
            <v>0.37754424778761059</v>
          </cell>
          <cell r="BN16">
            <v>0.36</v>
          </cell>
          <cell r="BO16">
            <v>0.35</v>
          </cell>
          <cell r="BP16">
            <v>0.35</v>
          </cell>
          <cell r="BQ16">
            <v>0.35499999999999998</v>
          </cell>
          <cell r="BR16">
            <v>0.38053132361630693</v>
          </cell>
          <cell r="BS16">
            <v>0.36</v>
          </cell>
          <cell r="BT16">
            <v>0.36</v>
          </cell>
          <cell r="BU16">
            <v>0.36</v>
          </cell>
          <cell r="BV16">
            <v>0.36</v>
          </cell>
          <cell r="BW16">
            <v>0.36</v>
          </cell>
          <cell r="BX16">
            <v>0.36</v>
          </cell>
          <cell r="BY16">
            <v>0.36</v>
          </cell>
          <cell r="BZ16">
            <v>0.36</v>
          </cell>
          <cell r="CA16">
            <v>0.36</v>
          </cell>
          <cell r="CB16">
            <v>0.36</v>
          </cell>
          <cell r="CC16">
            <v>0.36</v>
          </cell>
        </row>
        <row r="18">
          <cell r="A18" t="str">
            <v>£  per US$</v>
          </cell>
          <cell r="Z18">
            <v>0.61816158743895655</v>
          </cell>
          <cell r="AK18">
            <v>0.70006492232558126</v>
          </cell>
          <cell r="AL18">
            <v>0.68433895784615384</v>
          </cell>
          <cell r="AM18">
            <v>0.6521707550000001</v>
          </cell>
          <cell r="AN18">
            <v>0.63616738666666683</v>
          </cell>
          <cell r="AO18">
            <v>0.66518811518889287</v>
          </cell>
          <cell r="AP18">
            <v>0.62388690765625032</v>
          </cell>
          <cell r="AQ18">
            <v>0.63262194892857126</v>
          </cell>
          <cell r="AR18">
            <v>0.59589999999999999</v>
          </cell>
          <cell r="AS18">
            <v>0.5857678668181816</v>
          </cell>
          <cell r="AT18">
            <v>0.60674495968797704</v>
          </cell>
          <cell r="AU18">
            <v>0.54432856369230709</v>
          </cell>
          <cell r="AV18">
            <v>0.5529750055297501</v>
          </cell>
          <cell r="AW18">
            <v>0.55004257333333284</v>
          </cell>
          <cell r="AX18">
            <v>0.53530324929072315</v>
          </cell>
          <cell r="AY18">
            <v>0.54472390829647999</v>
          </cell>
          <cell r="AZ18">
            <v>0.52896059243586346</v>
          </cell>
          <cell r="BA18">
            <v>0.5391901259999996</v>
          </cell>
          <cell r="BB18">
            <v>0.56006720806496779</v>
          </cell>
          <cell r="BC18">
            <v>0.57218058019110829</v>
          </cell>
          <cell r="BD18">
            <v>0.5515361902938033</v>
          </cell>
          <cell r="BE18">
            <v>0.57093919497573509</v>
          </cell>
          <cell r="BF18">
            <v>0.57099999999999995</v>
          </cell>
          <cell r="BG18">
            <v>0.53300000000000003</v>
          </cell>
          <cell r="BH18">
            <v>0.53</v>
          </cell>
          <cell r="BI18">
            <v>0.54884779759272628</v>
          </cell>
          <cell r="BJ18">
            <v>0.51164874939393934</v>
          </cell>
          <cell r="BK18">
            <v>0.50354394318181817</v>
          </cell>
          <cell r="BL18">
            <v>0.49490832257575745</v>
          </cell>
          <cell r="BM18">
            <v>0.48946639373134349</v>
          </cell>
          <cell r="BN18">
            <v>0.4987221390601928</v>
          </cell>
          <cell r="BO18">
            <v>0.50547582772727262</v>
          </cell>
          <cell r="BP18">
            <v>0.50740189125000001</v>
          </cell>
          <cell r="BQ18">
            <v>0.52898716059701512</v>
          </cell>
          <cell r="BR18">
            <v>0.55000000000000004</v>
          </cell>
          <cell r="BS18">
            <v>0.5242319234621442</v>
          </cell>
          <cell r="BT18">
            <v>0.60606060606060608</v>
          </cell>
          <cell r="BU18">
            <v>0.60606060606060608</v>
          </cell>
          <cell r="BV18">
            <v>0.60606060606060608</v>
          </cell>
          <cell r="BW18">
            <v>0.60606060606060608</v>
          </cell>
          <cell r="BX18">
            <v>0.60606060606060608</v>
          </cell>
          <cell r="BY18">
            <v>0.60606060606060608</v>
          </cell>
          <cell r="BZ18">
            <v>0.60606060606060608</v>
          </cell>
          <cell r="CA18">
            <v>0.60606060606060608</v>
          </cell>
          <cell r="CB18">
            <v>0.60606060606060608</v>
          </cell>
          <cell r="CC18">
            <v>0.60606060606060608</v>
          </cell>
        </row>
        <row r="19">
          <cell r="A19" t="str">
            <v>Sales £</v>
          </cell>
          <cell r="Z19">
            <v>202.57155220374605</v>
          </cell>
          <cell r="AK19">
            <v>47.324388749209291</v>
          </cell>
          <cell r="AL19">
            <v>45.234805113630763</v>
          </cell>
          <cell r="AM19">
            <v>44.869347944000005</v>
          </cell>
          <cell r="AN19">
            <v>59.799734346666682</v>
          </cell>
          <cell r="AO19">
            <v>197.22827615350673</v>
          </cell>
          <cell r="AP19">
            <v>49.287065704843776</v>
          </cell>
          <cell r="AQ19">
            <v>52.507621761071412</v>
          </cell>
          <cell r="AR19">
            <v>50.651499999999999</v>
          </cell>
          <cell r="AS19">
            <v>72.049447618636336</v>
          </cell>
          <cell r="AT19">
            <v>224.49563508455151</v>
          </cell>
          <cell r="AU19">
            <v>60.964799133538392</v>
          </cell>
          <cell r="AV19">
            <v>60.274275602742762</v>
          </cell>
          <cell r="AW19">
            <v>61.60476821333328</v>
          </cell>
          <cell r="AX19">
            <v>82.436700390771364</v>
          </cell>
          <cell r="AY19">
            <v>265.2805433403858</v>
          </cell>
          <cell r="AZ19">
            <v>68.764877016662254</v>
          </cell>
          <cell r="BA19">
            <v>69.555526253999943</v>
          </cell>
          <cell r="BB19">
            <v>72.248669840380842</v>
          </cell>
          <cell r="BC19">
            <v>94.981976311723983</v>
          </cell>
          <cell r="BD19">
            <v>305.55104942276705</v>
          </cell>
          <cell r="BE19">
            <v>76.505852126748508</v>
          </cell>
          <cell r="BF19">
            <v>78.22699999999999</v>
          </cell>
          <cell r="BG19">
            <v>76.75200000000001</v>
          </cell>
          <cell r="BH19">
            <v>104.41000000000001</v>
          </cell>
          <cell r="BI19">
            <v>335.8948521267485</v>
          </cell>
          <cell r="BJ19">
            <v>77.770609907878779</v>
          </cell>
          <cell r="BK19">
            <v>80.567030909090903</v>
          </cell>
          <cell r="BL19">
            <v>83.639506515303012</v>
          </cell>
          <cell r="BM19">
            <v>110.61940498328363</v>
          </cell>
          <cell r="BN19">
            <v>352.59655231555632</v>
          </cell>
          <cell r="BO19">
            <v>86.941842369090892</v>
          </cell>
          <cell r="BP19">
            <v>82.706508273750003</v>
          </cell>
          <cell r="BQ19">
            <v>84.637945695522419</v>
          </cell>
          <cell r="BR19">
            <v>111.17159529778776</v>
          </cell>
          <cell r="BS19">
            <v>365.45789163615109</v>
          </cell>
          <cell r="BT19">
            <v>356.12384948616119</v>
          </cell>
          <cell r="BU19">
            <v>364.47607121931821</v>
          </cell>
          <cell r="BV19">
            <v>371.37091651681106</v>
          </cell>
          <cell r="BW19">
            <v>381.74922069159624</v>
          </cell>
          <cell r="BX19">
            <v>391.3155051889417</v>
          </cell>
          <cell r="BY19">
            <v>396.011291251209</v>
          </cell>
          <cell r="BZ19">
            <v>400.7634267462235</v>
          </cell>
          <cell r="CA19">
            <v>405.57258786717819</v>
          </cell>
          <cell r="CB19">
            <v>410.43945892158439</v>
          </cell>
          <cell r="CC19">
            <v>415.36473242864332</v>
          </cell>
        </row>
        <row r="20">
          <cell r="A20" t="str">
            <v>% Change (£)</v>
          </cell>
          <cell r="AP20">
            <v>4.1472843231752821E-2</v>
          </cell>
          <cell r="AQ20">
            <v>0.1607792192134172</v>
          </cell>
          <cell r="AR20">
            <v>0.1288664159598778</v>
          </cell>
          <cell r="AS20">
            <v>0.2048456135433061</v>
          </cell>
          <cell r="AT20">
            <v>0.13825278739353819</v>
          </cell>
          <cell r="AU20">
            <v>0.23693302211632705</v>
          </cell>
          <cell r="AV20">
            <v>0.14791478991397522</v>
          </cell>
          <cell r="AW20">
            <v>0.21624765729214901</v>
          </cell>
          <cell r="AX20">
            <v>0.14416838873096727</v>
          </cell>
          <cell r="AY20">
            <v>0.18167350220628364</v>
          </cell>
          <cell r="AZ20">
            <v>0.12794396100671857</v>
          </cell>
          <cell r="BA20">
            <v>0.15398361172232566</v>
          </cell>
          <cell r="BB20">
            <v>0.17277723682342949</v>
          </cell>
          <cell r="BC20">
            <v>0.15218071394760768</v>
          </cell>
          <cell r="BD20">
            <v>0.15180346653131482</v>
          </cell>
          <cell r="BE20">
            <v>0.11257164188936963</v>
          </cell>
          <cell r="BF20">
            <v>0.12466980286129847</v>
          </cell>
          <cell r="BG20">
            <v>6.2330976744186195E-2</v>
          </cell>
          <cell r="BH20">
            <v>9.9261186746988139E-2</v>
          </cell>
          <cell r="BI20">
            <v>9.9308455203493962E-2</v>
          </cell>
          <cell r="BJ20">
            <v>1.6531516818281133E-2</v>
          </cell>
          <cell r="BK20">
            <v>2.991334077864316E-2</v>
          </cell>
          <cell r="BL20">
            <v>8.9737160143097183E-2</v>
          </cell>
          <cell r="BM20">
            <v>5.9471362736171152E-2</v>
          </cell>
          <cell r="BN20">
            <v>4.9723001359084584E-2</v>
          </cell>
          <cell r="BO20">
            <v>0.11792671385856002</v>
          </cell>
          <cell r="BP20">
            <v>2.6555246488767947E-2</v>
          </cell>
          <cell r="BQ20">
            <v>1.1937411180644952E-2</v>
          </cell>
          <cell r="BR20">
            <v>4.9918033331275424E-3</v>
          </cell>
          <cell r="BS20">
            <v>3.6476077931370421E-2</v>
          </cell>
          <cell r="BT20">
            <v>-2.5540677499674369E-2</v>
          </cell>
          <cell r="BU20">
            <v>2.3453137848555183E-2</v>
          </cell>
          <cell r="BV20">
            <v>1.8917141184130015E-2</v>
          </cell>
          <cell r="BW20">
            <v>2.7945926062617144E-2</v>
          </cell>
          <cell r="BX20">
            <v>2.5059080618461183E-2</v>
          </cell>
          <cell r="BY20">
            <v>1.2000000000000011E-2</v>
          </cell>
          <cell r="BZ20">
            <v>1.2000000000000011E-2</v>
          </cell>
          <cell r="CA20">
            <v>1.2000000000000011E-2</v>
          </cell>
          <cell r="CB20">
            <v>1.2000000000000233E-2</v>
          </cell>
          <cell r="CC20">
            <v>1.1999999999999789E-2</v>
          </cell>
        </row>
        <row r="21">
          <cell r="A21" t="str">
            <v>Sales £ per FTE</v>
          </cell>
          <cell r="Z21">
            <v>26.436744170146305</v>
          </cell>
          <cell r="AK21">
            <v>4.9296238280426348</v>
          </cell>
          <cell r="AL21">
            <v>4.3495004916952658</v>
          </cell>
          <cell r="AM21">
            <v>4.2329573532075475</v>
          </cell>
          <cell r="AN21">
            <v>5.3873634546546558</v>
          </cell>
          <cell r="AO21">
            <v>18.918779487146928</v>
          </cell>
          <cell r="AP21">
            <v>4.2858318004211977</v>
          </cell>
          <cell r="AQ21">
            <v>4.3394728728158194</v>
          </cell>
          <cell r="AR21">
            <v>4.1213588283157039</v>
          </cell>
          <cell r="AS21">
            <v>5.5658128712735682</v>
          </cell>
          <cell r="AT21">
            <v>18.388093382578194</v>
          </cell>
          <cell r="AU21">
            <v>4.482705818642529</v>
          </cell>
          <cell r="AV21">
            <v>4.229773726508264</v>
          </cell>
          <cell r="AW21">
            <v>4.1765944551412391</v>
          </cell>
          <cell r="AX21">
            <v>5.3704690808320104</v>
          </cell>
          <cell r="AY21">
            <v>18.310995226256139</v>
          </cell>
          <cell r="AZ21">
            <v>4.3384780452152842</v>
          </cell>
          <cell r="BA21">
            <v>4.1900919430120451</v>
          </cell>
          <cell r="BB21">
            <v>4.2624583976625869</v>
          </cell>
          <cell r="BC21">
            <v>5.4902876480765306</v>
          </cell>
          <cell r="BD21">
            <v>18.323901014858592</v>
          </cell>
          <cell r="BE21">
            <v>4.2268426589363814</v>
          </cell>
          <cell r="BF21">
            <v>4.2170889487870609</v>
          </cell>
          <cell r="BG21">
            <v>4.0717241379310352</v>
          </cell>
          <cell r="BH21">
            <v>5.4380208333333337</v>
          </cell>
          <cell r="BI21">
            <v>17.986337463279707</v>
          </cell>
          <cell r="BJ21">
            <v>3.9278085812059986</v>
          </cell>
          <cell r="BK21">
            <v>3.9110209179170341</v>
          </cell>
          <cell r="BL21">
            <v>3.9733732311307848</v>
          </cell>
          <cell r="BM21">
            <v>5.1570818174025002</v>
          </cell>
          <cell r="BN21">
            <v>17.013102644900187</v>
          </cell>
          <cell r="BO21">
            <v>3.960903980368605</v>
          </cell>
          <cell r="BP21">
            <v>3.7171464392696634</v>
          </cell>
          <cell r="BQ21">
            <v>3.7533457071185103</v>
          </cell>
          <cell r="BR21">
            <v>4.8532165113741454</v>
          </cell>
          <cell r="BS21">
            <v>16.273828352127364</v>
          </cell>
          <cell r="BT21">
            <v>15.051240998647511</v>
          </cell>
          <cell r="BU21">
            <v>14.750216178674565</v>
          </cell>
          <cell r="BV21">
            <v>14.455211855101069</v>
          </cell>
          <cell r="BW21">
            <v>14.310659736550056</v>
          </cell>
          <cell r="BX21">
            <v>14.310659736550059</v>
          </cell>
          <cell r="BY21">
            <v>14.310659736550059</v>
          </cell>
          <cell r="BZ21">
            <v>14.310659736550059</v>
          </cell>
          <cell r="CA21">
            <v>14.310659736550059</v>
          </cell>
          <cell r="CB21">
            <v>14.310659736550059</v>
          </cell>
          <cell r="CC21">
            <v>14.310659736550059</v>
          </cell>
        </row>
        <row r="22">
          <cell r="A22" t="str">
            <v>% Change (£)</v>
          </cell>
          <cell r="AP22">
            <v>-0.13059658304131949</v>
          </cell>
          <cell r="AQ22">
            <v>-2.3054644777239508E-3</v>
          </cell>
          <cell r="AR22">
            <v>-2.6364197788876664E-2</v>
          </cell>
          <cell r="AS22">
            <v>3.3123701068420219E-2</v>
          </cell>
          <cell r="AT22">
            <v>-2.8050757974597218E-2</v>
          </cell>
          <cell r="AU22">
            <v>4.5936011348364891E-2</v>
          </cell>
          <cell r="AV22">
            <v>-2.5279371371291326E-2</v>
          </cell>
          <cell r="AW22">
            <v>1.3402285296305605E-2</v>
          </cell>
          <cell r="AX22">
            <v>-3.5097081946425468E-2</v>
          </cell>
          <cell r="AY22">
            <v>-4.1928303668015143E-3</v>
          </cell>
          <cell r="AZ22">
            <v>-3.2174266896443426E-2</v>
          </cell>
          <cell r="BA22">
            <v>-9.381538129931255E-3</v>
          </cell>
          <cell r="BB22">
            <v>2.0558362427468335E-2</v>
          </cell>
          <cell r="BC22">
            <v>2.2310633473744401E-2</v>
          </cell>
          <cell r="BD22">
            <v>7.0481087690676958E-4</v>
          </cell>
          <cell r="BE22">
            <v>-2.5731462765386293E-2</v>
          </cell>
          <cell r="BF22">
            <v>6.4430580861214448E-3</v>
          </cell>
          <cell r="BG22">
            <v>-4.4747477145148262E-2</v>
          </cell>
          <cell r="BH22">
            <v>-9.5198681915159566E-3</v>
          </cell>
          <cell r="BI22">
            <v>-1.8422035313613638E-2</v>
          </cell>
          <cell r="BJ22">
            <v>-7.0746441696419859E-2</v>
          </cell>
          <cell r="BK22">
            <v>-7.2578035366804294E-2</v>
          </cell>
          <cell r="BL22">
            <v>-2.4154609563069585E-2</v>
          </cell>
          <cell r="BM22">
            <v>-5.1661996991399284E-2</v>
          </cell>
          <cell r="BN22">
            <v>-5.4109671875469001E-2</v>
          </cell>
          <cell r="BO22">
            <v>8.4259195626190664E-3</v>
          </cell>
          <cell r="BP22">
            <v>-4.9571322351972036E-2</v>
          </cell>
          <cell r="BQ22">
            <v>-5.5375498653987942E-2</v>
          </cell>
          <cell r="BR22">
            <v>-5.8921947874273739E-2</v>
          </cell>
          <cell r="BS22">
            <v>-4.3453231794520764E-2</v>
          </cell>
          <cell r="BT22">
            <v>-7.5125983083140446E-2</v>
          </cell>
          <cell r="BU22">
            <v>-1.9999999999999796E-2</v>
          </cell>
          <cell r="BV22">
            <v>-2.000000000000024E-2</v>
          </cell>
          <cell r="BW22">
            <v>-1.0000000000000231E-2</v>
          </cell>
          <cell r="BX22">
            <v>0</v>
          </cell>
          <cell r="BY22">
            <v>0</v>
          </cell>
          <cell r="BZ22">
            <v>0</v>
          </cell>
          <cell r="CA22">
            <v>0</v>
          </cell>
          <cell r="CB22">
            <v>0</v>
          </cell>
          <cell r="CC22">
            <v>0</v>
          </cell>
        </row>
        <row r="25">
          <cell r="A25" t="str">
            <v>Total Variable Costs</v>
          </cell>
          <cell r="B25">
            <v>0.97439999999999993</v>
          </cell>
          <cell r="C25">
            <v>1.6736390372568413</v>
          </cell>
          <cell r="D25">
            <v>2.049855860201335</v>
          </cell>
          <cell r="E25">
            <v>3.1143999999999998</v>
          </cell>
          <cell r="F25">
            <v>7.8122948974581758</v>
          </cell>
          <cell r="G25">
            <v>2.4486000000000003</v>
          </cell>
          <cell r="H25">
            <v>2.3650000000000002</v>
          </cell>
          <cell r="I25">
            <v>2.6620000000000004</v>
          </cell>
          <cell r="J25">
            <v>4.5324999999999998</v>
          </cell>
          <cell r="K25">
            <v>12.008100000000002</v>
          </cell>
          <cell r="L25">
            <v>3.9434999999999998</v>
          </cell>
          <cell r="M25">
            <v>4.3019999999999996</v>
          </cell>
          <cell r="N25">
            <v>4.78</v>
          </cell>
          <cell r="O25">
            <v>6.8115000000000006</v>
          </cell>
          <cell r="P25">
            <v>19.837000000000003</v>
          </cell>
          <cell r="Q25">
            <v>8.3159999999999989</v>
          </cell>
          <cell r="R25">
            <v>8.3699999999999992</v>
          </cell>
          <cell r="S25">
            <v>8.5649999999999995</v>
          </cell>
          <cell r="T25">
            <v>11.505000000000001</v>
          </cell>
          <cell r="U25">
            <v>36.756</v>
          </cell>
          <cell r="V25">
            <v>10.923</v>
          </cell>
          <cell r="W25">
            <v>9.93</v>
          </cell>
          <cell r="X25">
            <v>10.11</v>
          </cell>
          <cell r="Y25">
            <v>15.225</v>
          </cell>
          <cell r="Z25">
            <v>46.188000000000002</v>
          </cell>
          <cell r="AA25">
            <v>12.64</v>
          </cell>
          <cell r="AB25">
            <v>9.152000000000001</v>
          </cell>
          <cell r="AC25">
            <v>9.24</v>
          </cell>
          <cell r="AD25">
            <v>10.959</v>
          </cell>
          <cell r="AE25">
            <v>41.991</v>
          </cell>
          <cell r="AF25">
            <v>9.9614999999999991</v>
          </cell>
          <cell r="AG25">
            <v>9.2799999999999994</v>
          </cell>
          <cell r="AH25">
            <v>8.5984999999999996</v>
          </cell>
          <cell r="AI25">
            <v>10.361000000000001</v>
          </cell>
          <cell r="AJ25">
            <v>38.200999999999993</v>
          </cell>
          <cell r="AK25">
            <v>9.4095094736842082</v>
          </cell>
          <cell r="AL25">
            <v>9.1087113971659903</v>
          </cell>
          <cell r="AM25">
            <v>9.3859689967287423</v>
          </cell>
          <cell r="AN25">
            <v>12.695614459819431</v>
          </cell>
          <cell r="AO25">
            <v>40.599804327398374</v>
          </cell>
          <cell r="AP25">
            <v>10.27</v>
          </cell>
          <cell r="AQ25">
            <v>11.205</v>
          </cell>
          <cell r="AR25">
            <v>9.35</v>
          </cell>
          <cell r="AS25">
            <v>13.53</v>
          </cell>
          <cell r="AT25">
            <v>44.355000000000004</v>
          </cell>
          <cell r="AU25">
            <v>10.08</v>
          </cell>
          <cell r="AV25">
            <v>9.81</v>
          </cell>
          <cell r="AW25">
            <v>10.08</v>
          </cell>
          <cell r="AX25">
            <v>12.782</v>
          </cell>
          <cell r="AY25">
            <v>42.751999999999995</v>
          </cell>
          <cell r="AZ25">
            <v>10.27</v>
          </cell>
          <cell r="BA25">
            <v>10.191000000000001</v>
          </cell>
          <cell r="BB25">
            <v>10.191000000000001</v>
          </cell>
          <cell r="BC25">
            <v>13.114000000000001</v>
          </cell>
          <cell r="BD25">
            <v>43.766000000000005</v>
          </cell>
          <cell r="BE25">
            <v>10.586</v>
          </cell>
          <cell r="BF25">
            <v>10.823</v>
          </cell>
          <cell r="BG25">
            <v>11.375999999999999</v>
          </cell>
          <cell r="BH25">
            <v>11.584999999999999</v>
          </cell>
          <cell r="BI25">
            <v>44.37</v>
          </cell>
          <cell r="BJ25">
            <v>11.4</v>
          </cell>
          <cell r="BK25">
            <v>12</v>
          </cell>
          <cell r="BL25">
            <v>12.674999999999999</v>
          </cell>
          <cell r="BM25">
            <v>16.950000000000003</v>
          </cell>
          <cell r="BN25">
            <v>53.024999999999999</v>
          </cell>
          <cell r="BO25">
            <v>14.620000000000001</v>
          </cell>
          <cell r="BP25">
            <v>13.855</v>
          </cell>
          <cell r="BQ25">
            <v>13.600000000000001</v>
          </cell>
          <cell r="BR25">
            <v>17.181064727839924</v>
          </cell>
          <cell r="BS25">
            <v>59.256064727839927</v>
          </cell>
          <cell r="BT25">
            <v>48.477359011303697</v>
          </cell>
          <cell r="BU25">
            <v>48.110841400950001</v>
          </cell>
          <cell r="BV25">
            <v>47.489055949587218</v>
          </cell>
          <cell r="BW25">
            <v>47.241466060585033</v>
          </cell>
          <cell r="BX25">
            <v>48.425293767131535</v>
          </cell>
          <cell r="BY25">
            <v>49.006397292337113</v>
          </cell>
          <cell r="BZ25">
            <v>49.594474059845162</v>
          </cell>
          <cell r="CA25">
            <v>50.189607748563297</v>
          </cell>
          <cell r="CB25">
            <v>50.791883041546065</v>
          </cell>
          <cell r="CC25">
            <v>51.401385638044609</v>
          </cell>
        </row>
        <row r="26">
          <cell r="A26" t="str">
            <v>As % of Revenues</v>
          </cell>
          <cell r="B26">
            <v>0.11599999999999999</v>
          </cell>
          <cell r="C26">
            <v>0.13075304978569072</v>
          </cell>
          <cell r="D26">
            <v>0.13056406752874747</v>
          </cell>
          <cell r="E26">
            <v>0.13600000000000001</v>
          </cell>
          <cell r="F26">
            <v>0.1306403829006384</v>
          </cell>
          <cell r="G26">
            <v>0.11550000000000002</v>
          </cell>
          <cell r="H26">
            <v>0.11825000000000001</v>
          </cell>
          <cell r="I26">
            <v>0.12100000000000001</v>
          </cell>
          <cell r="J26">
            <v>0.1295</v>
          </cell>
          <cell r="K26">
            <v>0.12228207739307538</v>
          </cell>
          <cell r="L26">
            <v>0.1195</v>
          </cell>
          <cell r="M26">
            <v>0.1195</v>
          </cell>
          <cell r="N26">
            <v>0.11950000000000001</v>
          </cell>
          <cell r="O26">
            <v>0.11950000000000001</v>
          </cell>
          <cell r="P26">
            <v>0.11950000000000002</v>
          </cell>
          <cell r="Q26">
            <v>0.14814814814814811</v>
          </cell>
          <cell r="R26">
            <v>0.13468013468013468</v>
          </cell>
          <cell r="S26">
            <v>0.13468013468013468</v>
          </cell>
          <cell r="T26">
            <v>0.13468013468013468</v>
          </cell>
          <cell r="U26">
            <v>0.1375084175084175</v>
          </cell>
          <cell r="V26">
            <v>0.14583444592790387</v>
          </cell>
          <cell r="W26">
            <v>0.13222370173102529</v>
          </cell>
          <cell r="X26">
            <v>0.13267716535433069</v>
          </cell>
          <cell r="Y26">
            <v>0.15</v>
          </cell>
          <cell r="Z26">
            <v>0.14094598718339946</v>
          </cell>
          <cell r="AA26">
            <v>0.16</v>
          </cell>
          <cell r="AB26">
            <v>0.128</v>
          </cell>
          <cell r="AC26">
            <v>0.14000000000000001</v>
          </cell>
          <cell r="AD26">
            <v>0.13</v>
          </cell>
          <cell r="AE26">
            <v>0.13959773936170211</v>
          </cell>
          <cell r="AF26">
            <v>0.14499999999999999</v>
          </cell>
          <cell r="AG26">
            <v>0.14499999999999999</v>
          </cell>
          <cell r="AH26">
            <v>0.14499999999999999</v>
          </cell>
          <cell r="AI26">
            <v>0.13</v>
          </cell>
          <cell r="AJ26">
            <v>0.14059992638940005</v>
          </cell>
          <cell r="AK26">
            <v>0.13919392712550605</v>
          </cell>
          <cell r="AL26">
            <v>0.13780198785425099</v>
          </cell>
          <cell r="AM26">
            <v>0.13642396797570847</v>
          </cell>
          <cell r="AN26">
            <v>0.13505972829595139</v>
          </cell>
          <cell r="AO26">
            <v>0.13693020009240597</v>
          </cell>
          <cell r="AP26">
            <v>0.13</v>
          </cell>
          <cell r="AQ26">
            <v>0.13500000000000001</v>
          </cell>
          <cell r="AR26">
            <v>0.11</v>
          </cell>
          <cell r="AS26">
            <v>0.11</v>
          </cell>
          <cell r="AT26">
            <v>0.11987837837837839</v>
          </cell>
          <cell r="AU26">
            <v>0.09</v>
          </cell>
          <cell r="AV26">
            <v>0.09</v>
          </cell>
          <cell r="AW26">
            <v>0.09</v>
          </cell>
          <cell r="AX26">
            <v>8.3000000000000004E-2</v>
          </cell>
          <cell r="AY26">
            <v>8.7786447638603674E-2</v>
          </cell>
          <cell r="AZ26">
            <v>7.9000000000000001E-2</v>
          </cell>
          <cell r="BA26">
            <v>7.9000000000000001E-2</v>
          </cell>
          <cell r="BB26">
            <v>7.9000000000000001E-2</v>
          </cell>
          <cell r="BC26">
            <v>7.9000000000000001E-2</v>
          </cell>
          <cell r="BD26">
            <v>7.9000000000000015E-2</v>
          </cell>
          <cell r="BE26">
            <v>7.9000000000000001E-2</v>
          </cell>
          <cell r="BF26">
            <v>7.9000000000000001E-2</v>
          </cell>
          <cell r="BG26">
            <v>7.9000000000000001E-2</v>
          </cell>
          <cell r="BH26">
            <v>5.8807106598984769E-2</v>
          </cell>
          <cell r="BI26">
            <v>7.2499999999999995E-2</v>
          </cell>
          <cell r="BJ26">
            <v>7.4999999999999997E-2</v>
          </cell>
          <cell r="BK26">
            <v>7.4999999999999997E-2</v>
          </cell>
          <cell r="BL26">
            <v>7.4999999999999997E-2</v>
          </cell>
          <cell r="BM26">
            <v>7.5000000000000011E-2</v>
          </cell>
          <cell r="BN26">
            <v>7.4999999999999997E-2</v>
          </cell>
          <cell r="BO26">
            <v>8.5000000000000006E-2</v>
          </cell>
          <cell r="BP26">
            <v>8.5000000000000006E-2</v>
          </cell>
          <cell r="BQ26">
            <v>8.5000000000000006E-2</v>
          </cell>
          <cell r="BR26">
            <v>8.5000000000000006E-2</v>
          </cell>
          <cell r="BS26">
            <v>8.5000000000000006E-2</v>
          </cell>
          <cell r="BT26">
            <v>8.2500000000000004E-2</v>
          </cell>
          <cell r="BU26">
            <v>0.08</v>
          </cell>
          <cell r="BV26">
            <v>7.7499999999999999E-2</v>
          </cell>
          <cell r="BW26">
            <v>7.4999999999999997E-2</v>
          </cell>
          <cell r="BX26">
            <v>7.4999999999999997E-2</v>
          </cell>
          <cell r="BY26">
            <v>7.4999999999999997E-2</v>
          </cell>
          <cell r="BZ26">
            <v>7.4999999999999997E-2</v>
          </cell>
          <cell r="CA26">
            <v>7.4999999999999997E-2</v>
          </cell>
          <cell r="CB26">
            <v>7.4999999999999997E-2</v>
          </cell>
          <cell r="CC26">
            <v>7.4999999999999997E-2</v>
          </cell>
        </row>
        <row r="28">
          <cell r="A28" t="str">
            <v>Total General and Admin. Expenses</v>
          </cell>
          <cell r="B28">
            <v>3.3856000000000002</v>
          </cell>
          <cell r="C28">
            <v>4.74636096274316</v>
          </cell>
          <cell r="D28">
            <v>4.9301441397986654</v>
          </cell>
          <cell r="E28">
            <v>6.4456000000000007</v>
          </cell>
          <cell r="F28">
            <v>19.507705102541824</v>
          </cell>
          <cell r="G28">
            <v>7.0313999999999997</v>
          </cell>
          <cell r="H28">
            <v>6.6349999999999998</v>
          </cell>
          <cell r="I28">
            <v>7.1379999999999999</v>
          </cell>
          <cell r="J28">
            <v>9.4675000000000011</v>
          </cell>
          <cell r="K28">
            <v>30.271899999999999</v>
          </cell>
          <cell r="L28">
            <v>9.2374999999999989</v>
          </cell>
          <cell r="M28">
            <v>9.6739999999999995</v>
          </cell>
          <cell r="N28">
            <v>10.059999999999997</v>
          </cell>
          <cell r="O28">
            <v>10.630500000000001</v>
          </cell>
          <cell r="P28">
            <v>39.602000000000004</v>
          </cell>
          <cell r="Q28">
            <v>7.4944000000000006</v>
          </cell>
          <cell r="R28">
            <v>7.9240000000000004</v>
          </cell>
          <cell r="S28">
            <v>8.4312000000000005</v>
          </cell>
          <cell r="T28">
            <v>9.148799999999996</v>
          </cell>
          <cell r="U28">
            <v>32.998399999999997</v>
          </cell>
          <cell r="V28">
            <v>7.1513999999999989</v>
          </cell>
          <cell r="W28">
            <v>8.144400000000001</v>
          </cell>
          <cell r="X28">
            <v>8.3130000000000059</v>
          </cell>
          <cell r="Y28">
            <v>5.6149999999999984</v>
          </cell>
          <cell r="Z28">
            <v>29.223800000000011</v>
          </cell>
          <cell r="AA28">
            <v>7.1680000000000028</v>
          </cell>
          <cell r="AB28">
            <v>13.015000000000001</v>
          </cell>
          <cell r="AC28">
            <v>11.788</v>
          </cell>
          <cell r="AD28">
            <v>10.524499999999998</v>
          </cell>
          <cell r="AE28">
            <v>42.495500000000007</v>
          </cell>
          <cell r="AF28">
            <v>8.5147999999999993</v>
          </cell>
          <cell r="AG28">
            <v>9.5359999999999978</v>
          </cell>
          <cell r="AH28">
            <v>8.2750999999999966</v>
          </cell>
          <cell r="AI28">
            <v>7.8437999999999999</v>
          </cell>
          <cell r="AJ28">
            <v>34.169699999999999</v>
          </cell>
          <cell r="AK28">
            <v>8.5856905263157905</v>
          </cell>
          <cell r="AL28">
            <v>9.7296886028340044</v>
          </cell>
          <cell r="AM28">
            <v>10.031631003271254</v>
          </cell>
          <cell r="AN28">
            <v>8.6483855401805698</v>
          </cell>
          <cell r="AO28">
            <v>36.995395672601603</v>
          </cell>
          <cell r="AP28">
            <v>11.802</v>
          </cell>
          <cell r="AQ28">
            <v>10.426000000000002</v>
          </cell>
          <cell r="AR28">
            <v>11.39</v>
          </cell>
          <cell r="AS28">
            <v>14.76</v>
          </cell>
          <cell r="AT28">
            <v>48.378</v>
          </cell>
          <cell r="AU28">
            <v>15</v>
          </cell>
          <cell r="AV28">
            <v>14.599999999999996</v>
          </cell>
          <cell r="AW28">
            <v>12</v>
          </cell>
          <cell r="AX28">
            <v>12</v>
          </cell>
          <cell r="AY28">
            <v>53.599999999999994</v>
          </cell>
          <cell r="AZ28">
            <v>13</v>
          </cell>
          <cell r="BA28">
            <v>14</v>
          </cell>
          <cell r="BB28">
            <v>16</v>
          </cell>
          <cell r="BC28">
            <v>17</v>
          </cell>
          <cell r="BD28">
            <v>60</v>
          </cell>
          <cell r="BE28">
            <v>15</v>
          </cell>
          <cell r="BF28">
            <v>16</v>
          </cell>
          <cell r="BG28">
            <v>16</v>
          </cell>
          <cell r="BH28">
            <v>14.200000000000003</v>
          </cell>
          <cell r="BI28">
            <v>61.2</v>
          </cell>
          <cell r="BJ28">
            <v>15.3</v>
          </cell>
          <cell r="BK28">
            <v>16.32</v>
          </cell>
          <cell r="BL28">
            <v>16.32</v>
          </cell>
          <cell r="BM28">
            <v>14.484000000000005</v>
          </cell>
          <cell r="BN28">
            <v>62.424000000000007</v>
          </cell>
          <cell r="BO28">
            <v>15.606000000000002</v>
          </cell>
          <cell r="BP28">
            <v>15.096000000000002</v>
          </cell>
          <cell r="BQ28">
            <v>15.096000000000002</v>
          </cell>
          <cell r="BR28">
            <v>13.504799999999996</v>
          </cell>
          <cell r="BS28">
            <v>59.302800000000005</v>
          </cell>
          <cell r="BT28">
            <v>56.33766</v>
          </cell>
          <cell r="BU28">
            <v>57.464413200000003</v>
          </cell>
          <cell r="BV28">
            <v>58.613701464000002</v>
          </cell>
          <cell r="BW28">
            <v>59.785975493280006</v>
          </cell>
          <cell r="BX28">
            <v>60.98169500314561</v>
          </cell>
          <cell r="BY28">
            <v>62.201328903208527</v>
          </cell>
          <cell r="BZ28">
            <v>63.445355481272699</v>
          </cell>
          <cell r="CA28">
            <v>64.714262590898159</v>
          </cell>
          <cell r="CB28">
            <v>66.008547842716126</v>
          </cell>
          <cell r="CC28">
            <v>67.328718799570453</v>
          </cell>
        </row>
        <row r="29">
          <cell r="A29" t="str">
            <v>As % of Revenues</v>
          </cell>
          <cell r="B29">
            <v>0.40304761904761904</v>
          </cell>
          <cell r="C29">
            <v>0.37080945021430933</v>
          </cell>
          <cell r="D29">
            <v>0.31402191973239907</v>
          </cell>
          <cell r="E29">
            <v>0.281467248908297</v>
          </cell>
          <cell r="F29">
            <v>0.32621580439033149</v>
          </cell>
          <cell r="G29">
            <v>0.33166981132075474</v>
          </cell>
          <cell r="H29">
            <v>0.33174999999999999</v>
          </cell>
          <cell r="I29">
            <v>0.32445454545454544</v>
          </cell>
          <cell r="J29">
            <v>0.27050000000000002</v>
          </cell>
          <cell r="K29">
            <v>0.30826782077393072</v>
          </cell>
          <cell r="L29">
            <v>0.27992424242424241</v>
          </cell>
          <cell r="M29">
            <v>0.2687222222222222</v>
          </cell>
          <cell r="N29">
            <v>0.25149999999999995</v>
          </cell>
          <cell r="O29">
            <v>0.18650000000000003</v>
          </cell>
          <cell r="P29">
            <v>0.23856626506024098</v>
          </cell>
          <cell r="Q29">
            <v>0.13351148165962981</v>
          </cell>
          <cell r="R29">
            <v>0.12750363049048832</v>
          </cell>
          <cell r="S29">
            <v>0.13257619982663765</v>
          </cell>
          <cell r="T29">
            <v>0.10709792404707653</v>
          </cell>
          <cell r="U29">
            <v>0.12345080433969322</v>
          </cell>
          <cell r="V29">
            <v>9.5479305740987966E-2</v>
          </cell>
          <cell r="W29">
            <v>0.10844740346205062</v>
          </cell>
          <cell r="X29">
            <v>0.10909448818897645</v>
          </cell>
          <cell r="Y29">
            <v>5.5320197044334961E-2</v>
          </cell>
          <cell r="Z29">
            <v>8.9178516936222196E-2</v>
          </cell>
          <cell r="AA29">
            <v>9.0734177215189907E-2</v>
          </cell>
          <cell r="AB29">
            <v>0.18202797202797202</v>
          </cell>
          <cell r="AC29">
            <v>0.1786060606060606</v>
          </cell>
          <cell r="AD29">
            <v>0.12484578884934755</v>
          </cell>
          <cell r="AE29">
            <v>0.14127493351063833</v>
          </cell>
          <cell r="AF29">
            <v>0.12394177583697233</v>
          </cell>
          <cell r="AG29">
            <v>0.14899999999999997</v>
          </cell>
          <cell r="AH29">
            <v>0.13954637436762221</v>
          </cell>
          <cell r="AI29">
            <v>9.8416562107904643E-2</v>
          </cell>
          <cell r="AJ29">
            <v>0.1257626058152374</v>
          </cell>
          <cell r="AK29">
            <v>0.1270072563064466</v>
          </cell>
          <cell r="AL29">
            <v>0.14719649928644485</v>
          </cell>
          <cell r="AM29">
            <v>0.14580859016382638</v>
          </cell>
          <cell r="AN29">
            <v>9.2004101491282658E-2</v>
          </cell>
          <cell r="AO29">
            <v>0.1247736784910678</v>
          </cell>
          <cell r="AP29">
            <v>0.14939240506329113</v>
          </cell>
          <cell r="AQ29">
            <v>0.12561445783132533</v>
          </cell>
          <cell r="AR29">
            <v>0.13400000000000001</v>
          </cell>
          <cell r="AS29">
            <v>0.12</v>
          </cell>
          <cell r="AT29">
            <v>0.13075135135135135</v>
          </cell>
          <cell r="AU29">
            <v>0.12</v>
          </cell>
          <cell r="AV29">
            <v>0.13394495412844032</v>
          </cell>
          <cell r="AW29">
            <v>0.12</v>
          </cell>
          <cell r="AX29">
            <v>7.792207792207792E-2</v>
          </cell>
          <cell r="AY29">
            <v>0.11006160164271045</v>
          </cell>
          <cell r="AZ29">
            <v>0.1</v>
          </cell>
          <cell r="BA29">
            <v>0.10852713178294573</v>
          </cell>
          <cell r="BB29">
            <v>0.12403100775193798</v>
          </cell>
          <cell r="BC29">
            <v>0.10240963855421686</v>
          </cell>
          <cell r="BD29">
            <v>0.10830324909747292</v>
          </cell>
          <cell r="BE29">
            <v>0.11194029850746269</v>
          </cell>
          <cell r="BF29">
            <v>0.11678832116788321</v>
          </cell>
          <cell r="BG29">
            <v>0.1111111111111111</v>
          </cell>
          <cell r="BH29">
            <v>7.2081218274111694E-2</v>
          </cell>
          <cell r="BI29">
            <v>0.1</v>
          </cell>
          <cell r="BJ29">
            <v>0.10065789473684211</v>
          </cell>
          <cell r="BK29">
            <v>0.10200000000000001</v>
          </cell>
          <cell r="BL29">
            <v>9.6568047337278112E-2</v>
          </cell>
          <cell r="BM29">
            <v>6.4088495575221269E-2</v>
          </cell>
          <cell r="BN29">
            <v>8.8294200848656301E-2</v>
          </cell>
          <cell r="BO29">
            <v>9.0732558139534888E-2</v>
          </cell>
          <cell r="BP29">
            <v>9.2613496932515346E-2</v>
          </cell>
          <cell r="BQ29">
            <v>9.4350000000000017E-2</v>
          </cell>
          <cell r="BR29">
            <v>6.6812390162289986E-2</v>
          </cell>
          <cell r="BS29">
            <v>8.5067039519952134E-2</v>
          </cell>
          <cell r="BT29">
            <v>9.5876859729842903E-2</v>
          </cell>
          <cell r="BU29">
            <v>9.5553370552966976E-2</v>
          </cell>
          <cell r="BV29">
            <v>9.5654920331164961E-2</v>
          </cell>
          <cell r="BW29">
            <v>9.4915516725190968E-2</v>
          </cell>
          <cell r="BX29">
            <v>9.4447070310603898E-2</v>
          </cell>
          <cell r="BY29">
            <v>9.5193687467209465E-2</v>
          </cell>
          <cell r="BZ29">
            <v>9.5946206735724959E-2</v>
          </cell>
          <cell r="CA29">
            <v>9.6704674773161539E-2</v>
          </cell>
          <cell r="CB29">
            <v>9.7469138605360439E-2</v>
          </cell>
          <cell r="CC29">
            <v>9.8239645629908764E-2</v>
          </cell>
        </row>
        <row r="31">
          <cell r="A31" t="str">
            <v>Total Variable and G &amp; A Costs</v>
          </cell>
          <cell r="B31">
            <v>4.3600000000000003</v>
          </cell>
          <cell r="C31">
            <v>6.4200000000000008</v>
          </cell>
          <cell r="D31">
            <v>6.98</v>
          </cell>
          <cell r="E31">
            <v>9.56</v>
          </cell>
          <cell r="F31">
            <v>27.32</v>
          </cell>
          <cell r="G31">
            <v>9.48</v>
          </cell>
          <cell r="H31">
            <v>9</v>
          </cell>
          <cell r="I31">
            <v>9.8000000000000007</v>
          </cell>
          <cell r="J31">
            <v>14</v>
          </cell>
          <cell r="K31">
            <v>42.28</v>
          </cell>
          <cell r="L31">
            <v>13.180999999999999</v>
          </cell>
          <cell r="M31">
            <v>13.975999999999999</v>
          </cell>
          <cell r="N31">
            <v>14.839999999999998</v>
          </cell>
          <cell r="O31">
            <v>17.442000000000004</v>
          </cell>
          <cell r="P31">
            <v>59.439000000000007</v>
          </cell>
          <cell r="Q31">
            <v>15.8104</v>
          </cell>
          <cell r="R31">
            <v>16.294</v>
          </cell>
          <cell r="S31">
            <v>16.996200000000002</v>
          </cell>
          <cell r="T31">
            <v>20.653799999999997</v>
          </cell>
          <cell r="U31">
            <v>69.754400000000004</v>
          </cell>
          <cell r="V31">
            <v>18.074399999999997</v>
          </cell>
          <cell r="W31">
            <v>18.074400000000001</v>
          </cell>
          <cell r="X31">
            <v>18.423000000000005</v>
          </cell>
          <cell r="Y31">
            <v>20.839999999999996</v>
          </cell>
          <cell r="Z31">
            <v>75.411800000000014</v>
          </cell>
          <cell r="AA31">
            <v>19.808000000000003</v>
          </cell>
          <cell r="AB31">
            <v>22.167000000000002</v>
          </cell>
          <cell r="AC31">
            <v>21.027999999999999</v>
          </cell>
          <cell r="AD31">
            <v>21.483499999999999</v>
          </cell>
          <cell r="AE31">
            <v>84.486500000000007</v>
          </cell>
          <cell r="AF31">
            <v>18.476299999999998</v>
          </cell>
          <cell r="AG31">
            <v>18.815999999999995</v>
          </cell>
          <cell r="AH31">
            <v>16.873599999999996</v>
          </cell>
          <cell r="AI31">
            <v>18.204799999999999</v>
          </cell>
          <cell r="AJ31">
            <v>72.370699999999999</v>
          </cell>
          <cell r="AK31">
            <v>17.995199999999997</v>
          </cell>
          <cell r="AL31">
            <v>18.838399999999993</v>
          </cell>
          <cell r="AM31">
            <v>19.417599999999997</v>
          </cell>
          <cell r="AN31">
            <v>21.344000000000001</v>
          </cell>
          <cell r="AO31">
            <v>77.595199999999977</v>
          </cell>
          <cell r="AP31">
            <v>22.071999999999999</v>
          </cell>
          <cell r="AQ31">
            <v>21.631</v>
          </cell>
          <cell r="AR31">
            <v>20.740000000000002</v>
          </cell>
          <cell r="AS31">
            <v>28.29</v>
          </cell>
          <cell r="AT31">
            <v>92.733000000000004</v>
          </cell>
          <cell r="AU31">
            <v>25.08</v>
          </cell>
          <cell r="AV31">
            <v>24.409999999999997</v>
          </cell>
          <cell r="AW31">
            <v>22.08</v>
          </cell>
          <cell r="AX31">
            <v>24.782</v>
          </cell>
          <cell r="AY31">
            <v>96.35199999999999</v>
          </cell>
          <cell r="AZ31">
            <v>23.27</v>
          </cell>
          <cell r="BA31">
            <v>24.191000000000003</v>
          </cell>
          <cell r="BB31">
            <v>26.191000000000003</v>
          </cell>
          <cell r="BC31">
            <v>30.114000000000001</v>
          </cell>
          <cell r="BD31">
            <v>103.76600000000001</v>
          </cell>
          <cell r="BE31">
            <v>25.585999999999999</v>
          </cell>
          <cell r="BF31">
            <v>26.823</v>
          </cell>
          <cell r="BG31">
            <v>27.375999999999998</v>
          </cell>
          <cell r="BH31">
            <v>25.785000000000004</v>
          </cell>
          <cell r="BI31">
            <v>105.57</v>
          </cell>
          <cell r="BJ31">
            <v>26.700000000000003</v>
          </cell>
          <cell r="BK31">
            <v>28.32</v>
          </cell>
          <cell r="BL31">
            <v>28.994999999999997</v>
          </cell>
          <cell r="BM31">
            <v>31.434000000000008</v>
          </cell>
          <cell r="BN31">
            <v>115.44900000000001</v>
          </cell>
          <cell r="BO31">
            <v>30.226000000000003</v>
          </cell>
          <cell r="BP31">
            <v>28.951000000000001</v>
          </cell>
          <cell r="BQ31">
            <v>28.696000000000005</v>
          </cell>
          <cell r="BR31">
            <v>30.68586472783992</v>
          </cell>
          <cell r="BS31">
            <v>118.55886472783993</v>
          </cell>
          <cell r="BT31">
            <v>104.81501901130369</v>
          </cell>
          <cell r="BU31">
            <v>105.57525460095</v>
          </cell>
          <cell r="BV31">
            <v>106.10275741358723</v>
          </cell>
          <cell r="BW31">
            <v>107.02744155386503</v>
          </cell>
          <cell r="BX31">
            <v>109.40698877027714</v>
          </cell>
          <cell r="BY31">
            <v>111.20772619554563</v>
          </cell>
          <cell r="BZ31">
            <v>113.03982954111785</v>
          </cell>
          <cell r="CA31">
            <v>114.90387033946146</v>
          </cell>
          <cell r="CB31">
            <v>116.8004308842622</v>
          </cell>
          <cell r="CC31">
            <v>118.73010443761507</v>
          </cell>
        </row>
        <row r="32">
          <cell r="A32" t="str">
            <v>As % of Revenues</v>
          </cell>
          <cell r="B32">
            <v>0.51904761904761909</v>
          </cell>
          <cell r="C32">
            <v>0.50156250000000002</v>
          </cell>
          <cell r="D32">
            <v>0.44458598726114656</v>
          </cell>
          <cell r="E32">
            <v>0.41746724890829701</v>
          </cell>
          <cell r="F32">
            <v>0.45685618729096988</v>
          </cell>
          <cell r="G32">
            <v>0.44716981132075473</v>
          </cell>
          <cell r="H32">
            <v>0.45</v>
          </cell>
          <cell r="I32">
            <v>0.44545454545454549</v>
          </cell>
          <cell r="J32">
            <v>0.4</v>
          </cell>
          <cell r="K32">
            <v>0.43054989816700612</v>
          </cell>
          <cell r="L32">
            <v>0.3994242424242424</v>
          </cell>
          <cell r="M32">
            <v>0.38822222222222219</v>
          </cell>
          <cell r="N32">
            <v>0.37099999999999994</v>
          </cell>
          <cell r="O32">
            <v>0.30600000000000005</v>
          </cell>
          <cell r="P32">
            <v>0.35806626506024103</v>
          </cell>
          <cell r="Q32">
            <v>0.28165962980777792</v>
          </cell>
          <cell r="R32">
            <v>0.26218376517062303</v>
          </cell>
          <cell r="S32">
            <v>0.26725633450677233</v>
          </cell>
          <cell r="T32">
            <v>0.24177805872721123</v>
          </cell>
          <cell r="U32">
            <v>0.26095922184811077</v>
          </cell>
          <cell r="V32">
            <v>0.2413137516688918</v>
          </cell>
          <cell r="W32">
            <v>0.24067110519307591</v>
          </cell>
          <cell r="X32">
            <v>0.24177165354330715</v>
          </cell>
          <cell r="Y32">
            <v>0.20532019704433493</v>
          </cell>
          <cell r="Z32">
            <v>0.23012450411962165</v>
          </cell>
          <cell r="AA32">
            <v>0.25073417721518992</v>
          </cell>
          <cell r="AB32">
            <v>0.31002797202797205</v>
          </cell>
          <cell r="AC32">
            <v>0.31860606060606056</v>
          </cell>
          <cell r="AD32">
            <v>0.25484578884934755</v>
          </cell>
          <cell r="AE32">
            <v>0.28087267287234041</v>
          </cell>
          <cell r="AF32">
            <v>0.26894177583697232</v>
          </cell>
          <cell r="AG32">
            <v>0.29399999999999993</v>
          </cell>
          <cell r="AH32">
            <v>0.2845463743676222</v>
          </cell>
          <cell r="AI32">
            <v>0.22841656210790462</v>
          </cell>
          <cell r="AJ32">
            <v>0.26636253220463746</v>
          </cell>
          <cell r="AK32">
            <v>0.26620118343195265</v>
          </cell>
          <cell r="AL32">
            <v>0.28499848714069581</v>
          </cell>
          <cell r="AM32">
            <v>0.28223255813953485</v>
          </cell>
          <cell r="AN32">
            <v>0.22706382978723405</v>
          </cell>
          <cell r="AO32">
            <v>0.26170387858347377</v>
          </cell>
          <cell r="AP32">
            <v>0.2793924050632911</v>
          </cell>
          <cell r="AQ32">
            <v>0.26061445783132531</v>
          </cell>
          <cell r="AR32">
            <v>0.24400000000000002</v>
          </cell>
          <cell r="AS32">
            <v>0.22999999999999998</v>
          </cell>
          <cell r="AT32">
            <v>0.25062972972972974</v>
          </cell>
          <cell r="AU32">
            <v>0.22392857142857142</v>
          </cell>
          <cell r="AV32">
            <v>0.22394495412844034</v>
          </cell>
          <cell r="AW32">
            <v>0.19714285714285712</v>
          </cell>
          <cell r="AX32">
            <v>0.16092207792207791</v>
          </cell>
          <cell r="AY32">
            <v>0.19784804928131414</v>
          </cell>
          <cell r="AZ32">
            <v>0.17899999999999999</v>
          </cell>
          <cell r="BA32">
            <v>0.18752713178294575</v>
          </cell>
          <cell r="BB32">
            <v>0.203031007751938</v>
          </cell>
          <cell r="BC32">
            <v>0.18140963855421688</v>
          </cell>
          <cell r="BD32">
            <v>0.18730324909747292</v>
          </cell>
          <cell r="BE32">
            <v>0.19094029850746266</v>
          </cell>
          <cell r="BF32">
            <v>0.19578832116788322</v>
          </cell>
          <cell r="BG32">
            <v>0.19011111111111109</v>
          </cell>
          <cell r="BH32">
            <v>0.13088832487309646</v>
          </cell>
          <cell r="BI32">
            <v>0.17249999999999999</v>
          </cell>
          <cell r="BJ32">
            <v>0.17565789473684212</v>
          </cell>
          <cell r="BK32">
            <v>0.17699999999999999</v>
          </cell>
          <cell r="BL32">
            <v>0.1715680473372781</v>
          </cell>
          <cell r="BM32">
            <v>0.13908849557522127</v>
          </cell>
          <cell r="BN32">
            <v>0.16329420084865631</v>
          </cell>
          <cell r="BO32">
            <v>0.17573255813953489</v>
          </cell>
          <cell r="BP32">
            <v>0.17761349693251535</v>
          </cell>
          <cell r="BQ32">
            <v>0.17935000000000004</v>
          </cell>
          <cell r="BR32">
            <v>0.15181239016228998</v>
          </cell>
          <cell r="BS32">
            <v>0.17006703951995214</v>
          </cell>
          <cell r="BT32">
            <v>0.17837685972984291</v>
          </cell>
          <cell r="BU32">
            <v>0.17555337055296696</v>
          </cell>
          <cell r="BV32">
            <v>0.17315492033116497</v>
          </cell>
          <cell r="BW32">
            <v>0.16991551672519095</v>
          </cell>
          <cell r="BX32">
            <v>0.16944707031060388</v>
          </cell>
          <cell r="BY32">
            <v>0.17019368746720945</v>
          </cell>
          <cell r="BZ32">
            <v>0.17094620673572494</v>
          </cell>
          <cell r="CA32">
            <v>0.17170467477316156</v>
          </cell>
          <cell r="CB32">
            <v>0.17246913860536045</v>
          </cell>
          <cell r="CC32">
            <v>0.17323964562990876</v>
          </cell>
        </row>
        <row r="33">
          <cell r="A33" t="str">
            <v>EBITDA</v>
          </cell>
          <cell r="B33">
            <v>-1</v>
          </cell>
          <cell r="C33">
            <v>-1.3</v>
          </cell>
          <cell r="D33">
            <v>-0.7</v>
          </cell>
          <cell r="E33">
            <v>-0.4</v>
          </cell>
          <cell r="F33">
            <v>-3.3999999999999986</v>
          </cell>
          <cell r="G33">
            <v>-1</v>
          </cell>
          <cell r="H33">
            <v>-1</v>
          </cell>
          <cell r="I33">
            <v>-1</v>
          </cell>
          <cell r="J33">
            <v>0</v>
          </cell>
          <cell r="K33">
            <v>-3</v>
          </cell>
          <cell r="L33">
            <v>0.25</v>
          </cell>
          <cell r="M33">
            <v>1</v>
          </cell>
          <cell r="N33">
            <v>1.6</v>
          </cell>
          <cell r="O33">
            <v>5.7</v>
          </cell>
          <cell r="P33">
            <v>8.5499999999999972</v>
          </cell>
          <cell r="Q33">
            <v>4.4000000000000004</v>
          </cell>
          <cell r="R33">
            <v>7.7</v>
          </cell>
          <cell r="S33">
            <v>7.1</v>
          </cell>
          <cell r="T33">
            <v>11.1</v>
          </cell>
          <cell r="U33">
            <v>30.300000000000004</v>
          </cell>
          <cell r="V33">
            <v>9.1999999999999993</v>
          </cell>
          <cell r="W33">
            <v>9.1999999999999993</v>
          </cell>
          <cell r="X33">
            <v>8.1999999999999993</v>
          </cell>
          <cell r="Y33">
            <v>15.2</v>
          </cell>
          <cell r="Z33">
            <v>41.8</v>
          </cell>
          <cell r="AA33">
            <v>8</v>
          </cell>
          <cell r="AB33">
            <v>2</v>
          </cell>
          <cell r="AC33">
            <v>2.6</v>
          </cell>
          <cell r="AD33">
            <v>7.6</v>
          </cell>
          <cell r="AE33">
            <v>20.2</v>
          </cell>
          <cell r="AF33">
            <v>5.5</v>
          </cell>
          <cell r="AG33">
            <v>3.2</v>
          </cell>
          <cell r="AH33">
            <v>4</v>
          </cell>
          <cell r="AI33">
            <v>12.4</v>
          </cell>
          <cell r="AJ33">
            <v>25.1</v>
          </cell>
          <cell r="AK33">
            <v>5.8</v>
          </cell>
          <cell r="AL33">
            <v>3.9</v>
          </cell>
          <cell r="AM33">
            <v>4.8</v>
          </cell>
          <cell r="AN33">
            <v>14</v>
          </cell>
          <cell r="AO33">
            <v>28.5</v>
          </cell>
          <cell r="AP33">
            <v>7</v>
          </cell>
          <cell r="AQ33">
            <v>8</v>
          </cell>
          <cell r="AR33">
            <v>10.284999999999997</v>
          </cell>
          <cell r="AS33">
            <v>17.957999999999998</v>
          </cell>
          <cell r="AT33">
            <v>43.242999999999995</v>
          </cell>
          <cell r="AU33">
            <v>17.480000000000004</v>
          </cell>
          <cell r="AV33">
            <v>15.92</v>
          </cell>
          <cell r="AW33">
            <v>19.36</v>
          </cell>
          <cell r="AX33">
            <v>21.417999999999996</v>
          </cell>
          <cell r="AY33">
            <v>74.178000000000011</v>
          </cell>
          <cell r="AZ33">
            <v>24.179999999999996</v>
          </cell>
          <cell r="BA33">
            <v>20.958999999999996</v>
          </cell>
          <cell r="BB33">
            <v>19.603999999999992</v>
          </cell>
          <cell r="BC33">
            <v>29.645999999999997</v>
          </cell>
          <cell r="BD33">
            <v>94.388999999999967</v>
          </cell>
          <cell r="BE33">
            <v>23.323999999999998</v>
          </cell>
          <cell r="BF33">
            <v>22.497</v>
          </cell>
          <cell r="BG33">
            <v>24.463999999999999</v>
          </cell>
          <cell r="BH33">
            <v>50.585000000000001</v>
          </cell>
          <cell r="BI33">
            <v>120.87</v>
          </cell>
          <cell r="BJ33">
            <v>26.499999999999993</v>
          </cell>
          <cell r="BK33">
            <v>27.68</v>
          </cell>
          <cell r="BL33">
            <v>31</v>
          </cell>
          <cell r="BM33">
            <v>53.890999999999977</v>
          </cell>
          <cell r="BN33">
            <v>139.07099999999997</v>
          </cell>
          <cell r="BO33">
            <v>29.973999999999993</v>
          </cell>
          <cell r="BP33">
            <v>28.098999999999997</v>
          </cell>
          <cell r="BQ33">
            <v>28.103999999999992</v>
          </cell>
          <cell r="BR33">
            <v>46.230997648893855</v>
          </cell>
          <cell r="BS33">
            <v>132.40799764889385</v>
          </cell>
          <cell r="BT33">
            <v>106.72254758347606</v>
          </cell>
          <cell r="BU33">
            <v>110.923531703325</v>
          </cell>
          <cell r="BV33">
            <v>114.49156699739854</v>
          </cell>
          <cell r="BW33">
            <v>119.73159553694313</v>
          </cell>
          <cell r="BX33">
            <v>123.03442131195422</v>
          </cell>
          <cell r="BY33">
            <v>124.0229808076725</v>
          </cell>
          <cell r="BZ33">
            <v>125.01364594613889</v>
          </cell>
          <cell r="CA33">
            <v>126.00624685364235</v>
          </cell>
          <cell r="CB33">
            <v>127.00060771515891</v>
          </cell>
          <cell r="CC33">
            <v>127.99654662499904</v>
          </cell>
        </row>
        <row r="34">
          <cell r="A34" t="str">
            <v>EBITDA Margin</v>
          </cell>
          <cell r="B34">
            <v>-0.11904761904761904</v>
          </cell>
          <cell r="C34">
            <v>-0.1015625</v>
          </cell>
          <cell r="D34">
            <v>-4.4585987261146494E-2</v>
          </cell>
          <cell r="E34">
            <v>-1.7467248908296946E-2</v>
          </cell>
          <cell r="F34">
            <v>-5.6856187290969869E-2</v>
          </cell>
          <cell r="G34">
            <v>-4.716981132075472E-2</v>
          </cell>
          <cell r="H34">
            <v>-0.05</v>
          </cell>
          <cell r="I34">
            <v>-4.5454545454545456E-2</v>
          </cell>
          <cell r="J34">
            <v>0</v>
          </cell>
          <cell r="K34">
            <v>-3.0549898167006109E-2</v>
          </cell>
          <cell r="L34">
            <v>7.575757575757576E-3</v>
          </cell>
          <cell r="M34">
            <v>2.7777777777777776E-2</v>
          </cell>
          <cell r="N34">
            <v>0.04</v>
          </cell>
          <cell r="O34">
            <v>0.1</v>
          </cell>
          <cell r="P34">
            <v>5.1506024096385522E-2</v>
          </cell>
          <cell r="Q34">
            <v>7.8385263570448754E-2</v>
          </cell>
          <cell r="R34">
            <v>0.12389928757909642</v>
          </cell>
          <cell r="S34">
            <v>0.11164377772667322</v>
          </cell>
          <cell r="T34">
            <v>0.12993911298996044</v>
          </cell>
          <cell r="U34">
            <v>0.1133557800224467</v>
          </cell>
          <cell r="V34">
            <v>0.12283044058744992</v>
          </cell>
          <cell r="W34">
            <v>0.12250332889480692</v>
          </cell>
          <cell r="X34">
            <v>0.10761154855643043</v>
          </cell>
          <cell r="Y34">
            <v>0.14975369458128079</v>
          </cell>
          <cell r="Z34">
            <v>0.12755569118095819</v>
          </cell>
          <cell r="AA34">
            <v>0.10126582278481013</v>
          </cell>
          <cell r="AB34">
            <v>2.7972027972027972E-2</v>
          </cell>
          <cell r="AC34">
            <v>3.9393939393939398E-2</v>
          </cell>
          <cell r="AD34">
            <v>9.0154211150652433E-2</v>
          </cell>
          <cell r="AE34">
            <v>6.7154255319148926E-2</v>
          </cell>
          <cell r="AF34">
            <v>8.0058224163027658E-2</v>
          </cell>
          <cell r="AG34">
            <v>0.05</v>
          </cell>
          <cell r="AH34">
            <v>6.7453625632377737E-2</v>
          </cell>
          <cell r="AI34">
            <v>0.15558343789209536</v>
          </cell>
          <cell r="AJ34">
            <v>9.2381302907618701E-2</v>
          </cell>
          <cell r="AK34">
            <v>8.5798816568047345E-2</v>
          </cell>
          <cell r="AL34">
            <v>5.9001512859304085E-2</v>
          </cell>
          <cell r="AM34">
            <v>6.9767441860465115E-2</v>
          </cell>
          <cell r="AN34">
            <v>0.14893617021276595</v>
          </cell>
          <cell r="AO34">
            <v>9.6121416526138273E-2</v>
          </cell>
          <cell r="AP34">
            <v>8.8607594936708861E-2</v>
          </cell>
          <cell r="AQ34">
            <v>9.6385542168674704E-2</v>
          </cell>
          <cell r="AR34">
            <v>0.12099999999999995</v>
          </cell>
          <cell r="AS34">
            <v>0.14599999999999999</v>
          </cell>
          <cell r="AT34">
            <v>0.11687297297297296</v>
          </cell>
          <cell r="AU34">
            <v>0.15607142857142861</v>
          </cell>
          <cell r="AV34">
            <v>0.14605504587155962</v>
          </cell>
          <cell r="AW34">
            <v>0.17285714285714285</v>
          </cell>
          <cell r="AX34">
            <v>0.13907792207792205</v>
          </cell>
          <cell r="AY34">
            <v>0.15231622176591375</v>
          </cell>
          <cell r="AZ34">
            <v>0.18599999999999997</v>
          </cell>
          <cell r="BA34">
            <v>0.16247286821705423</v>
          </cell>
          <cell r="BB34">
            <v>0.15196899224806196</v>
          </cell>
          <cell r="BC34">
            <v>0.17859036144578311</v>
          </cell>
          <cell r="BD34">
            <v>0.17037725631768946</v>
          </cell>
          <cell r="BE34">
            <v>0.1740597014925373</v>
          </cell>
          <cell r="BF34">
            <v>0.16421167883211679</v>
          </cell>
          <cell r="BG34">
            <v>0.16988888888888887</v>
          </cell>
          <cell r="BH34">
            <v>0.25677664974619291</v>
          </cell>
          <cell r="BI34">
            <v>0.19750000000000001</v>
          </cell>
          <cell r="BJ34">
            <v>0.17434210526315785</v>
          </cell>
          <cell r="BK34">
            <v>0.17299999999999999</v>
          </cell>
          <cell r="BL34">
            <v>0.18343195266272189</v>
          </cell>
          <cell r="BM34">
            <v>0.23845575221238927</v>
          </cell>
          <cell r="BN34">
            <v>0.19670579915134367</v>
          </cell>
          <cell r="BO34">
            <v>0.17426744186046508</v>
          </cell>
          <cell r="BP34">
            <v>0.17238650306748465</v>
          </cell>
          <cell r="BQ34">
            <v>0.17564999999999995</v>
          </cell>
          <cell r="BR34">
            <v>0.22871893345401695</v>
          </cell>
          <cell r="BS34">
            <v>0.18993296048004785</v>
          </cell>
          <cell r="BT34">
            <v>0.18162314027015711</v>
          </cell>
          <cell r="BU34">
            <v>0.18444662944703302</v>
          </cell>
          <cell r="BV34">
            <v>0.18684507966883501</v>
          </cell>
          <cell r="BW34">
            <v>0.19008448327480904</v>
          </cell>
          <cell r="BX34">
            <v>0.19055292968939611</v>
          </cell>
          <cell r="BY34">
            <v>0.18980631253279051</v>
          </cell>
          <cell r="BZ34">
            <v>0.18905379326427502</v>
          </cell>
          <cell r="CA34">
            <v>0.18829532522683845</v>
          </cell>
          <cell r="CB34">
            <v>0.18753086139463956</v>
          </cell>
          <cell r="CC34">
            <v>0.1867603543700912</v>
          </cell>
        </row>
        <row r="35">
          <cell r="A35" t="str">
            <v>% Change</v>
          </cell>
          <cell r="V35">
            <v>1.0909090909090904</v>
          </cell>
          <cell r="W35">
            <v>0.19480519480519476</v>
          </cell>
          <cell r="X35">
            <v>0.15492957746478875</v>
          </cell>
          <cell r="Y35">
            <v>0.36936936936936937</v>
          </cell>
          <cell r="Z35">
            <v>0.37953795379537936</v>
          </cell>
          <cell r="AA35">
            <v>-0.13043478260869557</v>
          </cell>
          <cell r="AB35">
            <v>-0.78260869565217384</v>
          </cell>
          <cell r="AC35">
            <v>-0.68292682926829262</v>
          </cell>
          <cell r="AD35">
            <v>-0.5</v>
          </cell>
          <cell r="AE35">
            <v>-0.51674641148325362</v>
          </cell>
          <cell r="AF35">
            <v>-0.3125</v>
          </cell>
          <cell r="AG35">
            <v>0.60000000000000009</v>
          </cell>
          <cell r="AH35">
            <v>0.53846153846153832</v>
          </cell>
          <cell r="AI35">
            <v>0.63157894736842124</v>
          </cell>
          <cell r="AJ35">
            <v>0.24257425742574279</v>
          </cell>
          <cell r="AK35">
            <v>5.4545454545454453E-2</v>
          </cell>
          <cell r="AL35">
            <v>0.21875</v>
          </cell>
          <cell r="AM35">
            <v>0.19999999999999996</v>
          </cell>
          <cell r="AN35">
            <v>0.12903225806451601</v>
          </cell>
          <cell r="AO35">
            <v>0.13545816733067717</v>
          </cell>
          <cell r="AP35">
            <v>0.2068965517241379</v>
          </cell>
          <cell r="AQ35">
            <v>1.0512820512820515</v>
          </cell>
          <cell r="AR35">
            <v>1.1427083333333328</v>
          </cell>
          <cell r="AS35">
            <v>0.2827142857142857</v>
          </cell>
          <cell r="AT35">
            <v>0.51729824561403492</v>
          </cell>
          <cell r="AU35">
            <v>1.4971428571428578</v>
          </cell>
          <cell r="AV35">
            <v>0.99</v>
          </cell>
          <cell r="AW35">
            <v>0.88235294117647123</v>
          </cell>
          <cell r="AX35">
            <v>0.19267178973159571</v>
          </cell>
          <cell r="AY35">
            <v>0.71537589898943232</v>
          </cell>
          <cell r="AZ35">
            <v>0.38329519450800853</v>
          </cell>
          <cell r="BA35">
            <v>0.31652010050251222</v>
          </cell>
          <cell r="BB35">
            <v>1.2603305785123586E-2</v>
          </cell>
          <cell r="BC35">
            <v>0.38416285367447967</v>
          </cell>
          <cell r="BD35">
            <v>0.27246622987947844</v>
          </cell>
          <cell r="BE35">
            <v>-3.54011579818031E-2</v>
          </cell>
          <cell r="BF35">
            <v>7.3381363614676509E-2</v>
          </cell>
          <cell r="BG35">
            <v>0.24790859008365684</v>
          </cell>
          <cell r="BH35">
            <v>0.70630101868717543</v>
          </cell>
          <cell r="BI35">
            <v>0.28055175920923037</v>
          </cell>
          <cell r="BJ35">
            <v>0.13616875321557176</v>
          </cell>
          <cell r="BK35">
            <v>0.23038627372538567</v>
          </cell>
          <cell r="BL35">
            <v>0.26716808371484646</v>
          </cell>
          <cell r="BM35">
            <v>6.5355342492833479E-2</v>
          </cell>
          <cell r="BN35">
            <v>0.15058327128319648</v>
          </cell>
          <cell r="BO35">
            <v>0.13109433962264161</v>
          </cell>
          <cell r="BP35">
            <v>1.5137283236994037E-2</v>
          </cell>
          <cell r="BQ35">
            <v>-9.3419354838709889E-2</v>
          </cell>
          <cell r="BR35">
            <v>-0.14213880520135325</v>
          </cell>
          <cell r="BS35">
            <v>-4.791079629186612E-2</v>
          </cell>
          <cell r="BT35">
            <v>-0.19398714973039521</v>
          </cell>
          <cell r="BU35">
            <v>3.9363604177111933E-2</v>
          </cell>
          <cell r="BV35">
            <v>3.2166621809487372E-2</v>
          </cell>
          <cell r="BW35">
            <v>4.5767812223791671E-2</v>
          </cell>
          <cell r="BX35">
            <v>2.7585248156089204E-2</v>
          </cell>
          <cell r="BY35">
            <v>8.0348205419016328E-3</v>
          </cell>
          <cell r="BZ35">
            <v>7.9877546243034558E-3</v>
          </cell>
          <cell r="CA35">
            <v>7.9399404760269743E-3</v>
          </cell>
          <cell r="CB35">
            <v>7.8913616296460987E-3</v>
          </cell>
          <cell r="CC35">
            <v>7.8420011349382701E-3</v>
          </cell>
        </row>
        <row r="37">
          <cell r="A37" t="str">
            <v>Capital Expenditures</v>
          </cell>
          <cell r="Z37">
            <v>10</v>
          </cell>
          <cell r="AE37">
            <v>25</v>
          </cell>
          <cell r="AF37">
            <v>2.5</v>
          </cell>
          <cell r="AG37">
            <v>2.5</v>
          </cell>
          <cell r="AH37">
            <v>2.5</v>
          </cell>
          <cell r="AI37">
            <v>2.5</v>
          </cell>
          <cell r="AJ37">
            <v>10</v>
          </cell>
          <cell r="AK37">
            <v>2.5</v>
          </cell>
          <cell r="AL37">
            <v>2.5</v>
          </cell>
          <cell r="AM37">
            <v>2.5</v>
          </cell>
          <cell r="AN37">
            <v>2.5</v>
          </cell>
          <cell r="AO37">
            <v>10</v>
          </cell>
          <cell r="AP37">
            <v>5</v>
          </cell>
          <cell r="AQ37">
            <v>5</v>
          </cell>
          <cell r="AR37">
            <v>5</v>
          </cell>
          <cell r="AS37">
            <v>5</v>
          </cell>
          <cell r="AT37">
            <v>20</v>
          </cell>
          <cell r="AY37">
            <v>20</v>
          </cell>
          <cell r="BD37">
            <v>40</v>
          </cell>
          <cell r="BI37">
            <v>60</v>
          </cell>
          <cell r="BN37">
            <v>60</v>
          </cell>
          <cell r="BS37">
            <v>40</v>
          </cell>
          <cell r="BT37">
            <v>33.715617208017598</v>
          </cell>
          <cell r="BU37">
            <v>34.506354226046348</v>
          </cell>
          <cell r="BV37">
            <v>35.159115800690067</v>
          </cell>
          <cell r="BW37">
            <v>36.141669851283147</v>
          </cell>
          <cell r="BX37">
            <v>37.047346869772262</v>
          </cell>
          <cell r="BY37">
            <v>37.491915032209533</v>
          </cell>
          <cell r="BZ37">
            <v>37.941818012596045</v>
          </cell>
          <cell r="CA37">
            <v>38.397119828747186</v>
          </cell>
          <cell r="CB37">
            <v>38.857885266692165</v>
          </cell>
          <cell r="CC37">
            <v>39.324179889892463</v>
          </cell>
        </row>
        <row r="38">
          <cell r="A38" t="str">
            <v>Free Cash Flow</v>
          </cell>
          <cell r="F38">
            <v>-3.3999999999999986</v>
          </cell>
          <cell r="K38">
            <v>-3</v>
          </cell>
          <cell r="L38">
            <v>0.25</v>
          </cell>
          <cell r="M38">
            <v>1</v>
          </cell>
          <cell r="N38">
            <v>1.6</v>
          </cell>
          <cell r="O38">
            <v>5.7</v>
          </cell>
          <cell r="P38">
            <v>8.5499999999999972</v>
          </cell>
          <cell r="Q38">
            <v>4.4000000000000004</v>
          </cell>
          <cell r="R38">
            <v>7.7</v>
          </cell>
          <cell r="S38">
            <v>7.1</v>
          </cell>
          <cell r="T38">
            <v>11.1</v>
          </cell>
          <cell r="U38">
            <v>30.300000000000004</v>
          </cell>
          <cell r="V38">
            <v>9.1999999999999993</v>
          </cell>
          <cell r="W38">
            <v>9.1999999999999993</v>
          </cell>
          <cell r="X38">
            <v>8.1999999999999993</v>
          </cell>
          <cell r="Y38">
            <v>15.2</v>
          </cell>
          <cell r="Z38">
            <v>31.799999999999997</v>
          </cell>
          <cell r="AA38">
            <v>8</v>
          </cell>
          <cell r="AB38">
            <v>2</v>
          </cell>
          <cell r="AC38">
            <v>2.6</v>
          </cell>
          <cell r="AD38">
            <v>7.6</v>
          </cell>
          <cell r="AE38">
            <v>-4.8000000000000007</v>
          </cell>
          <cell r="AF38">
            <v>3</v>
          </cell>
          <cell r="AG38">
            <v>0.70000000000000018</v>
          </cell>
          <cell r="AH38">
            <v>1.5</v>
          </cell>
          <cell r="AI38">
            <v>9.9</v>
          </cell>
          <cell r="AJ38">
            <v>15.100000000000001</v>
          </cell>
          <cell r="AK38">
            <v>3.3</v>
          </cell>
          <cell r="AL38">
            <v>1.4</v>
          </cell>
          <cell r="AM38">
            <v>2.2999999999999998</v>
          </cell>
          <cell r="AN38">
            <v>11.5</v>
          </cell>
          <cell r="AO38">
            <v>18.5</v>
          </cell>
          <cell r="AP38">
            <v>2</v>
          </cell>
          <cell r="AQ38">
            <v>3</v>
          </cell>
          <cell r="AR38">
            <v>5.2849999999999966</v>
          </cell>
          <cell r="AS38">
            <v>12.957999999999998</v>
          </cell>
          <cell r="AT38">
            <v>23.242999999999995</v>
          </cell>
          <cell r="AY38">
            <v>54.178000000000011</v>
          </cell>
          <cell r="BD38">
            <v>54.388999999999967</v>
          </cell>
          <cell r="BI38">
            <v>60.870000000000005</v>
          </cell>
          <cell r="BN38">
            <v>79.07099999999997</v>
          </cell>
          <cell r="BS38">
            <v>92.407997648893854</v>
          </cell>
          <cell r="BT38">
            <v>73.006930375458467</v>
          </cell>
          <cell r="BU38">
            <v>76.417177477278642</v>
          </cell>
          <cell r="BV38">
            <v>79.332451196708462</v>
          </cell>
          <cell r="BW38">
            <v>83.589925685659978</v>
          </cell>
          <cell r="BX38">
            <v>85.98707444218195</v>
          </cell>
          <cell r="BY38">
            <v>86.531065775462963</v>
          </cell>
          <cell r="BZ38">
            <v>87.071827933542849</v>
          </cell>
          <cell r="CA38">
            <v>87.609127024895173</v>
          </cell>
          <cell r="CB38">
            <v>88.142722448466742</v>
          </cell>
          <cell r="CC38">
            <v>88.672366735106579</v>
          </cell>
        </row>
        <row r="40">
          <cell r="A40" t="str">
            <v>FULL TIME EQUIVALENT (FTE) ANALYSIS</v>
          </cell>
        </row>
        <row r="41">
          <cell r="A41" t="str">
            <v>Full Time Equivalent(FTE) Subscriber</v>
          </cell>
          <cell r="F41">
            <v>5000</v>
          </cell>
          <cell r="G41">
            <v>4800</v>
          </cell>
          <cell r="H41">
            <v>4975</v>
          </cell>
          <cell r="I41">
            <v>5150</v>
          </cell>
          <cell r="J41">
            <v>5325</v>
          </cell>
          <cell r="K41">
            <v>5400</v>
          </cell>
          <cell r="L41">
            <v>5800</v>
          </cell>
          <cell r="M41">
            <v>6000</v>
          </cell>
          <cell r="N41">
            <v>6250</v>
          </cell>
          <cell r="O41">
            <v>6500</v>
          </cell>
          <cell r="P41">
            <v>6600</v>
          </cell>
          <cell r="Q41">
            <v>5800</v>
          </cell>
          <cell r="R41">
            <v>5975</v>
          </cell>
          <cell r="S41">
            <v>6150</v>
          </cell>
          <cell r="T41">
            <v>6325</v>
          </cell>
          <cell r="U41">
            <v>6325</v>
          </cell>
          <cell r="V41">
            <v>7400</v>
          </cell>
          <cell r="W41">
            <v>7800</v>
          </cell>
          <cell r="X41">
            <v>7700</v>
          </cell>
          <cell r="Y41">
            <v>8100</v>
          </cell>
          <cell r="Z41">
            <v>8100</v>
          </cell>
          <cell r="AA41">
            <v>8300</v>
          </cell>
          <cell r="AB41">
            <v>8300</v>
          </cell>
          <cell r="AC41">
            <v>8500</v>
          </cell>
          <cell r="AD41">
            <v>8900</v>
          </cell>
          <cell r="AE41">
            <v>8900</v>
          </cell>
          <cell r="AF41">
            <v>8900</v>
          </cell>
          <cell r="AG41">
            <v>9500</v>
          </cell>
          <cell r="AH41">
            <v>8700</v>
          </cell>
          <cell r="AI41">
            <v>10100</v>
          </cell>
          <cell r="AJ41">
            <v>10100</v>
          </cell>
          <cell r="AK41">
            <v>9100</v>
          </cell>
          <cell r="AL41">
            <v>11700</v>
          </cell>
          <cell r="AM41">
            <v>9500</v>
          </cell>
          <cell r="AN41">
            <v>12700</v>
          </cell>
          <cell r="AO41">
            <v>10590</v>
          </cell>
          <cell r="AP41">
            <v>12410</v>
          </cell>
          <cell r="AQ41">
            <v>11790</v>
          </cell>
          <cell r="AR41">
            <v>12790</v>
          </cell>
          <cell r="AS41">
            <v>13100</v>
          </cell>
          <cell r="AT41">
            <v>13100</v>
          </cell>
          <cell r="AU41">
            <v>14100</v>
          </cell>
          <cell r="AV41">
            <v>14400</v>
          </cell>
          <cell r="AW41">
            <v>15100</v>
          </cell>
          <cell r="AX41">
            <v>15600</v>
          </cell>
          <cell r="AY41">
            <v>15600</v>
          </cell>
          <cell r="AZ41">
            <v>16100.000000000002</v>
          </cell>
          <cell r="BA41">
            <v>17100</v>
          </cell>
          <cell r="BB41">
            <v>16800</v>
          </cell>
          <cell r="BC41">
            <v>17800</v>
          </cell>
          <cell r="BD41">
            <v>17800</v>
          </cell>
          <cell r="BE41">
            <v>18400</v>
          </cell>
          <cell r="BF41">
            <v>18700</v>
          </cell>
          <cell r="BG41">
            <v>19000</v>
          </cell>
          <cell r="BH41">
            <v>19400</v>
          </cell>
          <cell r="BI41">
            <v>19400</v>
          </cell>
          <cell r="BJ41">
            <v>20200</v>
          </cell>
          <cell r="BK41">
            <v>21000</v>
          </cell>
          <cell r="BL41">
            <v>21100</v>
          </cell>
          <cell r="BM41">
            <v>21800</v>
          </cell>
          <cell r="BN41">
            <v>21800</v>
          </cell>
          <cell r="BO41">
            <v>22100</v>
          </cell>
          <cell r="BP41">
            <v>22400</v>
          </cell>
          <cell r="BQ41">
            <v>22700</v>
          </cell>
          <cell r="BR41">
            <v>23113.573343469274</v>
          </cell>
          <cell r="BS41">
            <v>23113.573343469274</v>
          </cell>
          <cell r="BT41">
            <v>24207.953103175503</v>
          </cell>
          <cell r="BU41">
            <v>25211.806824989781</v>
          </cell>
          <cell r="BV41">
            <v>26170.479403594098</v>
          </cell>
          <cell r="BW41">
            <v>27181.249687775726</v>
          </cell>
          <cell r="BX41">
            <v>27507.424684029033</v>
          </cell>
          <cell r="BY41">
            <v>27837.513780237383</v>
          </cell>
          <cell r="BZ41">
            <v>28171.563945600228</v>
          </cell>
          <cell r="CA41">
            <v>28509.622712947432</v>
          </cell>
          <cell r="CB41">
            <v>28851.7381855028</v>
          </cell>
          <cell r="CC41">
            <v>29197.959043728835</v>
          </cell>
        </row>
        <row r="42">
          <cell r="A42" t="str">
            <v>Avg. Full Time Equiv.(FTE) Subscriber</v>
          </cell>
          <cell r="G42">
            <v>4900</v>
          </cell>
          <cell r="H42">
            <v>4887.5</v>
          </cell>
          <cell r="I42">
            <v>5062.5</v>
          </cell>
          <cell r="J42">
            <v>5237.5</v>
          </cell>
          <cell r="K42">
            <v>5021.875</v>
          </cell>
          <cell r="L42">
            <v>5600</v>
          </cell>
          <cell r="M42">
            <v>5900</v>
          </cell>
          <cell r="N42">
            <v>6125</v>
          </cell>
          <cell r="O42">
            <v>6375</v>
          </cell>
          <cell r="P42">
            <v>6000</v>
          </cell>
          <cell r="Q42">
            <v>6200</v>
          </cell>
          <cell r="R42">
            <v>5887.5</v>
          </cell>
          <cell r="S42">
            <v>6062.5</v>
          </cell>
          <cell r="T42">
            <v>6237.5</v>
          </cell>
          <cell r="U42">
            <v>6162.5</v>
          </cell>
          <cell r="V42">
            <v>7400</v>
          </cell>
          <cell r="W42">
            <v>7600</v>
          </cell>
          <cell r="X42">
            <v>7750</v>
          </cell>
          <cell r="Y42">
            <v>7900</v>
          </cell>
          <cell r="Z42">
            <v>7662.5</v>
          </cell>
          <cell r="AA42">
            <v>8200</v>
          </cell>
          <cell r="AB42">
            <v>8300</v>
          </cell>
          <cell r="AC42">
            <v>8400</v>
          </cell>
          <cell r="AD42">
            <v>8700</v>
          </cell>
          <cell r="AE42">
            <v>8400</v>
          </cell>
          <cell r="AF42">
            <v>8900</v>
          </cell>
          <cell r="AG42">
            <v>9200</v>
          </cell>
          <cell r="AH42">
            <v>9100</v>
          </cell>
          <cell r="AI42">
            <v>9400</v>
          </cell>
          <cell r="AJ42">
            <v>9150</v>
          </cell>
          <cell r="AK42">
            <v>9600</v>
          </cell>
          <cell r="AL42">
            <v>10400</v>
          </cell>
          <cell r="AM42">
            <v>10600</v>
          </cell>
          <cell r="AN42">
            <v>11100</v>
          </cell>
          <cell r="AO42">
            <v>10425</v>
          </cell>
          <cell r="AP42">
            <v>11500</v>
          </cell>
          <cell r="AQ42">
            <v>12100</v>
          </cell>
          <cell r="AR42">
            <v>12290</v>
          </cell>
          <cell r="AS42">
            <v>12945</v>
          </cell>
          <cell r="AT42">
            <v>12208.75</v>
          </cell>
          <cell r="AU42">
            <v>13600</v>
          </cell>
          <cell r="AV42">
            <v>14250</v>
          </cell>
          <cell r="AW42">
            <v>14750</v>
          </cell>
          <cell r="AX42">
            <v>15350</v>
          </cell>
          <cell r="AY42">
            <v>14487.5</v>
          </cell>
          <cell r="AZ42">
            <v>15850</v>
          </cell>
          <cell r="BA42">
            <v>16600</v>
          </cell>
          <cell r="BB42">
            <v>16950</v>
          </cell>
          <cell r="BC42">
            <v>17300</v>
          </cell>
          <cell r="BD42">
            <v>16675</v>
          </cell>
          <cell r="BE42">
            <v>18100</v>
          </cell>
          <cell r="BF42">
            <v>18550</v>
          </cell>
          <cell r="BG42">
            <v>18850</v>
          </cell>
          <cell r="BH42">
            <v>19200</v>
          </cell>
          <cell r="BI42">
            <v>18675</v>
          </cell>
          <cell r="BJ42">
            <v>19800</v>
          </cell>
          <cell r="BK42">
            <v>20600</v>
          </cell>
          <cell r="BL42">
            <v>21050</v>
          </cell>
          <cell r="BM42">
            <v>21450</v>
          </cell>
          <cell r="BN42">
            <v>20725</v>
          </cell>
          <cell r="BO42">
            <v>21950</v>
          </cell>
          <cell r="BP42">
            <v>22250</v>
          </cell>
          <cell r="BQ42">
            <v>22550</v>
          </cell>
          <cell r="BR42">
            <v>22906.786671734637</v>
          </cell>
          <cell r="BS42">
            <v>22456.786671734637</v>
          </cell>
          <cell r="BT42">
            <v>23660.763223322389</v>
          </cell>
          <cell r="BU42">
            <v>24709.87996408264</v>
          </cell>
          <cell r="BV42">
            <v>25691.143114291939</v>
          </cell>
          <cell r="BW42">
            <v>26675.864545684912</v>
          </cell>
          <cell r="BX42">
            <v>27344.337185902379</v>
          </cell>
          <cell r="BY42">
            <v>27672.469232133208</v>
          </cell>
          <cell r="BZ42">
            <v>28004.538862918806</v>
          </cell>
          <cell r="CA42">
            <v>28340.59332927383</v>
          </cell>
          <cell r="CB42">
            <v>28680.680449225118</v>
          </cell>
          <cell r="CC42">
            <v>29024.848614615817</v>
          </cell>
        </row>
        <row r="43">
          <cell r="A43" t="str">
            <v>Total Sales per Avg. FTE</v>
          </cell>
          <cell r="G43">
            <v>4.3265306122448983</v>
          </cell>
          <cell r="H43">
            <v>4.0920716112531972</v>
          </cell>
          <cell r="I43">
            <v>4.3456790123456788</v>
          </cell>
          <cell r="J43">
            <v>6.6825775656324584</v>
          </cell>
          <cell r="K43">
            <v>19.554449284380834</v>
          </cell>
          <cell r="L43">
            <v>5.8928571428571432</v>
          </cell>
          <cell r="M43">
            <v>6.101694915254237</v>
          </cell>
          <cell r="N43">
            <v>6.5306122448979593</v>
          </cell>
          <cell r="O43">
            <v>8.9411764705882355</v>
          </cell>
          <cell r="P43">
            <v>27.666666666666668</v>
          </cell>
          <cell r="Q43">
            <v>9.053709677419354</v>
          </cell>
          <cell r="R43">
            <v>10.555796178343948</v>
          </cell>
          <cell r="S43">
            <v>10.489917525773196</v>
          </cell>
          <cell r="T43">
            <v>13.695330661322645</v>
          </cell>
          <cell r="U43">
            <v>43.375253549695742</v>
          </cell>
          <cell r="V43">
            <v>10.121621621621621</v>
          </cell>
          <cell r="W43">
            <v>9.8815789473684212</v>
          </cell>
          <cell r="X43">
            <v>9.8322580645161288</v>
          </cell>
          <cell r="Y43">
            <v>12.848101265822784</v>
          </cell>
          <cell r="Z43">
            <v>42.766721044045674</v>
          </cell>
          <cell r="AA43">
            <v>9.6341463414634152</v>
          </cell>
          <cell r="AB43">
            <v>8.6144578313253017</v>
          </cell>
          <cell r="AC43">
            <v>7.8571428571428568</v>
          </cell>
          <cell r="AD43">
            <v>9.6896551724137936</v>
          </cell>
          <cell r="AE43">
            <v>35.80952380952381</v>
          </cell>
          <cell r="AF43">
            <v>7.7191011235955056</v>
          </cell>
          <cell r="AG43">
            <v>6.9565217391304346</v>
          </cell>
          <cell r="AH43">
            <v>6.5164835164835164</v>
          </cell>
          <cell r="AI43">
            <v>8.4787234042553195</v>
          </cell>
          <cell r="AJ43">
            <v>29.693989071038253</v>
          </cell>
          <cell r="AK43">
            <v>7.041666666666667</v>
          </cell>
          <cell r="AL43">
            <v>6.3557692307692299</v>
          </cell>
          <cell r="AM43">
            <v>6.4905660377358494</v>
          </cell>
          <cell r="AN43">
            <v>8.468468468468469</v>
          </cell>
          <cell r="AO43">
            <v>28.441247002398082</v>
          </cell>
          <cell r="AP43">
            <v>6.8695652173913047</v>
          </cell>
          <cell r="AQ43">
            <v>6.8595041322314048</v>
          </cell>
          <cell r="AR43">
            <v>6.9161920260374288</v>
          </cell>
          <cell r="AS43">
            <v>9.5017381228273461</v>
          </cell>
          <cell r="AT43">
            <v>30.306132896488176</v>
          </cell>
          <cell r="AU43">
            <v>8.235294117647058</v>
          </cell>
          <cell r="AV43">
            <v>7.6491228070175437</v>
          </cell>
          <cell r="AW43">
            <v>7.593220338983051</v>
          </cell>
          <cell r="AX43">
            <v>10.032573289902279</v>
          </cell>
          <cell r="AY43">
            <v>33.615185504745476</v>
          </cell>
          <cell r="AZ43">
            <v>8.2018927444794958</v>
          </cell>
          <cell r="BA43">
            <v>7.7710843373493974</v>
          </cell>
          <cell r="BB43">
            <v>7.610619469026549</v>
          </cell>
          <cell r="BC43">
            <v>9.595375722543352</v>
          </cell>
          <cell r="BD43">
            <v>33.223388305847074</v>
          </cell>
          <cell r="BE43">
            <v>7.403314917127072</v>
          </cell>
          <cell r="BF43">
            <v>7.3854447439353104</v>
          </cell>
          <cell r="BG43">
            <v>7.6392572944297079</v>
          </cell>
          <cell r="BH43">
            <v>10.260416666666666</v>
          </cell>
          <cell r="BI43">
            <v>32.7710843373494</v>
          </cell>
          <cell r="BJ43">
            <v>7.6767676767676765</v>
          </cell>
          <cell r="BK43">
            <v>7.766990291262136</v>
          </cell>
          <cell r="BL43">
            <v>8.0285035629453674</v>
          </cell>
          <cell r="BM43">
            <v>10.536130536130536</v>
          </cell>
          <cell r="BN43">
            <v>34.113389626055486</v>
          </cell>
          <cell r="BO43">
            <v>7.8359908883826881</v>
          </cell>
          <cell r="BP43">
            <v>7.3258426966292136</v>
          </cell>
          <cell r="BQ43">
            <v>7.0953436807095347</v>
          </cell>
          <cell r="BR43">
            <v>8.8240300206802633</v>
          </cell>
          <cell r="BS43">
            <v>31.043184559710493</v>
          </cell>
          <cell r="BT43">
            <v>24.834547647768396</v>
          </cell>
          <cell r="BU43">
            <v>24.337856694813027</v>
          </cell>
          <cell r="BV43">
            <v>23.851099560916765</v>
          </cell>
          <cell r="BW43">
            <v>23.612588565307597</v>
          </cell>
          <cell r="BX43">
            <v>23.612588565307597</v>
          </cell>
          <cell r="BY43">
            <v>23.612588565307597</v>
          </cell>
          <cell r="BZ43">
            <v>23.612588565307597</v>
          </cell>
          <cell r="CA43">
            <v>23.612588565307597</v>
          </cell>
          <cell r="CB43">
            <v>23.612588565307597</v>
          </cell>
          <cell r="CC43">
            <v>23.612588565307597</v>
          </cell>
        </row>
        <row r="44">
          <cell r="A44" t="str">
            <v>% Change - Sales per FTE</v>
          </cell>
          <cell r="F44">
            <v>15.11</v>
          </cell>
          <cell r="K44">
            <v>18.329999999999998</v>
          </cell>
          <cell r="L44">
            <v>0.36202830188679247</v>
          </cell>
          <cell r="M44">
            <v>0.49110169491525402</v>
          </cell>
          <cell r="N44">
            <v>0.50278293135436014</v>
          </cell>
          <cell r="O44">
            <v>0.33798319327731097</v>
          </cell>
          <cell r="P44">
            <v>26.49</v>
          </cell>
          <cell r="Q44">
            <v>0.53638709677419327</v>
          </cell>
          <cell r="R44">
            <v>0.72997770700636933</v>
          </cell>
          <cell r="S44">
            <v>0.60626862113402047</v>
          </cell>
          <cell r="T44">
            <v>0.53171461343740112</v>
          </cell>
          <cell r="U44">
            <v>0.56778024878418343</v>
          </cell>
          <cell r="V44">
            <v>0.11795296980482162</v>
          </cell>
          <cell r="W44">
            <v>-6.3871755345062176E-2</v>
          </cell>
          <cell r="X44">
            <v>-6.2694435837196139E-2</v>
          </cell>
          <cell r="Y44">
            <v>-6.1862646215074202E-2</v>
          </cell>
          <cell r="Z44">
            <v>-1.4029485843877865E-2</v>
          </cell>
          <cell r="AA44">
            <v>-4.8161776677846824E-2</v>
          </cell>
          <cell r="AB44">
            <v>-0.12823063224937026</v>
          </cell>
          <cell r="AC44">
            <v>-0.20088113985751788</v>
          </cell>
          <cell r="AD44">
            <v>-0.24582979446237463</v>
          </cell>
          <cell r="AE44">
            <v>-0.16267782669979791</v>
          </cell>
          <cell r="AF44">
            <v>-0.19877684539894758</v>
          </cell>
          <cell r="AG44">
            <v>-0.19245971419884467</v>
          </cell>
          <cell r="AH44">
            <v>-0.17062937062937056</v>
          </cell>
          <cell r="AI44">
            <v>-0.12497160596653289</v>
          </cell>
          <cell r="AJ44">
            <v>-0.17077956051621901</v>
          </cell>
          <cell r="AK44">
            <v>-8.7760795730227992E-2</v>
          </cell>
          <cell r="AL44">
            <v>-8.6358173076923173E-2</v>
          </cell>
          <cell r="AM44">
            <v>-3.9772184924750098E-3</v>
          </cell>
          <cell r="AN44">
            <v>-1.2094905444968163E-3</v>
          </cell>
          <cell r="AO44">
            <v>-4.218840606572527E-2</v>
          </cell>
          <cell r="AP44">
            <v>-2.4440442500643145E-2</v>
          </cell>
          <cell r="AQ44">
            <v>7.9256323376801996E-2</v>
          </cell>
          <cell r="AR44">
            <v>6.5576097034836245E-2</v>
          </cell>
          <cell r="AS44">
            <v>0.12201375705727169</v>
          </cell>
          <cell r="AT44">
            <v>6.5569765416152448E-2</v>
          </cell>
          <cell r="AU44">
            <v>0.19880863737900212</v>
          </cell>
          <cell r="AV44">
            <v>0.11511308391460573</v>
          </cell>
          <cell r="AW44">
            <v>9.789032901296113E-2</v>
          </cell>
          <cell r="AX44">
            <v>5.5867164534837421E-2</v>
          </cell>
          <cell r="AY44">
            <v>0.10918755684070613</v>
          </cell>
          <cell r="AZ44">
            <v>-4.0558810274896606E-3</v>
          </cell>
          <cell r="BA44">
            <v>1.5944511992925792E-2</v>
          </cell>
          <cell r="BB44">
            <v>2.2914032869785217E-3</v>
          </cell>
          <cell r="BC44">
            <v>-4.3577809473763218E-2</v>
          </cell>
          <cell r="BD44">
            <v>-1.1655363283450959E-2</v>
          </cell>
          <cell r="BE44">
            <v>-9.7365065873353251E-2</v>
          </cell>
          <cell r="BF44">
            <v>-4.9624939927704226E-2</v>
          </cell>
          <cell r="BG44">
            <v>3.7628770587871951E-3</v>
          </cell>
          <cell r="BH44">
            <v>6.9308483935742959E-2</v>
          </cell>
          <cell r="BI44">
            <v>-1.361402287851754E-2</v>
          </cell>
          <cell r="BJ44">
            <v>3.693652947384285E-2</v>
          </cell>
          <cell r="BK44">
            <v>5.1661824108851118E-2</v>
          </cell>
          <cell r="BL44">
            <v>5.0953417788334621E-2</v>
          </cell>
          <cell r="BM44">
            <v>2.6871605551808564E-2</v>
          </cell>
          <cell r="BN44">
            <v>4.0960051089192984E-2</v>
          </cell>
          <cell r="BO44">
            <v>2.0740918355113269E-2</v>
          </cell>
          <cell r="BP44">
            <v>-5.67977528089888E-2</v>
          </cell>
          <cell r="BQ44">
            <v>-0.11623086107138625</v>
          </cell>
          <cell r="BR44">
            <v>-0.1624980356478245</v>
          </cell>
          <cell r="BS44">
            <v>-0.09</v>
          </cell>
          <cell r="BT44">
            <v>-0.2</v>
          </cell>
          <cell r="BU44">
            <v>-0.02</v>
          </cell>
          <cell r="BV44">
            <v>-0.02</v>
          </cell>
          <cell r="BW44">
            <v>-0.01</v>
          </cell>
          <cell r="BX44">
            <v>0</v>
          </cell>
          <cell r="BY44">
            <v>0</v>
          </cell>
          <cell r="BZ44">
            <v>0</v>
          </cell>
          <cell r="CA44">
            <v>0</v>
          </cell>
          <cell r="CB44">
            <v>0</v>
          </cell>
          <cell r="CC44">
            <v>0</v>
          </cell>
        </row>
        <row r="45">
          <cell r="P45">
            <v>0.44517184942716859</v>
          </cell>
        </row>
        <row r="46">
          <cell r="A46" t="str">
            <v>Customers (min. 1 purch. per year)</v>
          </cell>
          <cell r="F46">
            <v>237.5</v>
          </cell>
          <cell r="G46">
            <v>91.2</v>
          </cell>
          <cell r="H46">
            <v>185.72499999999999</v>
          </cell>
          <cell r="I46">
            <v>283.57499999999999</v>
          </cell>
          <cell r="J46">
            <v>384.75</v>
          </cell>
          <cell r="K46">
            <v>484.5</v>
          </cell>
          <cell r="L46">
            <v>494.95</v>
          </cell>
          <cell r="M46">
            <v>517.75</v>
          </cell>
          <cell r="N46">
            <v>541.97500000000002</v>
          </cell>
          <cell r="O46">
            <v>567.625</v>
          </cell>
          <cell r="P46">
            <v>575.70000000000005</v>
          </cell>
          <cell r="Q46">
            <v>576.65</v>
          </cell>
          <cell r="R46">
            <v>579.97500000000002</v>
          </cell>
          <cell r="S46">
            <v>582.82500000000005</v>
          </cell>
          <cell r="T46">
            <v>584.25</v>
          </cell>
          <cell r="U46">
            <v>613.9375</v>
          </cell>
          <cell r="V46">
            <v>601.35</v>
          </cell>
          <cell r="W46">
            <v>639.35</v>
          </cell>
          <cell r="X46">
            <v>672.125</v>
          </cell>
          <cell r="Y46">
            <v>709.17499999999995</v>
          </cell>
          <cell r="Z46">
            <v>685.1875</v>
          </cell>
          <cell r="AA46">
            <v>746.7</v>
          </cell>
          <cell r="AB46">
            <v>763.8</v>
          </cell>
          <cell r="AC46">
            <v>777.1</v>
          </cell>
          <cell r="AD46">
            <v>799.9</v>
          </cell>
          <cell r="AE46">
            <v>807.5</v>
          </cell>
          <cell r="AF46">
            <v>826.5</v>
          </cell>
          <cell r="AG46">
            <v>845.5</v>
          </cell>
          <cell r="AH46">
            <v>845.5</v>
          </cell>
          <cell r="AI46">
            <v>875.9</v>
          </cell>
          <cell r="AJ46">
            <v>902.5</v>
          </cell>
          <cell r="AK46">
            <v>891.1</v>
          </cell>
          <cell r="AL46">
            <v>959.5</v>
          </cell>
          <cell r="AM46">
            <v>932.9</v>
          </cell>
          <cell r="AN46">
            <v>1008.9</v>
          </cell>
          <cell r="AO46">
            <v>982.77499999999998</v>
          </cell>
          <cell r="AP46">
            <v>1031.7</v>
          </cell>
          <cell r="AQ46">
            <v>1124.6099999999999</v>
          </cell>
          <cell r="AR46">
            <v>1084.52</v>
          </cell>
          <cell r="AS46">
            <v>1193.01</v>
          </cell>
          <cell r="AT46">
            <v>1125.2750000000001</v>
          </cell>
          <cell r="AY46">
            <v>1363.25</v>
          </cell>
          <cell r="BD46">
            <v>1586.5</v>
          </cell>
          <cell r="BI46">
            <v>1767</v>
          </cell>
          <cell r="BN46">
            <v>1957</v>
          </cell>
          <cell r="BS46">
            <v>2133.3947338147905</v>
          </cell>
          <cell r="BT46">
            <v>2247.7725062156269</v>
          </cell>
          <cell r="BU46">
            <v>2347.438596587851</v>
          </cell>
          <cell r="BV46">
            <v>2440.6585958577343</v>
          </cell>
          <cell r="BW46">
            <v>2534.2071318400667</v>
          </cell>
          <cell r="BX46">
            <v>2597.712032660726</v>
          </cell>
          <cell r="BY46">
            <v>2628.8845770526545</v>
          </cell>
          <cell r="BZ46">
            <v>2660.4311919772867</v>
          </cell>
          <cell r="CA46">
            <v>2692.3563662810138</v>
          </cell>
          <cell r="CB46">
            <v>2724.6646426763864</v>
          </cell>
          <cell r="CC46">
            <v>2757.3606183885026</v>
          </cell>
        </row>
        <row r="47">
          <cell r="A47" t="str">
            <v>Customers as % of FTE</v>
          </cell>
          <cell r="B47">
            <v>8.6999999999999994E-2</v>
          </cell>
          <cell r="C47">
            <v>8.6999999999999994E-2</v>
          </cell>
          <cell r="D47">
            <v>8.6999999999999994E-2</v>
          </cell>
          <cell r="E47">
            <v>8.6999999999999994E-2</v>
          </cell>
          <cell r="F47">
            <v>4.7500000000000001E-2</v>
          </cell>
          <cell r="G47">
            <v>1.9E-2</v>
          </cell>
          <cell r="H47">
            <v>3.7331658291457286E-2</v>
          </cell>
          <cell r="I47">
            <v>5.50631067961165E-2</v>
          </cell>
          <cell r="J47">
            <v>7.2253521126760561E-2</v>
          </cell>
          <cell r="K47">
            <v>8.9722222222222217E-2</v>
          </cell>
          <cell r="L47">
            <v>8.533620689655172E-2</v>
          </cell>
          <cell r="M47">
            <v>8.6291666666666669E-2</v>
          </cell>
          <cell r="N47">
            <v>8.6716000000000001E-2</v>
          </cell>
          <cell r="O47">
            <v>8.732692307692308E-2</v>
          </cell>
          <cell r="P47">
            <v>8.7227272727272737E-2</v>
          </cell>
          <cell r="Q47">
            <v>9.9422413793103445E-2</v>
          </cell>
          <cell r="R47">
            <v>9.7066945606694571E-2</v>
          </cell>
          <cell r="S47">
            <v>9.476829268292683E-2</v>
          </cell>
          <cell r="T47">
            <v>9.2371541501976281E-2</v>
          </cell>
          <cell r="U47">
            <v>9.7065217391304345E-2</v>
          </cell>
          <cell r="V47">
            <v>8.1263513513513519E-2</v>
          </cell>
          <cell r="W47">
            <v>8.1967948717948727E-2</v>
          </cell>
          <cell r="X47">
            <v>8.7288961038961041E-2</v>
          </cell>
          <cell r="Y47">
            <v>8.755246913580246E-2</v>
          </cell>
          <cell r="Z47">
            <v>8.4591049382716055E-2</v>
          </cell>
          <cell r="AA47">
            <v>8.996385542168675E-2</v>
          </cell>
          <cell r="AB47">
            <v>9.2024096385542167E-2</v>
          </cell>
          <cell r="AC47">
            <v>9.1423529411764709E-2</v>
          </cell>
          <cell r="AD47">
            <v>8.9876404494382015E-2</v>
          </cell>
          <cell r="AE47">
            <v>9.0730337078651691E-2</v>
          </cell>
          <cell r="AF47">
            <v>9.2865168539325846E-2</v>
          </cell>
          <cell r="AG47">
            <v>8.8999999999999996E-2</v>
          </cell>
          <cell r="AH47">
            <v>9.7183908045977013E-2</v>
          </cell>
          <cell r="AI47">
            <v>8.6722772277227717E-2</v>
          </cell>
          <cell r="AJ47">
            <v>8.9356435643564353E-2</v>
          </cell>
          <cell r="AK47">
            <v>9.7923076923076932E-2</v>
          </cell>
          <cell r="AL47">
            <v>8.2008547008547011E-2</v>
          </cell>
          <cell r="AM47">
            <v>9.8199999999999996E-2</v>
          </cell>
          <cell r="AN47">
            <v>7.9440944881889755E-2</v>
          </cell>
          <cell r="AO47">
            <v>9.2802171860245516E-2</v>
          </cell>
          <cell r="AP47">
            <v>8.3134568896051572E-2</v>
          </cell>
          <cell r="AQ47">
            <v>9.5386768447837139E-2</v>
          </cell>
          <cell r="AR47">
            <v>8.4794370602032834E-2</v>
          </cell>
          <cell r="AS47">
            <v>9.1069465648854958E-2</v>
          </cell>
          <cell r="AT47">
            <v>8.5898854961832069E-2</v>
          </cell>
          <cell r="AY47">
            <v>8.7387820512820513E-2</v>
          </cell>
          <cell r="BD47">
            <v>8.9129213483146064E-2</v>
          </cell>
          <cell r="BI47">
            <v>9.1082474226804128E-2</v>
          </cell>
          <cell r="BN47">
            <v>8.9770642201834866E-2</v>
          </cell>
          <cell r="BS47">
            <v>9.2300515463896449E-2</v>
          </cell>
          <cell r="BT47">
            <v>9.2852646261974661E-2</v>
          </cell>
          <cell r="BU47">
            <v>9.3108701525552104E-2</v>
          </cell>
          <cell r="BV47">
            <v>9.325998802767628E-2</v>
          </cell>
          <cell r="BW47">
            <v>9.3233650437337334E-2</v>
          </cell>
          <cell r="BX47">
            <v>9.443675889328064E-2</v>
          </cell>
          <cell r="BY47">
            <v>9.4436758893280626E-2</v>
          </cell>
          <cell r="BZ47">
            <v>9.443675889328064E-2</v>
          </cell>
          <cell r="CA47">
            <v>9.4436758893280626E-2</v>
          </cell>
          <cell r="CB47">
            <v>9.4436758893280653E-2</v>
          </cell>
          <cell r="CC47">
            <v>9.4436758893280626E-2</v>
          </cell>
        </row>
        <row r="48">
          <cell r="A48" t="str">
            <v>Cust. as % Trail. 12 Month Avg. FTE</v>
          </cell>
          <cell r="F48">
            <v>9.5000000000000001E-2</v>
          </cell>
          <cell r="G48">
            <v>9.5000000000000001E-2</v>
          </cell>
          <cell r="H48">
            <v>9.5000000000000001E-2</v>
          </cell>
          <cell r="I48">
            <v>9.5000000000000001E-2</v>
          </cell>
          <cell r="J48">
            <v>9.5000000000000001E-2</v>
          </cell>
          <cell r="K48">
            <v>9.5000000000000001E-2</v>
          </cell>
          <cell r="L48">
            <v>9.5000000000000001E-2</v>
          </cell>
          <cell r="M48">
            <v>9.5000000000000001E-2</v>
          </cell>
          <cell r="N48">
            <v>9.5000000000000001E-2</v>
          </cell>
          <cell r="O48">
            <v>9.5000000000000001E-2</v>
          </cell>
          <cell r="P48">
            <v>9.5000000000000001E-2</v>
          </cell>
          <cell r="Q48">
            <v>9.5000000000000001E-2</v>
          </cell>
          <cell r="R48">
            <v>9.5000000000000001E-2</v>
          </cell>
          <cell r="S48">
            <v>9.5000000000000001E-2</v>
          </cell>
          <cell r="T48">
            <v>9.5000000000000001E-2</v>
          </cell>
          <cell r="U48">
            <v>9.5000000000000001E-2</v>
          </cell>
          <cell r="V48">
            <v>9.5000000000000001E-2</v>
          </cell>
          <cell r="W48">
            <v>9.5000000000000001E-2</v>
          </cell>
          <cell r="X48">
            <v>9.5000000000000001E-2</v>
          </cell>
          <cell r="Y48">
            <v>9.5000000000000001E-2</v>
          </cell>
          <cell r="Z48">
            <v>9.5000000000000001E-2</v>
          </cell>
          <cell r="AA48">
            <v>9.5000000000000001E-2</v>
          </cell>
          <cell r="AB48">
            <v>9.5000000000000001E-2</v>
          </cell>
          <cell r="AC48">
            <v>9.5000000000000001E-2</v>
          </cell>
          <cell r="AD48">
            <v>9.5000000000000001E-2</v>
          </cell>
          <cell r="AE48">
            <v>9.5000000000000001E-2</v>
          </cell>
          <cell r="AF48">
            <v>9.5000000000000001E-2</v>
          </cell>
          <cell r="AG48">
            <v>9.5000000000000001E-2</v>
          </cell>
          <cell r="AH48">
            <v>9.5000000000000001E-2</v>
          </cell>
          <cell r="AI48">
            <v>9.5000000000000001E-2</v>
          </cell>
          <cell r="AJ48">
            <v>9.5000000000000001E-2</v>
          </cell>
          <cell r="AK48">
            <v>9.5000000000000001E-2</v>
          </cell>
          <cell r="AL48">
            <v>9.5000000000000001E-2</v>
          </cell>
          <cell r="AM48">
            <v>9.5000000000000001E-2</v>
          </cell>
          <cell r="AN48">
            <v>9.5000000000000001E-2</v>
          </cell>
          <cell r="AO48">
            <v>9.5000000000000001E-2</v>
          </cell>
          <cell r="AP48">
            <v>9.5000000000000001E-2</v>
          </cell>
          <cell r="AQ48">
            <v>9.5000000000000001E-2</v>
          </cell>
          <cell r="AR48">
            <v>9.5000000000000001E-2</v>
          </cell>
          <cell r="AS48">
            <v>9.5000000000000001E-2</v>
          </cell>
          <cell r="AT48">
            <v>9.5000000000000001E-2</v>
          </cell>
          <cell r="AY48">
            <v>9.5000000000000001E-2</v>
          </cell>
          <cell r="BD48">
            <v>9.5000000000000001E-2</v>
          </cell>
          <cell r="BI48">
            <v>9.5000000000000001E-2</v>
          </cell>
          <cell r="BN48">
            <v>9.5000000000000001E-2</v>
          </cell>
          <cell r="BS48">
            <v>9.5000000000000001E-2</v>
          </cell>
          <cell r="BT48">
            <v>9.5000000000000001E-2</v>
          </cell>
          <cell r="BU48">
            <v>9.5000000000000001E-2</v>
          </cell>
          <cell r="BV48">
            <v>9.5000000000000001E-2</v>
          </cell>
          <cell r="BW48">
            <v>9.5000000000000001E-2</v>
          </cell>
          <cell r="BX48">
            <v>9.5000000000000001E-2</v>
          </cell>
          <cell r="BY48">
            <v>9.5000000000000001E-2</v>
          </cell>
          <cell r="BZ48">
            <v>9.5000000000000001E-2</v>
          </cell>
          <cell r="CA48">
            <v>9.5000000000000001E-2</v>
          </cell>
          <cell r="CB48">
            <v>9.5000000000000001E-2</v>
          </cell>
          <cell r="CC48">
            <v>9.5000000000000001E-2</v>
          </cell>
        </row>
        <row r="49">
          <cell r="A49" t="str">
            <v>Revenue per Customer</v>
          </cell>
          <cell r="F49">
            <v>251.78947368421055</v>
          </cell>
          <cell r="G49">
            <v>232.45614035087721</v>
          </cell>
          <cell r="H49">
            <v>107.68609503297887</v>
          </cell>
          <cell r="I49">
            <v>77.58088689059332</v>
          </cell>
          <cell r="J49">
            <v>90.968161143599744</v>
          </cell>
          <cell r="K49">
            <v>202.68317853457171</v>
          </cell>
          <cell r="L49">
            <v>66.673401353672091</v>
          </cell>
          <cell r="M49">
            <v>69.531627233220661</v>
          </cell>
          <cell r="N49">
            <v>73.804142257484202</v>
          </cell>
          <cell r="O49">
            <v>100.418410041841</v>
          </cell>
          <cell r="P49">
            <v>288.34462393607782</v>
          </cell>
          <cell r="Q49">
            <v>97.343275817220146</v>
          </cell>
          <cell r="R49">
            <v>107.15504978662874</v>
          </cell>
          <cell r="S49">
            <v>109.11530047612919</v>
          </cell>
          <cell r="T49">
            <v>146.21245186136071</v>
          </cell>
          <cell r="U49">
            <v>435.38633818589028</v>
          </cell>
          <cell r="V49">
            <v>124.55308888334581</v>
          </cell>
          <cell r="W49">
            <v>117.46304840853992</v>
          </cell>
          <cell r="X49">
            <v>113.3717686442254</v>
          </cell>
          <cell r="Y49">
            <v>143.12405259632672</v>
          </cell>
          <cell r="Z49">
            <v>478.26324911064489</v>
          </cell>
          <cell r="AA49">
            <v>105.79884826570242</v>
          </cell>
          <cell r="AB49">
            <v>93.610892903901544</v>
          </cell>
          <cell r="AC49">
            <v>84.931154291596968</v>
          </cell>
          <cell r="AD49">
            <v>105.38817352169021</v>
          </cell>
          <cell r="AE49">
            <v>372.50773993808048</v>
          </cell>
          <cell r="AF49">
            <v>83.121597096188751</v>
          </cell>
          <cell r="AG49">
            <v>75.694855115316386</v>
          </cell>
          <cell r="AH49">
            <v>70.136014192785339</v>
          </cell>
          <cell r="AI49">
            <v>90.992122388400503</v>
          </cell>
          <cell r="AJ49">
            <v>301.05263157894734</v>
          </cell>
          <cell r="AK49">
            <v>75.861295028616311</v>
          </cell>
          <cell r="AL49">
            <v>68.890046899426778</v>
          </cell>
          <cell r="AM49">
            <v>73.748526101404224</v>
          </cell>
          <cell r="AN49">
            <v>93.170780057488358</v>
          </cell>
          <cell r="AO49">
            <v>301.69672610719647</v>
          </cell>
          <cell r="AP49">
            <v>76.572647087331589</v>
          </cell>
          <cell r="AQ49">
            <v>73.803362943598231</v>
          </cell>
          <cell r="AR49">
            <v>78.375686939844357</v>
          </cell>
          <cell r="AS49">
            <v>103.10056076646465</v>
          </cell>
          <cell r="AT49">
            <v>328.80851347448402</v>
          </cell>
          <cell r="AY49">
            <v>357.23454978910695</v>
          </cell>
          <cell r="BD49">
            <v>349.19634415379767</v>
          </cell>
          <cell r="BI49">
            <v>346.34974533106958</v>
          </cell>
          <cell r="BN49">
            <v>361.26724578436381</v>
          </cell>
          <cell r="BS49">
            <v>326.77036378642623</v>
          </cell>
          <cell r="BT49">
            <v>261.41629102914101</v>
          </cell>
          <cell r="BU49">
            <v>256.18796520855818</v>
          </cell>
          <cell r="BV49">
            <v>251.06420590438699</v>
          </cell>
          <cell r="BW49">
            <v>248.55356384534309</v>
          </cell>
          <cell r="BX49">
            <v>248.55356384534309</v>
          </cell>
          <cell r="BY49">
            <v>248.55356384534312</v>
          </cell>
          <cell r="BZ49">
            <v>248.55356384534312</v>
          </cell>
          <cell r="CA49">
            <v>248.55356384534309</v>
          </cell>
          <cell r="CB49">
            <v>248.55356384534309</v>
          </cell>
          <cell r="CC49">
            <v>248.55356384534312</v>
          </cell>
        </row>
        <row r="50">
          <cell r="K50">
            <v>-0.1950291822414586</v>
          </cell>
          <cell r="L50">
            <v>-0.71317857530873141</v>
          </cell>
          <cell r="M50">
            <v>-0.3543119266055047</v>
          </cell>
          <cell r="N50">
            <v>-4.8681379969723548E-2</v>
          </cell>
          <cell r="O50">
            <v>0.10388523610280931</v>
          </cell>
          <cell r="P50">
            <v>0.42263717206751239</v>
          </cell>
          <cell r="Q50">
            <v>0.46000164744645788</v>
          </cell>
          <cell r="R50">
            <v>0.54109797297297324</v>
          </cell>
          <cell r="S50">
            <v>0.47844412438875294</v>
          </cell>
          <cell r="T50">
            <v>0.45603233311938385</v>
          </cell>
          <cell r="U50">
            <v>0.50995129453986165</v>
          </cell>
          <cell r="V50">
            <v>0.27952432089112222</v>
          </cell>
          <cell r="W50">
            <v>9.6197040106246634E-2</v>
          </cell>
          <cell r="X50">
            <v>3.9008902963405978E-2</v>
          </cell>
          <cell r="Y50">
            <v>-2.1122682957005701E-2</v>
          </cell>
          <cell r="Z50">
            <v>9.8480147777278537E-2</v>
          </cell>
          <cell r="AA50">
            <v>-0.15057226429131976</v>
          </cell>
          <cell r="AB50">
            <v>-0.20306092705579959</v>
          </cell>
          <cell r="AC50">
            <v>-0.2508615212829447</v>
          </cell>
          <cell r="AD50">
            <v>-0.26365854229315611</v>
          </cell>
          <cell r="AE50">
            <v>-0.22112405535909818</v>
          </cell>
          <cell r="AF50">
            <v>-0.21434308162374505</v>
          </cell>
          <cell r="AG50">
            <v>-0.19138838689400484</v>
          </cell>
          <cell r="AH50">
            <v>-0.17420156622403815</v>
          </cell>
          <cell r="AI50">
            <v>-0.13660025268705145</v>
          </cell>
          <cell r="AJ50">
            <v>-0.19182180851063835</v>
          </cell>
          <cell r="AK50">
            <v>-8.7345555441755818E-2</v>
          </cell>
          <cell r="AL50">
            <v>-8.9897896039604075E-2</v>
          </cell>
          <cell r="AM50">
            <v>5.1507231344641857E-2</v>
          </cell>
          <cell r="AN50">
            <v>2.3943365776085912E-2</v>
          </cell>
          <cell r="AO50">
            <v>2.1394748315968215E-3</v>
          </cell>
          <cell r="AP50">
            <v>9.3770091645144493E-3</v>
          </cell>
          <cell r="AQ50">
            <v>7.1321130777345143E-2</v>
          </cell>
          <cell r="AR50">
            <v>6.2742417822395424E-2</v>
          </cell>
          <cell r="AS50">
            <v>0.10657612507751257</v>
          </cell>
          <cell r="AT50">
            <v>8.9864373793882013E-2</v>
          </cell>
          <cell r="AY50">
            <v>8.6451643280911705E-2</v>
          </cell>
          <cell r="BD50">
            <v>-2.2501198834364189E-2</v>
          </cell>
          <cell r="BI50">
            <v>-8.1518574589496406E-3</v>
          </cell>
          <cell r="BN50">
            <v>4.3070626308775894E-2</v>
          </cell>
          <cell r="BS50">
            <v>-9.5488540410132772E-2</v>
          </cell>
          <cell r="BT50">
            <v>-0.19999999999999996</v>
          </cell>
          <cell r="BU50">
            <v>-2.0000000000000018E-2</v>
          </cell>
          <cell r="BV50">
            <v>-2.0000000000000129E-2</v>
          </cell>
          <cell r="BW50">
            <v>-1.000000000000012E-2</v>
          </cell>
          <cell r="BX50">
            <v>0</v>
          </cell>
          <cell r="BY50">
            <v>0</v>
          </cell>
          <cell r="BZ50">
            <v>0</v>
          </cell>
          <cell r="CA50">
            <v>0</v>
          </cell>
          <cell r="CB50">
            <v>0</v>
          </cell>
          <cell r="CC50">
            <v>0</v>
          </cell>
        </row>
        <row r="51">
          <cell r="J51">
            <v>6.13</v>
          </cell>
          <cell r="O51">
            <v>8.3800000000000008</v>
          </cell>
        </row>
        <row r="52">
          <cell r="A52" t="str">
            <v>Multichannel subscribers (thousands)</v>
          </cell>
          <cell r="F52" t="str">
            <v>1995</v>
          </cell>
          <cell r="K52" t="str">
            <v>1996</v>
          </cell>
          <cell r="O52">
            <v>0.3670473083197392</v>
          </cell>
          <cell r="P52" t="str">
            <v>1997E</v>
          </cell>
          <cell r="U52" t="str">
            <v>1998E</v>
          </cell>
          <cell r="Z52" t="str">
            <v>1999E</v>
          </cell>
          <cell r="AE52" t="str">
            <v>2000E</v>
          </cell>
          <cell r="AJ52" t="str">
            <v>2001E</v>
          </cell>
          <cell r="AO52" t="str">
            <v>2002</v>
          </cell>
          <cell r="AT52" t="str">
            <v>2003</v>
          </cell>
          <cell r="AY52" t="str">
            <v>2004</v>
          </cell>
        </row>
        <row r="53">
          <cell r="A53" t="str">
            <v>CATV</v>
          </cell>
          <cell r="F53">
            <v>1420</v>
          </cell>
          <cell r="K53">
            <v>2124</v>
          </cell>
          <cell r="P53">
            <v>2824</v>
          </cell>
          <cell r="U53">
            <v>3524</v>
          </cell>
          <cell r="Z53">
            <v>4024</v>
          </cell>
          <cell r="AE53">
            <v>4524</v>
          </cell>
          <cell r="AJ53">
            <v>4986</v>
          </cell>
          <cell r="AO53">
            <v>5466</v>
          </cell>
          <cell r="AT53">
            <v>7776</v>
          </cell>
          <cell r="AY53">
            <v>3300</v>
          </cell>
          <cell r="BD53">
            <v>3300</v>
          </cell>
          <cell r="BI53">
            <v>3318.8471496195134</v>
          </cell>
          <cell r="BN53">
            <v>3453.8471496195134</v>
          </cell>
          <cell r="BS53">
            <v>3524.489765049188</v>
          </cell>
          <cell r="BT53">
            <v>3555.0935277305994</v>
          </cell>
          <cell r="BU53">
            <v>3600.1833837469544</v>
          </cell>
          <cell r="BV53">
            <v>3645.8451032306511</v>
          </cell>
          <cell r="BW53">
            <v>3692.0859387480045</v>
          </cell>
          <cell r="BX53">
            <v>3736.3909700129807</v>
          </cell>
          <cell r="BY53">
            <v>3781.2276616531367</v>
          </cell>
          <cell r="BZ53">
            <v>3826.6023935929743</v>
          </cell>
          <cell r="CA53">
            <v>3872.5216223160901</v>
          </cell>
          <cell r="CB53">
            <v>3918.9918817838834</v>
          </cell>
          <cell r="CC53">
            <v>3966.01978436529</v>
          </cell>
        </row>
        <row r="54">
          <cell r="A54" t="str">
            <v>DTT/ Other Homes</v>
          </cell>
          <cell r="AY54">
            <v>4964.009</v>
          </cell>
          <cell r="BD54">
            <v>7080.2688920829823</v>
          </cell>
          <cell r="BI54">
            <v>8561</v>
          </cell>
          <cell r="BN54">
            <v>9850.8539516907076</v>
          </cell>
          <cell r="BS54">
            <v>10758.2736006941</v>
          </cell>
          <cell r="BT54">
            <v>11552.303915112034</v>
          </cell>
          <cell r="BU54">
            <v>12304.487341502525</v>
          </cell>
          <cell r="BV54">
            <v>13068.78057388299</v>
          </cell>
          <cell r="BW54">
            <v>13881.942176913501</v>
          </cell>
          <cell r="BX54">
            <v>14048.525483036463</v>
          </cell>
          <cell r="BY54">
            <v>14217.1077888329</v>
          </cell>
          <cell r="BZ54">
            <v>14387.713082298895</v>
          </cell>
          <cell r="CA54">
            <v>14560.365639286481</v>
          </cell>
          <cell r="CB54">
            <v>14735.09002695792</v>
          </cell>
          <cell r="CC54">
            <v>14911.911107281416</v>
          </cell>
        </row>
        <row r="55">
          <cell r="A55" t="str">
            <v>DTH and SMATV Homes</v>
          </cell>
          <cell r="F55">
            <v>2893</v>
          </cell>
          <cell r="K55">
            <v>3399</v>
          </cell>
          <cell r="P55">
            <v>3749</v>
          </cell>
          <cell r="U55">
            <v>4074</v>
          </cell>
          <cell r="Z55">
            <v>4374</v>
          </cell>
          <cell r="AE55">
            <v>4649</v>
          </cell>
          <cell r="AJ55">
            <v>4899</v>
          </cell>
          <cell r="AO55">
            <v>5124</v>
          </cell>
          <cell r="AT55">
            <v>5324</v>
          </cell>
          <cell r="AY55">
            <v>6900</v>
          </cell>
          <cell r="BD55">
            <v>7700</v>
          </cell>
          <cell r="BI55">
            <v>7982</v>
          </cell>
          <cell r="BN55">
            <v>8283.7925157110585</v>
          </cell>
          <cell r="BS55">
            <v>8606.5591384787094</v>
          </cell>
          <cell r="BT55">
            <v>8865.6870089488712</v>
          </cell>
          <cell r="BU55">
            <v>9062.5279313957217</v>
          </cell>
          <cell r="BV55">
            <v>9201.9443943945207</v>
          </cell>
          <cell r="BW55">
            <v>9343.50561769665</v>
          </cell>
          <cell r="BX55">
            <v>9455.6276851090097</v>
          </cell>
          <cell r="BY55">
            <v>9569.0952173303176</v>
          </cell>
          <cell r="BZ55">
            <v>9683.9243599382808</v>
          </cell>
          <cell r="CA55">
            <v>9800.1314522575394</v>
          </cell>
          <cell r="CB55">
            <v>9917.7330296846303</v>
          </cell>
          <cell r="CC55">
            <v>10036.745826040846</v>
          </cell>
        </row>
        <row r="56">
          <cell r="A56" t="str">
            <v>Total UK Multichannel Subscribers</v>
          </cell>
          <cell r="F56">
            <v>4313</v>
          </cell>
          <cell r="K56">
            <v>5523</v>
          </cell>
          <cell r="P56">
            <v>6573</v>
          </cell>
          <cell r="U56">
            <v>7598</v>
          </cell>
          <cell r="Z56">
            <v>8398</v>
          </cell>
          <cell r="AE56">
            <v>9173</v>
          </cell>
          <cell r="AJ56">
            <v>9885</v>
          </cell>
          <cell r="AO56">
            <v>10590</v>
          </cell>
          <cell r="AT56">
            <v>13100</v>
          </cell>
          <cell r="AY56">
            <v>15164.009</v>
          </cell>
          <cell r="BD56">
            <v>18080.268892082982</v>
          </cell>
          <cell r="BI56">
            <v>19861.847149619512</v>
          </cell>
          <cell r="BN56">
            <v>21588.493617021279</v>
          </cell>
          <cell r="BS56">
            <v>22889.322504221996</v>
          </cell>
          <cell r="BT56">
            <v>23973.084451791503</v>
          </cell>
          <cell r="BU56">
            <v>24967.1986566452</v>
          </cell>
          <cell r="BV56">
            <v>25916.570071508162</v>
          </cell>
          <cell r="BW56">
            <v>26917.533733358156</v>
          </cell>
          <cell r="BX56">
            <v>27240.544138158453</v>
          </cell>
          <cell r="BY56">
            <v>27567.430667816356</v>
          </cell>
          <cell r="BZ56">
            <v>27898.239835830151</v>
          </cell>
          <cell r="CA56">
            <v>28233.01871386011</v>
          </cell>
          <cell r="CB56">
            <v>28571.814938426432</v>
          </cell>
          <cell r="CC56">
            <v>28914.676717687551</v>
          </cell>
        </row>
        <row r="57">
          <cell r="A57" t="str">
            <v>Growth in U.K. Multichannel Subs</v>
          </cell>
          <cell r="K57">
            <v>0.28054718293531189</v>
          </cell>
          <cell r="P57">
            <v>0.19011406844106471</v>
          </cell>
          <cell r="U57">
            <v>0.15594097063745616</v>
          </cell>
          <cell r="Z57">
            <v>0.10529086601737303</v>
          </cell>
          <cell r="AE57">
            <v>9.2283877113598534E-2</v>
          </cell>
          <cell r="AJ57">
            <v>7.7619099531232916E-2</v>
          </cell>
          <cell r="AO57">
            <v>7.1320182094081863E-2</v>
          </cell>
          <cell r="AT57">
            <v>0.23701605288007555</v>
          </cell>
          <cell r="AY57">
            <v>0.15755793893129777</v>
          </cell>
          <cell r="BD57">
            <v>0.19231457143575836</v>
          </cell>
          <cell r="BI57">
            <v>9.8537154959938089E-2</v>
          </cell>
          <cell r="BN57">
            <v>8.6932824243129092E-2</v>
          </cell>
          <cell r="BS57">
            <v>6.0255657957305919E-2</v>
          </cell>
          <cell r="BT57">
            <v>4.7347925975948169E-2</v>
          </cell>
          <cell r="BU57">
            <v>4.1467930705904932E-2</v>
          </cell>
          <cell r="BV57">
            <v>3.8024747105950496E-2</v>
          </cell>
          <cell r="BW57">
            <v>3.8622536048874112E-2</v>
          </cell>
          <cell r="BX57">
            <v>1.2000000000000011E-2</v>
          </cell>
          <cell r="BY57">
            <v>1.2000000000000011E-2</v>
          </cell>
          <cell r="BZ57">
            <v>1.2000000000000011E-2</v>
          </cell>
          <cell r="CA57">
            <v>1.2000000000000011E-2</v>
          </cell>
          <cell r="CB57">
            <v>1.2000000000000011E-2</v>
          </cell>
          <cell r="CC57">
            <v>1.2000000000000011E-2</v>
          </cell>
        </row>
        <row r="58">
          <cell r="A58" t="str">
            <v>Market share in subscribers</v>
          </cell>
          <cell r="F58">
            <v>1.1592858798979828</v>
          </cell>
          <cell r="K58">
            <v>0.97772949483976102</v>
          </cell>
          <cell r="P58">
            <v>1.0041077133728891</v>
          </cell>
          <cell r="U58">
            <v>0.8</v>
          </cell>
          <cell r="Z58">
            <v>0.96451536080019051</v>
          </cell>
          <cell r="AE58">
            <v>0.97023874414041211</v>
          </cell>
          <cell r="AJ58">
            <v>1.0217501264542235</v>
          </cell>
          <cell r="AO58">
            <v>1</v>
          </cell>
          <cell r="AT58">
            <v>1</v>
          </cell>
          <cell r="AY58">
            <v>1.0287516975227329</v>
          </cell>
          <cell r="BD58">
            <v>0.98449863252831893</v>
          </cell>
          <cell r="BI58">
            <v>0.9767470192404355</v>
          </cell>
          <cell r="BN58">
            <v>1.0097971811619113</v>
          </cell>
          <cell r="BS58">
            <v>1.0097971811619113</v>
          </cell>
          <cell r="BT58">
            <v>1.0097971811619113</v>
          </cell>
          <cell r="BU58">
            <v>1.0097971811619113</v>
          </cell>
          <cell r="BV58">
            <v>1.0097971811619113</v>
          </cell>
          <cell r="BW58">
            <v>1.0097971811619113</v>
          </cell>
          <cell r="BX58">
            <v>1.0097971811619113</v>
          </cell>
          <cell r="BY58">
            <v>1.0097971811619113</v>
          </cell>
          <cell r="BZ58">
            <v>1.0097971811619113</v>
          </cell>
          <cell r="CA58">
            <v>1.0097971811619113</v>
          </cell>
          <cell r="CB58">
            <v>1.0097971811619113</v>
          </cell>
          <cell r="CC58">
            <v>1.0097971811619113</v>
          </cell>
        </row>
        <row r="62">
          <cell r="A62" t="str">
            <v>Revenue Breakdown</v>
          </cell>
        </row>
        <row r="63">
          <cell r="A63" t="str">
            <v>Jewelry</v>
          </cell>
          <cell r="B63">
            <v>0.35699999999999998</v>
          </cell>
          <cell r="C63">
            <v>0.37</v>
          </cell>
          <cell r="D63">
            <v>0.38200000000000001</v>
          </cell>
          <cell r="E63">
            <v>0.30299999999999999</v>
          </cell>
          <cell r="F63">
            <v>0.34566722408026745</v>
          </cell>
          <cell r="G63">
            <v>0.38600000000000001</v>
          </cell>
          <cell r="H63">
            <v>0.37</v>
          </cell>
          <cell r="I63">
            <v>0.38900000000000001</v>
          </cell>
          <cell r="J63">
            <v>0.31</v>
          </cell>
          <cell r="K63">
            <v>0.35632586558044804</v>
          </cell>
          <cell r="L63">
            <v>0.35499999999999998</v>
          </cell>
          <cell r="M63">
            <v>0.36499999999999999</v>
          </cell>
          <cell r="N63">
            <v>0.36499999999999999</v>
          </cell>
          <cell r="O63">
            <v>0.27</v>
          </cell>
          <cell r="P63">
            <v>0.33039156626506022</v>
          </cell>
          <cell r="Q63">
            <v>0.35</v>
          </cell>
          <cell r="R63">
            <v>0.35</v>
          </cell>
          <cell r="S63">
            <v>0.30418998311584416</v>
          </cell>
          <cell r="T63">
            <v>0.21619058907194499</v>
          </cell>
          <cell r="U63">
            <v>0.33039156626506022</v>
          </cell>
          <cell r="V63">
            <v>0.33</v>
          </cell>
          <cell r="W63">
            <v>0.33</v>
          </cell>
          <cell r="X63">
            <v>0.33</v>
          </cell>
          <cell r="Y63">
            <v>0.33</v>
          </cell>
          <cell r="Z63">
            <v>0.33</v>
          </cell>
          <cell r="AA63">
            <v>0.31</v>
          </cell>
          <cell r="AB63">
            <v>0.31</v>
          </cell>
          <cell r="AC63">
            <v>0.31</v>
          </cell>
          <cell r="AD63">
            <v>0.31</v>
          </cell>
          <cell r="AE63">
            <v>0.31</v>
          </cell>
          <cell r="AF63">
            <v>0.31</v>
          </cell>
          <cell r="AG63">
            <v>0.31</v>
          </cell>
          <cell r="AH63">
            <v>0.31</v>
          </cell>
          <cell r="AI63">
            <v>0.31</v>
          </cell>
          <cell r="AJ63">
            <v>0.31</v>
          </cell>
          <cell r="AK63">
            <v>0.31</v>
          </cell>
          <cell r="AL63">
            <v>0.31</v>
          </cell>
          <cell r="AM63">
            <v>0.31</v>
          </cell>
          <cell r="AN63">
            <v>0.31</v>
          </cell>
          <cell r="AO63">
            <v>0.31</v>
          </cell>
          <cell r="AP63">
            <v>0.31</v>
          </cell>
          <cell r="AQ63">
            <v>0.31</v>
          </cell>
          <cell r="AR63">
            <v>0.31</v>
          </cell>
          <cell r="AS63">
            <v>0.31</v>
          </cell>
          <cell r="AT63">
            <v>0.31</v>
          </cell>
          <cell r="AU63">
            <v>0.31</v>
          </cell>
          <cell r="AV63">
            <v>0.31</v>
          </cell>
          <cell r="AW63">
            <v>0.31</v>
          </cell>
          <cell r="AX63">
            <v>0.31</v>
          </cell>
          <cell r="AY63">
            <v>0.31</v>
          </cell>
          <cell r="AZ63">
            <v>0.31</v>
          </cell>
          <cell r="BA63">
            <v>0.31</v>
          </cell>
          <cell r="BB63">
            <v>0.31</v>
          </cell>
          <cell r="BC63">
            <v>0.31</v>
          </cell>
          <cell r="BD63">
            <v>0.31</v>
          </cell>
          <cell r="BE63">
            <v>0.31</v>
          </cell>
          <cell r="BF63">
            <v>0.31</v>
          </cell>
          <cell r="BG63">
            <v>0.31</v>
          </cell>
          <cell r="BH63">
            <v>0.31</v>
          </cell>
          <cell r="BI63">
            <v>0.31</v>
          </cell>
          <cell r="BJ63">
            <v>0.31</v>
          </cell>
          <cell r="BK63">
            <v>0.31</v>
          </cell>
          <cell r="BL63">
            <v>0.31</v>
          </cell>
          <cell r="BM63">
            <v>0.31</v>
          </cell>
          <cell r="BN63">
            <v>0.31</v>
          </cell>
          <cell r="BO63">
            <v>0.31</v>
          </cell>
          <cell r="BP63">
            <v>0.31</v>
          </cell>
          <cell r="BQ63">
            <v>0.31</v>
          </cell>
          <cell r="BR63">
            <v>0.31</v>
          </cell>
          <cell r="BS63">
            <v>0.31</v>
          </cell>
          <cell r="BT63">
            <v>0.31</v>
          </cell>
          <cell r="BU63">
            <v>0.31</v>
          </cell>
          <cell r="BV63">
            <v>0.31</v>
          </cell>
          <cell r="BW63">
            <v>0.31</v>
          </cell>
          <cell r="BX63">
            <v>0.31</v>
          </cell>
          <cell r="BY63">
            <v>0.31</v>
          </cell>
          <cell r="BZ63">
            <v>0.31</v>
          </cell>
          <cell r="CA63">
            <v>0.31</v>
          </cell>
          <cell r="CB63">
            <v>0.31</v>
          </cell>
          <cell r="CC63">
            <v>0.31</v>
          </cell>
        </row>
        <row r="64">
          <cell r="A64" t="str">
            <v>Apparel &amp; Accessories</v>
          </cell>
          <cell r="B64">
            <v>0.16600000000000001</v>
          </cell>
          <cell r="C64">
            <v>0.21299999999999999</v>
          </cell>
          <cell r="D64">
            <v>0.151</v>
          </cell>
          <cell r="E64">
            <v>0.161</v>
          </cell>
          <cell r="F64">
            <v>0.17020735785953175</v>
          </cell>
          <cell r="G64">
            <v>0.15</v>
          </cell>
          <cell r="H64">
            <v>0.18</v>
          </cell>
          <cell r="I64">
            <v>0.157</v>
          </cell>
          <cell r="J64">
            <v>0.191</v>
          </cell>
          <cell r="K64">
            <v>0.17229124236252547</v>
          </cell>
          <cell r="L64">
            <v>0.16899999999999998</v>
          </cell>
          <cell r="M64">
            <v>0.215</v>
          </cell>
          <cell r="N64">
            <v>0.215</v>
          </cell>
          <cell r="O64">
            <v>0.183</v>
          </cell>
          <cell r="P64">
            <v>0.19486746987951806</v>
          </cell>
          <cell r="Q64">
            <v>0.19</v>
          </cell>
          <cell r="R64">
            <v>0.19</v>
          </cell>
          <cell r="S64">
            <v>0.17918040101344246</v>
          </cell>
          <cell r="T64">
            <v>0.14042379466108276</v>
          </cell>
          <cell r="U64">
            <v>0.19486746987951806</v>
          </cell>
          <cell r="V64">
            <v>0.21</v>
          </cell>
          <cell r="W64">
            <v>0.21</v>
          </cell>
          <cell r="X64">
            <v>0.21</v>
          </cell>
          <cell r="Y64">
            <v>0.21</v>
          </cell>
          <cell r="Z64">
            <v>0.21</v>
          </cell>
          <cell r="AA64">
            <v>0.22</v>
          </cell>
          <cell r="AB64">
            <v>0.22</v>
          </cell>
          <cell r="AC64">
            <v>0.22</v>
          </cell>
          <cell r="AD64">
            <v>0.22</v>
          </cell>
          <cell r="AE64">
            <v>0.21999999999999995</v>
          </cell>
          <cell r="AF64">
            <v>0.21999999999999995</v>
          </cell>
          <cell r="AG64">
            <v>0.21999999999999995</v>
          </cell>
          <cell r="AH64">
            <v>0.21999999999999995</v>
          </cell>
          <cell r="AI64">
            <v>0.21999999999999995</v>
          </cell>
          <cell r="AJ64">
            <v>0.21999999999999995</v>
          </cell>
          <cell r="AK64">
            <v>0.21999999999999995</v>
          </cell>
          <cell r="AL64">
            <v>0.21999999999999995</v>
          </cell>
          <cell r="AM64">
            <v>0.21999999999999995</v>
          </cell>
          <cell r="AN64">
            <v>0.21999999999999995</v>
          </cell>
          <cell r="AO64">
            <v>0.21999999999999995</v>
          </cell>
          <cell r="AP64">
            <v>0.21999999999999995</v>
          </cell>
          <cell r="AQ64">
            <v>0.21999999999999995</v>
          </cell>
          <cell r="AR64">
            <v>0.21999999999999995</v>
          </cell>
          <cell r="AS64">
            <v>0.21999999999999995</v>
          </cell>
          <cell r="AT64">
            <v>0.21999999999999995</v>
          </cell>
          <cell r="AU64">
            <v>0.21999999999999995</v>
          </cell>
          <cell r="AV64">
            <v>0.21999999999999995</v>
          </cell>
          <cell r="AW64">
            <v>0.21999999999999995</v>
          </cell>
          <cell r="AX64">
            <v>0.21999999999999995</v>
          </cell>
          <cell r="AY64">
            <v>0.21999999999999995</v>
          </cell>
          <cell r="AZ64">
            <v>0.21999999999999995</v>
          </cell>
          <cell r="BA64">
            <v>0.21999999999999995</v>
          </cell>
          <cell r="BB64">
            <v>0.21999999999999995</v>
          </cell>
          <cell r="BC64">
            <v>0.21999999999999995</v>
          </cell>
          <cell r="BD64">
            <v>0.21999999999999995</v>
          </cell>
          <cell r="BE64">
            <v>0.21999999999999995</v>
          </cell>
          <cell r="BF64">
            <v>0.21999999999999995</v>
          </cell>
          <cell r="BG64">
            <v>0.21999999999999995</v>
          </cell>
          <cell r="BH64">
            <v>0.21999999999999995</v>
          </cell>
          <cell r="BI64">
            <v>0.21999999999999995</v>
          </cell>
          <cell r="BJ64">
            <v>0.21999999999999995</v>
          </cell>
          <cell r="BK64">
            <v>0.21999999999999995</v>
          </cell>
          <cell r="BL64">
            <v>0.21999999999999995</v>
          </cell>
          <cell r="BM64">
            <v>0.21999999999999995</v>
          </cell>
          <cell r="BN64">
            <v>0.21999999999999995</v>
          </cell>
          <cell r="BO64">
            <v>0.21999999999999995</v>
          </cell>
          <cell r="BP64">
            <v>0.21999999999999995</v>
          </cell>
          <cell r="BQ64">
            <v>0.21999999999999995</v>
          </cell>
          <cell r="BR64">
            <v>0.21999999999999995</v>
          </cell>
          <cell r="BS64">
            <v>0.21999999999999995</v>
          </cell>
          <cell r="BT64">
            <v>0.21999999999999995</v>
          </cell>
          <cell r="BU64">
            <v>0.21999999999999995</v>
          </cell>
          <cell r="BV64">
            <v>0.21999999999999995</v>
          </cell>
          <cell r="BW64">
            <v>0.21999999999999995</v>
          </cell>
          <cell r="BX64">
            <v>0.21999999999999995</v>
          </cell>
          <cell r="BY64">
            <v>0.21999999999999995</v>
          </cell>
          <cell r="BZ64">
            <v>0.21999999999999995</v>
          </cell>
          <cell r="CA64">
            <v>0.21999999999999995</v>
          </cell>
          <cell r="CB64">
            <v>0.21999999999999995</v>
          </cell>
          <cell r="CC64">
            <v>0.21999999999999995</v>
          </cell>
        </row>
        <row r="65">
          <cell r="A65" t="str">
            <v>Housewares/Home</v>
          </cell>
          <cell r="B65">
            <v>0.29299999999999998</v>
          </cell>
          <cell r="C65">
            <v>0.245</v>
          </cell>
          <cell r="D65">
            <v>0.28000000000000003</v>
          </cell>
          <cell r="E65">
            <v>0.29299999999999998</v>
          </cell>
          <cell r="F65">
            <v>0.2793127090301003</v>
          </cell>
          <cell r="G65">
            <v>0.26600000000000001</v>
          </cell>
          <cell r="H65">
            <v>0.22699999999999992</v>
          </cell>
          <cell r="I65">
            <v>0.2579999999999999</v>
          </cell>
          <cell r="J65">
            <v>0.30299999999999994</v>
          </cell>
          <cell r="K65">
            <v>0.26945213849287164</v>
          </cell>
          <cell r="L65">
            <v>0.27599999999999991</v>
          </cell>
          <cell r="M65">
            <v>0.23399999999999993</v>
          </cell>
          <cell r="N65">
            <v>0.23399999999999993</v>
          </cell>
          <cell r="O65">
            <v>0.27099999999999996</v>
          </cell>
          <cell r="P65">
            <v>0.25505421686746982</v>
          </cell>
          <cell r="Q65">
            <v>0.24794044323337161</v>
          </cell>
          <cell r="R65">
            <v>0.24794044323337161</v>
          </cell>
          <cell r="S65">
            <v>0.19501494807974659</v>
          </cell>
          <cell r="T65">
            <v>0.19890868704428022</v>
          </cell>
          <cell r="U65">
            <v>0.25505421686746982</v>
          </cell>
          <cell r="V65">
            <v>0.22</v>
          </cell>
          <cell r="W65">
            <v>0.22</v>
          </cell>
          <cell r="X65">
            <v>0.22</v>
          </cell>
          <cell r="Y65">
            <v>0.22</v>
          </cell>
          <cell r="Z65">
            <v>0.22</v>
          </cell>
          <cell r="AA65">
            <v>0.22</v>
          </cell>
          <cell r="AB65">
            <v>0.22</v>
          </cell>
          <cell r="AC65">
            <v>0.22</v>
          </cell>
          <cell r="AD65">
            <v>0.22</v>
          </cell>
          <cell r="AE65">
            <v>0.21999999999999995</v>
          </cell>
          <cell r="AF65">
            <v>0.21999999999999995</v>
          </cell>
          <cell r="AG65">
            <v>0.21999999999999995</v>
          </cell>
          <cell r="AH65">
            <v>0.21999999999999995</v>
          </cell>
          <cell r="AI65">
            <v>0.21999999999999995</v>
          </cell>
          <cell r="AJ65">
            <v>0.21999999999999995</v>
          </cell>
          <cell r="AK65">
            <v>0.21999999999999995</v>
          </cell>
          <cell r="AL65">
            <v>0.21999999999999995</v>
          </cell>
          <cell r="AM65">
            <v>0.21999999999999995</v>
          </cell>
          <cell r="AN65">
            <v>0.21999999999999995</v>
          </cell>
          <cell r="AO65">
            <v>0.21999999999999995</v>
          </cell>
          <cell r="AP65">
            <v>0.21999999999999995</v>
          </cell>
          <cell r="AQ65">
            <v>0.21999999999999995</v>
          </cell>
          <cell r="AR65">
            <v>0.21999999999999995</v>
          </cell>
          <cell r="AS65">
            <v>0.21999999999999995</v>
          </cell>
          <cell r="AT65">
            <v>0.21999999999999995</v>
          </cell>
          <cell r="AU65">
            <v>0.21999999999999995</v>
          </cell>
          <cell r="AV65">
            <v>0.21999999999999995</v>
          </cell>
          <cell r="AW65">
            <v>0.21999999999999995</v>
          </cell>
          <cell r="AX65">
            <v>0.21999999999999995</v>
          </cell>
          <cell r="AY65">
            <v>0.21999999999999995</v>
          </cell>
          <cell r="AZ65">
            <v>0.21999999999999995</v>
          </cell>
          <cell r="BA65">
            <v>0.21999999999999995</v>
          </cell>
          <cell r="BB65">
            <v>0.21999999999999995</v>
          </cell>
          <cell r="BC65">
            <v>0.21999999999999995</v>
          </cell>
          <cell r="BD65">
            <v>0.21999999999999995</v>
          </cell>
          <cell r="BE65">
            <v>0.21999999999999995</v>
          </cell>
          <cell r="BF65">
            <v>0.21999999999999995</v>
          </cell>
          <cell r="BG65">
            <v>0.21999999999999995</v>
          </cell>
          <cell r="BH65">
            <v>0.21999999999999995</v>
          </cell>
          <cell r="BI65">
            <v>0.21999999999999995</v>
          </cell>
          <cell r="BJ65">
            <v>0.21999999999999995</v>
          </cell>
          <cell r="BK65">
            <v>0.21999999999999995</v>
          </cell>
          <cell r="BL65">
            <v>0.21999999999999995</v>
          </cell>
          <cell r="BM65">
            <v>0.21999999999999995</v>
          </cell>
          <cell r="BN65">
            <v>0.21999999999999995</v>
          </cell>
          <cell r="BO65">
            <v>0.21999999999999995</v>
          </cell>
          <cell r="BP65">
            <v>0.21999999999999995</v>
          </cell>
          <cell r="BQ65">
            <v>0.21999999999999995</v>
          </cell>
          <cell r="BR65">
            <v>0.21999999999999995</v>
          </cell>
          <cell r="BS65">
            <v>0.21999999999999995</v>
          </cell>
          <cell r="BT65">
            <v>0.21999999999999995</v>
          </cell>
          <cell r="BU65">
            <v>0.21999999999999995</v>
          </cell>
          <cell r="BV65">
            <v>0.21999999999999995</v>
          </cell>
          <cell r="BW65">
            <v>0.21999999999999995</v>
          </cell>
          <cell r="BX65">
            <v>0.21999999999999995</v>
          </cell>
          <cell r="BY65">
            <v>0.21999999999999995</v>
          </cell>
          <cell r="BZ65">
            <v>0.21999999999999995</v>
          </cell>
          <cell r="CA65">
            <v>0.21999999999999995</v>
          </cell>
          <cell r="CB65">
            <v>0.21999999999999995</v>
          </cell>
          <cell r="CC65">
            <v>0.21999999999999995</v>
          </cell>
        </row>
        <row r="66">
          <cell r="A66" t="str">
            <v>Electronics</v>
          </cell>
          <cell r="B66">
            <v>0.113</v>
          </cell>
          <cell r="C66">
            <v>9.0999999999999998E-2</v>
          </cell>
          <cell r="D66">
            <v>8.7999999999999995E-2</v>
          </cell>
          <cell r="E66">
            <v>0.14099999999999999</v>
          </cell>
          <cell r="F66">
            <v>0.1124498327759197</v>
          </cell>
          <cell r="G66">
            <v>8.3000000000000004E-2</v>
          </cell>
          <cell r="H66">
            <v>0.10300000000000001</v>
          </cell>
          <cell r="I66">
            <v>0.09</v>
          </cell>
          <cell r="J66">
            <v>0.09</v>
          </cell>
          <cell r="K66">
            <v>9.1136456211812628E-2</v>
          </cell>
          <cell r="L66">
            <v>0.09</v>
          </cell>
          <cell r="M66">
            <v>0.11</v>
          </cell>
          <cell r="N66">
            <v>0.11</v>
          </cell>
          <cell r="O66">
            <v>0.15</v>
          </cell>
          <cell r="P66">
            <v>0.11975903614457831</v>
          </cell>
          <cell r="Q66">
            <v>0.11414201440725871</v>
          </cell>
          <cell r="R66">
            <v>0.11414201440725871</v>
          </cell>
          <cell r="S66">
            <v>9.1673693541761261E-2</v>
          </cell>
          <cell r="T66">
            <v>0.11510147103367439</v>
          </cell>
          <cell r="U66">
            <v>0.11975903614457831</v>
          </cell>
          <cell r="V66">
            <v>0.14000000000000001</v>
          </cell>
          <cell r="W66">
            <v>0.14000000000000001</v>
          </cell>
          <cell r="X66">
            <v>0.14000000000000001</v>
          </cell>
          <cell r="Y66">
            <v>0.14000000000000001</v>
          </cell>
          <cell r="Z66">
            <v>0.14000000000000001</v>
          </cell>
          <cell r="AA66">
            <v>0.15</v>
          </cell>
          <cell r="AB66">
            <v>0.15</v>
          </cell>
          <cell r="AC66">
            <v>0.15</v>
          </cell>
          <cell r="AD66">
            <v>0.15</v>
          </cell>
          <cell r="AE66">
            <v>0.15000000000000002</v>
          </cell>
          <cell r="AF66">
            <v>0.15000000000000002</v>
          </cell>
          <cell r="AG66">
            <v>0.15000000000000002</v>
          </cell>
          <cell r="AH66">
            <v>0.15000000000000002</v>
          </cell>
          <cell r="AI66">
            <v>0.15000000000000002</v>
          </cell>
          <cell r="AJ66">
            <v>0.15000000000000002</v>
          </cell>
          <cell r="AK66">
            <v>0.15000000000000002</v>
          </cell>
          <cell r="AL66">
            <v>0.15000000000000002</v>
          </cell>
          <cell r="AM66">
            <v>0.15000000000000002</v>
          </cell>
          <cell r="AN66">
            <v>0.15000000000000002</v>
          </cell>
          <cell r="AO66">
            <v>0.15000000000000002</v>
          </cell>
          <cell r="AP66">
            <v>0.15000000000000002</v>
          </cell>
          <cell r="AQ66">
            <v>0.15000000000000002</v>
          </cell>
          <cell r="AR66">
            <v>0.15000000000000002</v>
          </cell>
          <cell r="AS66">
            <v>0.15000000000000002</v>
          </cell>
          <cell r="AT66">
            <v>0.15000000000000002</v>
          </cell>
          <cell r="AU66">
            <v>0.15000000000000002</v>
          </cell>
          <cell r="AV66">
            <v>0.15000000000000002</v>
          </cell>
          <cell r="AW66">
            <v>0.15000000000000002</v>
          </cell>
          <cell r="AX66">
            <v>0.15000000000000002</v>
          </cell>
          <cell r="AY66">
            <v>0.15000000000000002</v>
          </cell>
          <cell r="AZ66">
            <v>0.15000000000000002</v>
          </cell>
          <cell r="BA66">
            <v>0.15000000000000002</v>
          </cell>
          <cell r="BB66">
            <v>0.15000000000000002</v>
          </cell>
          <cell r="BC66">
            <v>0.15000000000000002</v>
          </cell>
          <cell r="BD66">
            <v>0.15000000000000002</v>
          </cell>
          <cell r="BE66">
            <v>0.15000000000000002</v>
          </cell>
          <cell r="BF66">
            <v>0.15000000000000002</v>
          </cell>
          <cell r="BG66">
            <v>0.15000000000000002</v>
          </cell>
          <cell r="BH66">
            <v>0.15000000000000002</v>
          </cell>
          <cell r="BI66">
            <v>0.15000000000000002</v>
          </cell>
          <cell r="BJ66">
            <v>0.15000000000000002</v>
          </cell>
          <cell r="BK66">
            <v>0.15000000000000002</v>
          </cell>
          <cell r="BL66">
            <v>0.15000000000000002</v>
          </cell>
          <cell r="BM66">
            <v>0.15000000000000002</v>
          </cell>
          <cell r="BN66">
            <v>0.15000000000000002</v>
          </cell>
          <cell r="BO66">
            <v>0.15000000000000002</v>
          </cell>
          <cell r="BP66">
            <v>0.15000000000000002</v>
          </cell>
          <cell r="BQ66">
            <v>0.15000000000000002</v>
          </cell>
          <cell r="BR66">
            <v>0.15000000000000002</v>
          </cell>
          <cell r="BS66">
            <v>0.15000000000000002</v>
          </cell>
          <cell r="BT66">
            <v>0.15000000000000002</v>
          </cell>
          <cell r="BU66">
            <v>0.15000000000000002</v>
          </cell>
          <cell r="BV66">
            <v>0.15000000000000002</v>
          </cell>
          <cell r="BW66">
            <v>0.15000000000000002</v>
          </cell>
          <cell r="BX66">
            <v>0.15000000000000002</v>
          </cell>
          <cell r="BY66">
            <v>0.15000000000000002</v>
          </cell>
          <cell r="BZ66">
            <v>0.15000000000000002</v>
          </cell>
          <cell r="CA66">
            <v>0.15000000000000002</v>
          </cell>
          <cell r="CB66">
            <v>0.15000000000000002</v>
          </cell>
          <cell r="CC66">
            <v>0.15000000000000002</v>
          </cell>
        </row>
        <row r="67">
          <cell r="A67" t="str">
            <v>Collectibles</v>
          </cell>
          <cell r="B67">
            <v>5.2999999999999999E-2</v>
          </cell>
          <cell r="C67">
            <v>6.4000000000000001E-2</v>
          </cell>
          <cell r="D67">
            <v>8.4000000000000005E-2</v>
          </cell>
          <cell r="E67">
            <v>6.8000000000000005E-2</v>
          </cell>
          <cell r="F67">
            <v>6.9237458193979917E-2</v>
          </cell>
          <cell r="G67">
            <v>8.8999999999999996E-2</v>
          </cell>
          <cell r="H67">
            <v>9.4E-2</v>
          </cell>
          <cell r="I67">
            <v>0.08</v>
          </cell>
          <cell r="J67">
            <v>0.08</v>
          </cell>
          <cell r="K67">
            <v>8.479429735234216E-2</v>
          </cell>
          <cell r="L67">
            <v>8.4000000000000005E-2</v>
          </cell>
          <cell r="M67">
            <v>0.05</v>
          </cell>
          <cell r="N67">
            <v>0.05</v>
          </cell>
          <cell r="O67">
            <v>0.1</v>
          </cell>
          <cell r="P67">
            <v>7.392771084337349E-2</v>
          </cell>
          <cell r="Q67">
            <v>6.8485208644355242E-2</v>
          </cell>
          <cell r="R67">
            <v>6.8485208644355242E-2</v>
          </cell>
          <cell r="S67">
            <v>4.1669860700800566E-2</v>
          </cell>
          <cell r="T67">
            <v>7.673431402244961E-2</v>
          </cell>
          <cell r="U67">
            <v>7.392771084337349E-2</v>
          </cell>
          <cell r="V67">
            <v>7.0000000000000007E-2</v>
          </cell>
          <cell r="W67">
            <v>7.0000000000000007E-2</v>
          </cell>
          <cell r="X67">
            <v>7.0000000000000007E-2</v>
          </cell>
          <cell r="Y67">
            <v>7.0000000000000007E-2</v>
          </cell>
          <cell r="Z67">
            <v>7.0000000000000007E-2</v>
          </cell>
          <cell r="AA67">
            <v>7.0000000000000007E-2</v>
          </cell>
          <cell r="AB67">
            <v>7.0000000000000007E-2</v>
          </cell>
          <cell r="AC67">
            <v>7.0000000000000007E-2</v>
          </cell>
          <cell r="AD67">
            <v>7.0000000000000007E-2</v>
          </cell>
          <cell r="AE67">
            <v>7.0000000000000007E-2</v>
          </cell>
          <cell r="AF67">
            <v>7.0000000000000007E-2</v>
          </cell>
          <cell r="AG67">
            <v>7.0000000000000007E-2</v>
          </cell>
          <cell r="AH67">
            <v>7.0000000000000007E-2</v>
          </cell>
          <cell r="AI67">
            <v>7.0000000000000007E-2</v>
          </cell>
          <cell r="AJ67">
            <v>7.0000000000000007E-2</v>
          </cell>
          <cell r="AK67">
            <v>7.0000000000000007E-2</v>
          </cell>
          <cell r="AL67">
            <v>7.0000000000000007E-2</v>
          </cell>
          <cell r="AM67">
            <v>7.0000000000000007E-2</v>
          </cell>
          <cell r="AN67">
            <v>7.0000000000000007E-2</v>
          </cell>
          <cell r="AO67">
            <v>7.0000000000000007E-2</v>
          </cell>
          <cell r="AP67">
            <v>7.0000000000000007E-2</v>
          </cell>
          <cell r="AQ67">
            <v>7.0000000000000007E-2</v>
          </cell>
          <cell r="AR67">
            <v>7.0000000000000007E-2</v>
          </cell>
          <cell r="AS67">
            <v>7.0000000000000007E-2</v>
          </cell>
          <cell r="AT67">
            <v>7.0000000000000007E-2</v>
          </cell>
          <cell r="AU67">
            <v>7.0000000000000007E-2</v>
          </cell>
          <cell r="AV67">
            <v>7.0000000000000007E-2</v>
          </cell>
          <cell r="AW67">
            <v>7.0000000000000007E-2</v>
          </cell>
          <cell r="AX67">
            <v>7.0000000000000007E-2</v>
          </cell>
          <cell r="AY67">
            <v>7.0000000000000007E-2</v>
          </cell>
          <cell r="AZ67">
            <v>7.0000000000000007E-2</v>
          </cell>
          <cell r="BA67">
            <v>7.0000000000000007E-2</v>
          </cell>
          <cell r="BB67">
            <v>7.0000000000000007E-2</v>
          </cell>
          <cell r="BC67">
            <v>7.0000000000000007E-2</v>
          </cell>
          <cell r="BD67">
            <v>7.0000000000000007E-2</v>
          </cell>
          <cell r="BE67">
            <v>7.0000000000000007E-2</v>
          </cell>
          <cell r="BF67">
            <v>7.0000000000000007E-2</v>
          </cell>
          <cell r="BG67">
            <v>7.0000000000000007E-2</v>
          </cell>
          <cell r="BH67">
            <v>7.0000000000000007E-2</v>
          </cell>
          <cell r="BI67">
            <v>7.0000000000000007E-2</v>
          </cell>
          <cell r="BJ67">
            <v>7.0000000000000007E-2</v>
          </cell>
          <cell r="BK67">
            <v>7.0000000000000007E-2</v>
          </cell>
          <cell r="BL67">
            <v>7.0000000000000007E-2</v>
          </cell>
          <cell r="BM67">
            <v>7.0000000000000007E-2</v>
          </cell>
          <cell r="BN67">
            <v>7.0000000000000007E-2</v>
          </cell>
          <cell r="BO67">
            <v>7.0000000000000007E-2</v>
          </cell>
          <cell r="BP67">
            <v>7.0000000000000007E-2</v>
          </cell>
          <cell r="BQ67">
            <v>7.0000000000000007E-2</v>
          </cell>
          <cell r="BR67">
            <v>7.0000000000000007E-2</v>
          </cell>
          <cell r="BS67">
            <v>7.0000000000000007E-2</v>
          </cell>
          <cell r="BT67">
            <v>7.0000000000000007E-2</v>
          </cell>
          <cell r="BU67">
            <v>7.0000000000000007E-2</v>
          </cell>
          <cell r="BV67">
            <v>7.0000000000000007E-2</v>
          </cell>
          <cell r="BW67">
            <v>7.0000000000000007E-2</v>
          </cell>
          <cell r="BX67">
            <v>7.0000000000000007E-2</v>
          </cell>
          <cell r="BY67">
            <v>7.0000000000000007E-2</v>
          </cell>
          <cell r="BZ67">
            <v>7.0000000000000007E-2</v>
          </cell>
          <cell r="CA67">
            <v>7.0000000000000007E-2</v>
          </cell>
          <cell r="CB67">
            <v>7.0000000000000007E-2</v>
          </cell>
          <cell r="CC67">
            <v>7.0000000000000007E-2</v>
          </cell>
        </row>
        <row r="68">
          <cell r="A68" t="str">
            <v>Other</v>
          </cell>
          <cell r="B68">
            <v>1.7999999999999919E-2</v>
          </cell>
          <cell r="C68">
            <v>1.7000000000000071E-2</v>
          </cell>
          <cell r="D68">
            <v>1.5000000000000003E-2</v>
          </cell>
          <cell r="E68">
            <v>3.4000000000000197E-2</v>
          </cell>
          <cell r="F68">
            <v>2.3125418060200745E-2</v>
          </cell>
          <cell r="G68">
            <v>2.6000000000000072E-2</v>
          </cell>
          <cell r="H68">
            <v>2.6000000000000072E-2</v>
          </cell>
          <cell r="I68">
            <v>2.6000000000000072E-2</v>
          </cell>
          <cell r="J68">
            <v>2.6000000000000072E-2</v>
          </cell>
          <cell r="K68">
            <v>2.6000000000000075E-2</v>
          </cell>
          <cell r="L68">
            <v>2.6000000000000075E-2</v>
          </cell>
          <cell r="M68">
            <v>2.6000000000000075E-2</v>
          </cell>
          <cell r="N68">
            <v>2.6000000000000075E-2</v>
          </cell>
          <cell r="O68">
            <v>2.6000000000000075E-2</v>
          </cell>
          <cell r="P68">
            <v>2.6000000000000099E-2</v>
          </cell>
          <cell r="Q68">
            <v>2.9432333715014417E-2</v>
          </cell>
          <cell r="R68">
            <v>2.9432333715014417E-2</v>
          </cell>
          <cell r="S68">
            <v>0.18827111354840501</v>
          </cell>
          <cell r="T68">
            <v>0.25264114416656802</v>
          </cell>
          <cell r="U68">
            <v>2.6000000000000099E-2</v>
          </cell>
          <cell r="V68">
            <v>0.03</v>
          </cell>
          <cell r="W68">
            <v>0.03</v>
          </cell>
          <cell r="X68">
            <v>0.03</v>
          </cell>
          <cell r="Y68">
            <v>0.03</v>
          </cell>
          <cell r="Z68">
            <v>3.0000000000000009E-2</v>
          </cell>
          <cell r="AA68">
            <v>0.03</v>
          </cell>
          <cell r="AB68">
            <v>0.03</v>
          </cell>
          <cell r="AC68">
            <v>0.03</v>
          </cell>
          <cell r="AD68">
            <v>0.03</v>
          </cell>
          <cell r="AE68">
            <v>3.0000000000000047E-2</v>
          </cell>
          <cell r="AF68">
            <v>3.0000000000000047E-2</v>
          </cell>
          <cell r="AG68">
            <v>3.0000000000000047E-2</v>
          </cell>
          <cell r="AH68">
            <v>3.0000000000000047E-2</v>
          </cell>
          <cell r="AI68">
            <v>3.0000000000000047E-2</v>
          </cell>
          <cell r="AJ68">
            <v>3.0000000000000047E-2</v>
          </cell>
          <cell r="AK68">
            <v>3.0000000000000047E-2</v>
          </cell>
          <cell r="AL68">
            <v>3.0000000000000047E-2</v>
          </cell>
          <cell r="AM68">
            <v>3.0000000000000047E-2</v>
          </cell>
          <cell r="AN68">
            <v>3.0000000000000047E-2</v>
          </cell>
          <cell r="AO68">
            <v>3.0000000000000047E-2</v>
          </cell>
          <cell r="AP68">
            <v>3.0000000000000047E-2</v>
          </cell>
          <cell r="AQ68">
            <v>3.0000000000000047E-2</v>
          </cell>
          <cell r="AR68">
            <v>3.0000000000000047E-2</v>
          </cell>
          <cell r="AS68">
            <v>3.0000000000000047E-2</v>
          </cell>
          <cell r="AT68">
            <v>3.0000000000000047E-2</v>
          </cell>
          <cell r="AU68">
            <v>3.0000000000000047E-2</v>
          </cell>
          <cell r="AV68">
            <v>3.0000000000000047E-2</v>
          </cell>
          <cell r="AW68">
            <v>3.0000000000000047E-2</v>
          </cell>
          <cell r="AX68">
            <v>3.0000000000000047E-2</v>
          </cell>
          <cell r="AY68">
            <v>3.0000000000000047E-2</v>
          </cell>
          <cell r="AZ68">
            <v>3.0000000000000047E-2</v>
          </cell>
          <cell r="BA68">
            <v>3.0000000000000047E-2</v>
          </cell>
          <cell r="BB68">
            <v>3.0000000000000047E-2</v>
          </cell>
          <cell r="BC68">
            <v>3.0000000000000047E-2</v>
          </cell>
          <cell r="BD68">
            <v>3.0000000000000047E-2</v>
          </cell>
          <cell r="BE68">
            <v>3.0000000000000047E-2</v>
          </cell>
          <cell r="BF68">
            <v>3.0000000000000047E-2</v>
          </cell>
          <cell r="BG68">
            <v>3.0000000000000047E-2</v>
          </cell>
          <cell r="BH68">
            <v>3.0000000000000047E-2</v>
          </cell>
          <cell r="BI68">
            <v>3.0000000000000047E-2</v>
          </cell>
          <cell r="BJ68">
            <v>3.0000000000000047E-2</v>
          </cell>
          <cell r="BK68">
            <v>3.0000000000000047E-2</v>
          </cell>
          <cell r="BL68">
            <v>3.0000000000000047E-2</v>
          </cell>
          <cell r="BM68">
            <v>3.0000000000000047E-2</v>
          </cell>
          <cell r="BN68">
            <v>3.0000000000000047E-2</v>
          </cell>
          <cell r="BO68">
            <v>3.0000000000000047E-2</v>
          </cell>
          <cell r="BP68">
            <v>3.0000000000000047E-2</v>
          </cell>
          <cell r="BQ68">
            <v>3.0000000000000047E-2</v>
          </cell>
          <cell r="BR68">
            <v>3.0000000000000047E-2</v>
          </cell>
          <cell r="BS68">
            <v>3.0000000000000047E-2</v>
          </cell>
          <cell r="BT68">
            <v>3.0000000000000047E-2</v>
          </cell>
          <cell r="BU68">
            <v>3.0000000000000047E-2</v>
          </cell>
          <cell r="BV68">
            <v>3.0000000000000047E-2</v>
          </cell>
          <cell r="BW68">
            <v>3.0000000000000047E-2</v>
          </cell>
          <cell r="BX68">
            <v>3.0000000000000047E-2</v>
          </cell>
          <cell r="BY68">
            <v>3.0000000000000047E-2</v>
          </cell>
          <cell r="BZ68">
            <v>3.0000000000000047E-2</v>
          </cell>
          <cell r="CA68">
            <v>3.0000000000000047E-2</v>
          </cell>
          <cell r="CB68">
            <v>3.0000000000000047E-2</v>
          </cell>
          <cell r="CC68">
            <v>3.0000000000000047E-2</v>
          </cell>
        </row>
        <row r="69">
          <cell r="A69" t="str">
            <v xml:space="preserve">   Total Revenues</v>
          </cell>
          <cell r="B69">
            <v>1</v>
          </cell>
          <cell r="C69">
            <v>1</v>
          </cell>
          <cell r="D69">
            <v>1</v>
          </cell>
          <cell r="E69">
            <v>1.0000000000000002</v>
          </cell>
          <cell r="F69">
            <v>0.99999999999999978</v>
          </cell>
          <cell r="G69">
            <v>1</v>
          </cell>
          <cell r="H69">
            <v>0.99999999999999989</v>
          </cell>
          <cell r="I69">
            <v>0.99999999999999989</v>
          </cell>
          <cell r="J69">
            <v>0.99999999999999989</v>
          </cell>
          <cell r="K69">
            <v>1</v>
          </cell>
          <cell r="L69">
            <v>0.99999999999999989</v>
          </cell>
          <cell r="M69">
            <v>0.99999999999999989</v>
          </cell>
          <cell r="N69">
            <v>0.99999999999999989</v>
          </cell>
          <cell r="O69">
            <v>1</v>
          </cell>
          <cell r="P69">
            <v>0.99999999999999989</v>
          </cell>
          <cell r="Q69">
            <v>1</v>
          </cell>
          <cell r="R69">
            <v>1</v>
          </cell>
          <cell r="S69">
            <v>1</v>
          </cell>
          <cell r="T69">
            <v>1</v>
          </cell>
          <cell r="U69">
            <v>0.99999999999999989</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cell r="AR69">
            <v>1</v>
          </cell>
          <cell r="AS69">
            <v>1</v>
          </cell>
          <cell r="AT69">
            <v>1</v>
          </cell>
          <cell r="AU69">
            <v>1</v>
          </cell>
          <cell r="AV69">
            <v>1</v>
          </cell>
          <cell r="AW69">
            <v>1</v>
          </cell>
          <cell r="AX69">
            <v>1</v>
          </cell>
          <cell r="AY69">
            <v>1</v>
          </cell>
          <cell r="AZ69">
            <v>1</v>
          </cell>
          <cell r="BA69">
            <v>1</v>
          </cell>
          <cell r="BB69">
            <v>1</v>
          </cell>
          <cell r="BC69">
            <v>1</v>
          </cell>
          <cell r="BD69">
            <v>1</v>
          </cell>
          <cell r="BE69">
            <v>1</v>
          </cell>
          <cell r="BF69">
            <v>1</v>
          </cell>
          <cell r="BG69">
            <v>1</v>
          </cell>
          <cell r="BH69">
            <v>1</v>
          </cell>
          <cell r="BI69">
            <v>1</v>
          </cell>
          <cell r="BJ69">
            <v>1</v>
          </cell>
          <cell r="BK69">
            <v>1</v>
          </cell>
          <cell r="BL69">
            <v>1</v>
          </cell>
          <cell r="BM69">
            <v>1</v>
          </cell>
          <cell r="BN69">
            <v>1</v>
          </cell>
          <cell r="BO69">
            <v>1</v>
          </cell>
          <cell r="BP69">
            <v>1</v>
          </cell>
          <cell r="BQ69">
            <v>1</v>
          </cell>
          <cell r="BR69">
            <v>1</v>
          </cell>
          <cell r="BS69">
            <v>1</v>
          </cell>
          <cell r="BT69">
            <v>1</v>
          </cell>
          <cell r="BU69">
            <v>1</v>
          </cell>
          <cell r="BV69">
            <v>1</v>
          </cell>
          <cell r="BW69">
            <v>1</v>
          </cell>
          <cell r="BX69">
            <v>1</v>
          </cell>
          <cell r="BY69">
            <v>1</v>
          </cell>
          <cell r="BZ69">
            <v>1</v>
          </cell>
          <cell r="CA69">
            <v>1</v>
          </cell>
          <cell r="CB69">
            <v>1</v>
          </cell>
          <cell r="CC69">
            <v>1</v>
          </cell>
        </row>
        <row r="71">
          <cell r="A71" t="str">
            <v>Revenue % Change</v>
          </cell>
          <cell r="L71" t="str">
            <v xml:space="preserve"> </v>
          </cell>
        </row>
        <row r="72">
          <cell r="A72" t="str">
            <v>Jewelry</v>
          </cell>
          <cell r="G72">
            <v>1.7288248632786445</v>
          </cell>
          <cell r="H72">
            <v>0.56250000000000022</v>
          </cell>
          <cell r="I72">
            <v>0.42695167906092646</v>
          </cell>
          <cell r="J72">
            <v>0.56369348725265556</v>
          </cell>
          <cell r="K72">
            <v>0.69277583462742331</v>
          </cell>
          <cell r="L72">
            <v>0.43159155342653244</v>
          </cell>
          <cell r="M72">
            <v>0.77567567567567575</v>
          </cell>
          <cell r="N72">
            <v>0.70600607618602473</v>
          </cell>
          <cell r="O72">
            <v>0.41843317972350236</v>
          </cell>
          <cell r="P72">
            <v>0.56739408765632504</v>
          </cell>
          <cell r="Q72">
            <v>0.6770422535211269</v>
          </cell>
          <cell r="R72">
            <v>0.65536815068493137</v>
          </cell>
          <cell r="S72">
            <v>0.32500000000000001</v>
          </cell>
          <cell r="T72">
            <v>0.2</v>
          </cell>
          <cell r="U72">
            <v>0.44427181146868455</v>
          </cell>
          <cell r="V72">
            <v>0.25808348030570261</v>
          </cell>
          <cell r="W72">
            <v>0.1393677343498132</v>
          </cell>
          <cell r="X72">
            <v>0.29987076764021725</v>
          </cell>
          <cell r="Y72">
            <v>0.81367771280052015</v>
          </cell>
        </row>
        <row r="73">
          <cell r="A73" t="str">
            <v>Apparel &amp; Accessories</v>
          </cell>
          <cell r="G73">
            <v>1.2805507745266778</v>
          </cell>
          <cell r="H73">
            <v>0.32042253521126751</v>
          </cell>
          <cell r="I73">
            <v>0.45695364238410607</v>
          </cell>
          <cell r="J73">
            <v>0.81317638124169367</v>
          </cell>
          <cell r="K73">
            <v>0.6622455395739999</v>
          </cell>
          <cell r="L73">
            <v>0.75377358490566015</v>
          </cell>
          <cell r="M73">
            <v>1.1500000000000004</v>
          </cell>
          <cell r="N73">
            <v>1.4898668210770118</v>
          </cell>
          <cell r="O73">
            <v>0.56035901271503352</v>
          </cell>
          <cell r="P73">
            <v>0.9119333293929901</v>
          </cell>
          <cell r="Q73">
            <v>0.91236686390532595</v>
          </cell>
          <cell r="R73">
            <v>0.52557848837209287</v>
          </cell>
          <cell r="S73">
            <v>0.32500000000000001</v>
          </cell>
          <cell r="T73">
            <v>0.15</v>
          </cell>
          <cell r="U73">
            <v>0.41782791826388022</v>
          </cell>
          <cell r="V73">
            <v>0.47478685490381389</v>
          </cell>
          <cell r="W73">
            <v>0.3356224637115035</v>
          </cell>
          <cell r="X73">
            <v>0.40430013163668277</v>
          </cell>
          <cell r="Y73">
            <v>0.77689412411999359</v>
          </cell>
        </row>
        <row r="74">
          <cell r="A74" t="str">
            <v>Housewares</v>
          </cell>
          <cell r="G74">
            <v>1.2912400455062572</v>
          </cell>
          <cell r="H74">
            <v>0.44770408163265252</v>
          </cell>
          <cell r="I74">
            <v>0.2911737943585071</v>
          </cell>
          <cell r="J74">
            <v>0.5805475654649237</v>
          </cell>
          <cell r="K74">
            <v>0.58416801872728641</v>
          </cell>
          <cell r="L74">
            <v>0.61512271244148065</v>
          </cell>
          <cell r="M74">
            <v>0.85550660792951572</v>
          </cell>
          <cell r="N74">
            <v>0.64904862579281208</v>
          </cell>
          <cell r="O74">
            <v>0.45657708628005667</v>
          </cell>
          <cell r="P74">
            <v>0.60010128419286324</v>
          </cell>
          <cell r="Q74">
            <v>0.52806773166654075</v>
          </cell>
          <cell r="R74">
            <v>0.82915677952696565</v>
          </cell>
          <cell r="S74">
            <v>0.32500000000000001</v>
          </cell>
          <cell r="T74">
            <v>0.1</v>
          </cell>
          <cell r="U74">
            <v>0.38690468860280158</v>
          </cell>
          <cell r="V74">
            <v>0.18396502096685685</v>
          </cell>
          <cell r="W74">
            <v>7.2243268913005032E-2</v>
          </cell>
          <cell r="X74">
            <v>0.35171746492501255</v>
          </cell>
          <cell r="Y74">
            <v>0.31417103644720679</v>
          </cell>
        </row>
        <row r="75">
          <cell r="A75" t="str">
            <v>Electronics</v>
          </cell>
          <cell r="G75">
            <v>0.85377159713442907</v>
          </cell>
          <cell r="H75">
            <v>0.76854395604395598</v>
          </cell>
          <cell r="I75">
            <v>0.43312101910828038</v>
          </cell>
          <cell r="J75">
            <v>-2.4435566291925892E-2</v>
          </cell>
          <cell r="K75">
            <v>0.33089449029667661</v>
          </cell>
          <cell r="L75">
            <v>0.68788360991134323</v>
          </cell>
          <cell r="M75">
            <v>0.92233009708737868</v>
          </cell>
          <cell r="N75">
            <v>1.2222222222222223</v>
          </cell>
          <cell r="O75">
            <v>1.714285714285714</v>
          </cell>
          <cell r="P75">
            <v>1.2213283275230178</v>
          </cell>
          <cell r="Q75">
            <v>1.1572840722971898</v>
          </cell>
          <cell r="R75">
            <v>0.79131623860391631</v>
          </cell>
          <cell r="S75">
            <v>0.32500000000000001</v>
          </cell>
          <cell r="T75">
            <v>0.15</v>
          </cell>
          <cell r="U75">
            <v>0.46696408448662785</v>
          </cell>
          <cell r="V75">
            <v>0.63661326571614651</v>
          </cell>
          <cell r="W75">
            <v>0.4821785499581861</v>
          </cell>
          <cell r="X75">
            <v>0.82984562607204126</v>
          </cell>
          <cell r="Y75">
            <v>0.44520722095092835</v>
          </cell>
        </row>
        <row r="76">
          <cell r="A76" t="str">
            <v>Collectibles</v>
          </cell>
          <cell r="G76">
            <v>3.2380952380952381</v>
          </cell>
          <cell r="H76">
            <v>1.2949218749999996</v>
          </cell>
          <cell r="I76">
            <v>0.33454655747649387</v>
          </cell>
          <cell r="J76">
            <v>0.79809915232468565</v>
          </cell>
          <cell r="K76">
            <v>1.0111100376775193</v>
          </cell>
          <cell r="L76">
            <v>0.46915412338350682</v>
          </cell>
          <cell r="M76">
            <v>-4.2553191489361653E-2</v>
          </cell>
          <cell r="N76">
            <v>0.13636363636363646</v>
          </cell>
          <cell r="O76">
            <v>1.0357142857142856</v>
          </cell>
          <cell r="P76">
            <v>0.47379545563721948</v>
          </cell>
          <cell r="Q76">
            <v>0.38682547504819342</v>
          </cell>
          <cell r="R76">
            <v>1.3645374349571702</v>
          </cell>
          <cell r="S76">
            <v>0.32500000000000001</v>
          </cell>
          <cell r="T76">
            <v>0.15</v>
          </cell>
          <cell r="U76">
            <v>0.41015707299189197</v>
          </cell>
          <cell r="V76">
            <v>0.36384438809678854</v>
          </cell>
          <cell r="W76">
            <v>0.23514879163182156</v>
          </cell>
          <cell r="X76">
            <v>1.0128301886792457</v>
          </cell>
          <cell r="Y76">
            <v>8.3905415713196208E-2</v>
          </cell>
        </row>
        <row r="77">
          <cell r="A77" t="str">
            <v>Other</v>
          </cell>
          <cell r="G77">
            <v>2.6455026455026713</v>
          </cell>
          <cell r="H77">
            <v>1.3897058823529456</v>
          </cell>
          <cell r="I77">
            <v>1.4288747346072146</v>
          </cell>
          <cell r="J77">
            <v>0.16876444901104359</v>
          </cell>
          <cell r="K77">
            <v>0.84626509509002745</v>
          </cell>
          <cell r="L77">
            <v>0.55660377358490898</v>
          </cell>
          <cell r="M77">
            <v>0.79999999999998916</v>
          </cell>
          <cell r="N77">
            <v>0.81818181818183167</v>
          </cell>
          <cell r="O77">
            <v>0.628571428571429</v>
          </cell>
          <cell r="P77">
            <v>0.69042769857433961</v>
          </cell>
          <cell r="Q77">
            <v>0.92555383266304903</v>
          </cell>
          <cell r="R77">
            <v>0.95420790755388896</v>
          </cell>
          <cell r="S77">
            <v>0.32500000000000001</v>
          </cell>
          <cell r="T77">
            <v>0.2</v>
          </cell>
          <cell r="U77">
            <v>7.5811315546559843</v>
          </cell>
          <cell r="V77">
            <v>0.36006642580289872</v>
          </cell>
          <cell r="W77">
            <v>0.23172732683505726</v>
          </cell>
          <cell r="X77">
            <v>-0.80907240173304795</v>
          </cell>
          <cell r="Y77">
            <v>-0.85890873202042006</v>
          </cell>
        </row>
        <row r="78">
          <cell r="A78" t="str">
            <v xml:space="preserve">   Total Revenues</v>
          </cell>
          <cell r="G78">
            <v>1.5238095238095237</v>
          </cell>
          <cell r="H78">
            <v>0.5625</v>
          </cell>
          <cell r="I78">
            <v>0.4012738853503186</v>
          </cell>
          <cell r="J78">
            <v>0.52838427947598254</v>
          </cell>
          <cell r="K78">
            <v>0.64214046822742477</v>
          </cell>
          <cell r="L78">
            <v>0.55660377358490565</v>
          </cell>
          <cell r="M78">
            <v>0.8</v>
          </cell>
          <cell r="N78">
            <v>0.81818181818181812</v>
          </cell>
          <cell r="O78">
            <v>0.62857142857142856</v>
          </cell>
          <cell r="P78">
            <v>0.69042769857433806</v>
          </cell>
          <cell r="Q78">
            <v>0.70100000000000007</v>
          </cell>
          <cell r="R78">
            <v>0.72631249999999992</v>
          </cell>
          <cell r="S78">
            <v>0.58987812500000003</v>
          </cell>
          <cell r="T78">
            <v>0.4986776315789474</v>
          </cell>
          <cell r="U78">
            <v>0.61024096385542181</v>
          </cell>
          <cell r="V78">
            <v>0.33433096396059359</v>
          </cell>
          <cell r="W78">
            <v>0.33433096396059359</v>
          </cell>
          <cell r="X78">
            <v>0.33433096396059359</v>
          </cell>
          <cell r="Y78">
            <v>0.33433096396059359</v>
          </cell>
        </row>
        <row r="79">
          <cell r="A79" t="str">
            <v>%Change</v>
          </cell>
        </row>
        <row r="80">
          <cell r="Q80">
            <v>50.4</v>
          </cell>
          <cell r="R80">
            <v>55.8</v>
          </cell>
          <cell r="S80">
            <v>57.1</v>
          </cell>
          <cell r="T80">
            <v>76.7</v>
          </cell>
          <cell r="U80">
            <v>240</v>
          </cell>
        </row>
        <row r="81">
          <cell r="Q81">
            <v>0.21</v>
          </cell>
          <cell r="R81">
            <v>0.23249999999999998</v>
          </cell>
          <cell r="S81">
            <v>0.23791666666666667</v>
          </cell>
          <cell r="T81">
            <v>0.31958333333333333</v>
          </cell>
          <cell r="U81">
            <v>1</v>
          </cell>
        </row>
        <row r="83">
          <cell r="A83" t="str">
            <v>Scenario Analysis</v>
          </cell>
          <cell r="BN83">
            <v>1</v>
          </cell>
        </row>
        <row r="85">
          <cell r="A85" t="str">
            <v>Sales per FTE Growth</v>
          </cell>
          <cell r="BS85">
            <v>-0.09</v>
          </cell>
          <cell r="BT85">
            <v>-0.2</v>
          </cell>
          <cell r="BU85">
            <v>-0.02</v>
          </cell>
          <cell r="BV85">
            <v>-0.02</v>
          </cell>
          <cell r="BW85">
            <v>-0.01</v>
          </cell>
          <cell r="BX85">
            <v>0</v>
          </cell>
          <cell r="BY85">
            <v>0</v>
          </cell>
          <cell r="BZ85">
            <v>0</v>
          </cell>
          <cell r="CA85">
            <v>0</v>
          </cell>
          <cell r="CB85">
            <v>0</v>
          </cell>
          <cell r="CC85">
            <v>0</v>
          </cell>
        </row>
        <row r="86">
          <cell r="A86" t="str">
            <v>Base Case</v>
          </cell>
          <cell r="BS86">
            <v>-0.09</v>
          </cell>
          <cell r="BT86">
            <v>-0.2</v>
          </cell>
          <cell r="BU86">
            <v>-0.02</v>
          </cell>
          <cell r="BV86">
            <v>-0.02</v>
          </cell>
          <cell r="BW86">
            <v>-0.01</v>
          </cell>
          <cell r="BX86">
            <v>0</v>
          </cell>
          <cell r="BY86">
            <v>0</v>
          </cell>
          <cell r="BZ86">
            <v>0</v>
          </cell>
          <cell r="CA86">
            <v>0</v>
          </cell>
          <cell r="CB86">
            <v>0</v>
          </cell>
          <cell r="CC86">
            <v>0</v>
          </cell>
        </row>
        <row r="87">
          <cell r="A87" t="str">
            <v>Bear Case</v>
          </cell>
          <cell r="BS87">
            <v>-0.09</v>
          </cell>
          <cell r="BT87">
            <v>-0.23</v>
          </cell>
          <cell r="BU87">
            <v>-0.05</v>
          </cell>
          <cell r="BV87">
            <v>-0.05</v>
          </cell>
          <cell r="BW87">
            <v>-0.04</v>
          </cell>
          <cell r="BX87">
            <v>-0.03</v>
          </cell>
          <cell r="BY87">
            <v>-0.03</v>
          </cell>
          <cell r="BZ87">
            <v>-0.03</v>
          </cell>
          <cell r="CA87">
            <v>-0.03</v>
          </cell>
          <cell r="CB87">
            <v>-0.03</v>
          </cell>
          <cell r="CC87">
            <v>-0.03</v>
          </cell>
        </row>
        <row r="88">
          <cell r="A88" t="str">
            <v>5.0x Leverage Case</v>
          </cell>
          <cell r="BS88">
            <v>-0.09</v>
          </cell>
          <cell r="BT88">
            <v>-0.2</v>
          </cell>
          <cell r="BU88">
            <v>-0.02</v>
          </cell>
          <cell r="BV88">
            <v>-0.02</v>
          </cell>
          <cell r="BW88">
            <v>-0.01</v>
          </cell>
          <cell r="BX88">
            <v>0</v>
          </cell>
          <cell r="BY88">
            <v>0</v>
          </cell>
          <cell r="BZ88">
            <v>0</v>
          </cell>
          <cell r="CA88">
            <v>0</v>
          </cell>
          <cell r="CB88">
            <v>0</v>
          </cell>
          <cell r="CC88">
            <v>0</v>
          </cell>
        </row>
        <row r="89">
          <cell r="A89" t="str">
            <v>Historical Growth</v>
          </cell>
          <cell r="BS89">
            <v>-0.09</v>
          </cell>
          <cell r="BT89">
            <v>-0.2</v>
          </cell>
          <cell r="BU89">
            <v>-0.02</v>
          </cell>
          <cell r="BV89">
            <v>-0.02</v>
          </cell>
          <cell r="BW89">
            <v>-0.01</v>
          </cell>
          <cell r="BX89">
            <v>0</v>
          </cell>
          <cell r="BY89">
            <v>0</v>
          </cell>
          <cell r="BZ89">
            <v>0</v>
          </cell>
          <cell r="CA89">
            <v>0</v>
          </cell>
          <cell r="CB89">
            <v>0</v>
          </cell>
          <cell r="CC89">
            <v>0</v>
          </cell>
        </row>
        <row r="91">
          <cell r="A91" t="str">
            <v>Gross Margin</v>
          </cell>
          <cell r="BS91">
            <v>0.36</v>
          </cell>
          <cell r="BT91">
            <v>0.36</v>
          </cell>
          <cell r="BU91">
            <v>0.36</v>
          </cell>
          <cell r="BV91">
            <v>0.36</v>
          </cell>
          <cell r="BW91">
            <v>0.36</v>
          </cell>
          <cell r="BX91">
            <v>0.36</v>
          </cell>
          <cell r="BY91">
            <v>0.36</v>
          </cell>
          <cell r="BZ91">
            <v>0.36</v>
          </cell>
          <cell r="CA91">
            <v>0.36</v>
          </cell>
          <cell r="CB91">
            <v>0.36</v>
          </cell>
          <cell r="CC91">
            <v>0.36</v>
          </cell>
        </row>
        <row r="92">
          <cell r="A92" t="str">
            <v>Base Case</v>
          </cell>
          <cell r="BS92">
            <v>0.36</v>
          </cell>
          <cell r="BT92">
            <v>0.36</v>
          </cell>
          <cell r="BU92">
            <v>0.36</v>
          </cell>
          <cell r="BV92">
            <v>0.36</v>
          </cell>
          <cell r="BW92">
            <v>0.36</v>
          </cell>
          <cell r="BX92">
            <v>0.36</v>
          </cell>
          <cell r="BY92">
            <v>0.36</v>
          </cell>
          <cell r="BZ92">
            <v>0.36</v>
          </cell>
          <cell r="CA92">
            <v>0.36</v>
          </cell>
          <cell r="CB92">
            <v>0.36</v>
          </cell>
          <cell r="CC92">
            <v>0.36</v>
          </cell>
        </row>
        <row r="93">
          <cell r="A93" t="str">
            <v>Bear Case</v>
          </cell>
          <cell r="BS93">
            <v>0.36</v>
          </cell>
          <cell r="BT93">
            <v>0.33299999999999996</v>
          </cell>
          <cell r="BU93">
            <v>0.36</v>
          </cell>
          <cell r="BV93">
            <v>0.36</v>
          </cell>
          <cell r="BW93">
            <v>0.36</v>
          </cell>
          <cell r="BX93">
            <v>0.36</v>
          </cell>
          <cell r="BY93">
            <v>0.36</v>
          </cell>
          <cell r="BZ93">
            <v>0.36</v>
          </cell>
          <cell r="CA93">
            <v>0.36</v>
          </cell>
          <cell r="CB93">
            <v>0.36</v>
          </cell>
          <cell r="CC93">
            <v>0.36</v>
          </cell>
        </row>
        <row r="94">
          <cell r="A94" t="str">
            <v>5.0x Leverage Case</v>
          </cell>
          <cell r="BS94">
            <v>0.36</v>
          </cell>
          <cell r="BT94">
            <v>0.36</v>
          </cell>
          <cell r="BU94">
            <v>0.36</v>
          </cell>
          <cell r="BV94">
            <v>0.36</v>
          </cell>
          <cell r="BW94">
            <v>0.36</v>
          </cell>
          <cell r="BX94">
            <v>0.36</v>
          </cell>
          <cell r="BY94">
            <v>0.36</v>
          </cell>
          <cell r="BZ94">
            <v>0.36</v>
          </cell>
          <cell r="CA94">
            <v>0.36</v>
          </cell>
          <cell r="CB94">
            <v>0.36</v>
          </cell>
          <cell r="CC94">
            <v>0.36</v>
          </cell>
        </row>
        <row r="95">
          <cell r="A95" t="str">
            <v>Historical Growth</v>
          </cell>
          <cell r="BS95">
            <v>0.36</v>
          </cell>
          <cell r="BT95">
            <v>0.36</v>
          </cell>
          <cell r="BU95">
            <v>0.36</v>
          </cell>
          <cell r="BV95">
            <v>0.36</v>
          </cell>
          <cell r="BW95">
            <v>0.36</v>
          </cell>
          <cell r="BX95">
            <v>0.36</v>
          </cell>
          <cell r="BY95">
            <v>0.36</v>
          </cell>
          <cell r="BZ95">
            <v>0.36</v>
          </cell>
          <cell r="CA95">
            <v>0.36</v>
          </cell>
          <cell r="CB95">
            <v>0.36</v>
          </cell>
          <cell r="CC95">
            <v>0.36</v>
          </cell>
        </row>
      </sheetData>
      <sheetData sheetId="16" refreshError="1">
        <row r="2">
          <cell r="A2" t="str">
            <v>QVC - Germany Operations</v>
          </cell>
        </row>
        <row r="3">
          <cell r="A3" t="str">
            <v>($ Millions)</v>
          </cell>
        </row>
        <row r="4">
          <cell r="C4">
            <v>1996</v>
          </cell>
          <cell r="H4">
            <v>1997</v>
          </cell>
          <cell r="M4">
            <v>1998</v>
          </cell>
          <cell r="R4" t="str">
            <v>1999</v>
          </cell>
          <cell r="W4">
            <v>2000</v>
          </cell>
          <cell r="AB4" t="str">
            <v>2001</v>
          </cell>
          <cell r="AG4" t="str">
            <v>2002</v>
          </cell>
          <cell r="AL4" t="str">
            <v>2003</v>
          </cell>
          <cell r="AQ4" t="str">
            <v>2004</v>
          </cell>
          <cell r="AV4" t="str">
            <v>2005</v>
          </cell>
          <cell r="BA4">
            <v>2006</v>
          </cell>
          <cell r="BF4">
            <v>2007</v>
          </cell>
          <cell r="BK4" t="str">
            <v>2008E</v>
          </cell>
        </row>
        <row r="5">
          <cell r="B5" t="str">
            <v>1995</v>
          </cell>
          <cell r="C5" t="str">
            <v>Q1</v>
          </cell>
          <cell r="D5" t="str">
            <v>Q2</v>
          </cell>
          <cell r="E5" t="str">
            <v>Q3</v>
          </cell>
          <cell r="F5" t="str">
            <v>Q4</v>
          </cell>
          <cell r="G5" t="str">
            <v>1996</v>
          </cell>
          <cell r="H5" t="str">
            <v>Q1</v>
          </cell>
          <cell r="I5" t="str">
            <v>Q2</v>
          </cell>
          <cell r="J5" t="str">
            <v>Q3</v>
          </cell>
          <cell r="K5" t="str">
            <v>Q4</v>
          </cell>
          <cell r="L5" t="str">
            <v>1997</v>
          </cell>
          <cell r="M5" t="str">
            <v>Q1</v>
          </cell>
          <cell r="N5" t="str">
            <v>Q2</v>
          </cell>
          <cell r="O5" t="str">
            <v>Q3</v>
          </cell>
          <cell r="P5" t="str">
            <v>Q4</v>
          </cell>
          <cell r="Q5" t="str">
            <v>1998</v>
          </cell>
          <cell r="R5" t="str">
            <v>Q1</v>
          </cell>
          <cell r="S5" t="str">
            <v>Q2</v>
          </cell>
          <cell r="T5" t="str">
            <v>Q3</v>
          </cell>
          <cell r="U5" t="str">
            <v>Q4</v>
          </cell>
          <cell r="V5" t="str">
            <v>1999</v>
          </cell>
          <cell r="W5" t="str">
            <v>Q1</v>
          </cell>
          <cell r="X5" t="str">
            <v>Q2</v>
          </cell>
          <cell r="Y5" t="str">
            <v>Q3</v>
          </cell>
          <cell r="Z5" t="str">
            <v>Q4</v>
          </cell>
          <cell r="AA5" t="str">
            <v>2000</v>
          </cell>
          <cell r="AB5" t="str">
            <v>Q1</v>
          </cell>
          <cell r="AC5" t="str">
            <v>Q2</v>
          </cell>
          <cell r="AD5" t="str">
            <v>Q3</v>
          </cell>
          <cell r="AE5" t="str">
            <v>Q4</v>
          </cell>
          <cell r="AF5" t="str">
            <v>2001</v>
          </cell>
          <cell r="AG5" t="str">
            <v>Q1</v>
          </cell>
          <cell r="AH5" t="str">
            <v>Q2</v>
          </cell>
          <cell r="AI5" t="str">
            <v>Q3</v>
          </cell>
          <cell r="AJ5" t="str">
            <v>Q4</v>
          </cell>
          <cell r="AK5" t="str">
            <v>2002</v>
          </cell>
          <cell r="AL5" t="str">
            <v>Q1</v>
          </cell>
          <cell r="AM5" t="str">
            <v>Q2</v>
          </cell>
          <cell r="AN5" t="str">
            <v>Q3</v>
          </cell>
          <cell r="AO5" t="str">
            <v>Q4</v>
          </cell>
          <cell r="AP5" t="str">
            <v>2003</v>
          </cell>
          <cell r="AQ5" t="str">
            <v>Q1</v>
          </cell>
          <cell r="AR5" t="str">
            <v>Q2</v>
          </cell>
          <cell r="AS5" t="str">
            <v>Q3</v>
          </cell>
          <cell r="AT5" t="str">
            <v>Q4</v>
          </cell>
          <cell r="AU5" t="str">
            <v>2004</v>
          </cell>
          <cell r="AV5" t="str">
            <v>Q1</v>
          </cell>
          <cell r="AW5" t="str">
            <v>Q2</v>
          </cell>
          <cell r="AX5" t="str">
            <v>Q3</v>
          </cell>
          <cell r="AY5" t="str">
            <v>Q4</v>
          </cell>
          <cell r="AZ5" t="str">
            <v>2005</v>
          </cell>
          <cell r="BA5" t="str">
            <v>1Q</v>
          </cell>
          <cell r="BB5" t="str">
            <v>2Q</v>
          </cell>
          <cell r="BC5" t="str">
            <v>3Q</v>
          </cell>
          <cell r="BD5" t="str">
            <v>4Q</v>
          </cell>
          <cell r="BE5">
            <v>2006</v>
          </cell>
          <cell r="BF5" t="str">
            <v>1Q</v>
          </cell>
          <cell r="BG5" t="str">
            <v>2Q</v>
          </cell>
          <cell r="BH5" t="str">
            <v>3Q</v>
          </cell>
          <cell r="BI5" t="str">
            <v>4Q</v>
          </cell>
          <cell r="BJ5">
            <v>2007</v>
          </cell>
          <cell r="BK5" t="str">
            <v>1Q</v>
          </cell>
          <cell r="BL5" t="str">
            <v>2Q</v>
          </cell>
          <cell r="BM5" t="str">
            <v>3Q</v>
          </cell>
          <cell r="BN5" t="str">
            <v>4QE</v>
          </cell>
          <cell r="BO5" t="str">
            <v>2008E</v>
          </cell>
          <cell r="BP5" t="str">
            <v>2009E</v>
          </cell>
          <cell r="BQ5" t="str">
            <v>2010E</v>
          </cell>
          <cell r="BR5" t="str">
            <v>2011E</v>
          </cell>
          <cell r="BS5" t="str">
            <v>2012E</v>
          </cell>
          <cell r="BT5" t="str">
            <v>2013E</v>
          </cell>
          <cell r="BU5" t="str">
            <v>2014E</v>
          </cell>
          <cell r="BV5" t="str">
            <v>2015E</v>
          </cell>
          <cell r="BW5" t="str">
            <v>2016E</v>
          </cell>
          <cell r="BX5" t="str">
            <v>2017E</v>
          </cell>
          <cell r="BY5" t="str">
            <v>2018E</v>
          </cell>
        </row>
        <row r="6">
          <cell r="A6" t="str">
            <v>Jewelry</v>
          </cell>
          <cell r="F6">
            <v>0.19500000000000001</v>
          </cell>
          <cell r="G6">
            <v>0.19500000000000001</v>
          </cell>
          <cell r="H6">
            <v>0.34671000000000002</v>
          </cell>
          <cell r="I6">
            <v>0.6825</v>
          </cell>
          <cell r="J6">
            <v>1.131</v>
          </cell>
          <cell r="K6">
            <v>2.4180000000000001</v>
          </cell>
          <cell r="L6">
            <v>4.5782100000000003</v>
          </cell>
          <cell r="M6">
            <v>2.9219151670951158</v>
          </cell>
          <cell r="N6">
            <v>3.0822030848329045</v>
          </cell>
          <cell r="O6">
            <v>3.9938406169665801</v>
          </cell>
          <cell r="P6">
            <v>3.3615938303341899</v>
          </cell>
          <cell r="Q6">
            <v>13.359552699228789</v>
          </cell>
          <cell r="R6">
            <v>7.1940000000000008</v>
          </cell>
          <cell r="S6">
            <v>7.293000000000001</v>
          </cell>
          <cell r="T6">
            <v>7.92</v>
          </cell>
          <cell r="U6">
            <v>11.286000000000001</v>
          </cell>
          <cell r="V6">
            <v>33.693000000000005</v>
          </cell>
          <cell r="W6">
            <v>10.726000000000001</v>
          </cell>
          <cell r="X6">
            <v>9.206999999999999</v>
          </cell>
          <cell r="Y6">
            <v>10.509</v>
          </cell>
          <cell r="Z6">
            <v>12.213999999999999</v>
          </cell>
          <cell r="AA6">
            <v>42.655999999999999</v>
          </cell>
          <cell r="AB6">
            <v>15.213000000000001</v>
          </cell>
          <cell r="AC6">
            <v>13.794</v>
          </cell>
          <cell r="AD6">
            <v>15.113999999999999</v>
          </cell>
          <cell r="AE6">
            <v>21.152999999999999</v>
          </cell>
          <cell r="AF6">
            <v>65.274000000000001</v>
          </cell>
          <cell r="AG6">
            <v>19.965</v>
          </cell>
          <cell r="AH6">
            <v>20.625</v>
          </cell>
          <cell r="AI6">
            <v>21.615000000000002</v>
          </cell>
          <cell r="AJ6">
            <v>28.71</v>
          </cell>
          <cell r="AK6">
            <v>90.915000000000006</v>
          </cell>
          <cell r="AL6">
            <v>31.35</v>
          </cell>
          <cell r="AM6">
            <v>33</v>
          </cell>
          <cell r="AN6">
            <v>33.99</v>
          </cell>
          <cell r="AO6">
            <v>43.230000000000004</v>
          </cell>
          <cell r="AP6">
            <v>141.57</v>
          </cell>
          <cell r="AQ6">
            <v>51.150000000000006</v>
          </cell>
          <cell r="AR6">
            <v>50.160000000000004</v>
          </cell>
          <cell r="AS6">
            <v>47.85</v>
          </cell>
          <cell r="AT6">
            <v>63.03</v>
          </cell>
          <cell r="AU6">
            <v>212.19</v>
          </cell>
          <cell r="AV6">
            <v>64.02</v>
          </cell>
          <cell r="AW6">
            <v>61.050000000000004</v>
          </cell>
          <cell r="AX6">
            <v>58.74</v>
          </cell>
          <cell r="AY6">
            <v>73.920000000000016</v>
          </cell>
          <cell r="AZ6">
            <v>257.73</v>
          </cell>
          <cell r="BA6">
            <v>64.350000000000009</v>
          </cell>
          <cell r="BB6">
            <v>62.7</v>
          </cell>
          <cell r="BC6">
            <v>66.66</v>
          </cell>
          <cell r="BD6">
            <v>86.130000000000024</v>
          </cell>
          <cell r="BE6">
            <v>279.84000000000003</v>
          </cell>
          <cell r="BF6">
            <v>70.95</v>
          </cell>
          <cell r="BG6">
            <v>65.34</v>
          </cell>
          <cell r="BH6">
            <v>64.02</v>
          </cell>
          <cell r="BI6">
            <v>86.79000000000002</v>
          </cell>
          <cell r="BJ6">
            <v>287.10000000000002</v>
          </cell>
          <cell r="BK6">
            <v>82.17</v>
          </cell>
          <cell r="BL6">
            <v>73.92</v>
          </cell>
          <cell r="BM6">
            <v>75.570000000000007</v>
          </cell>
          <cell r="BN6">
            <v>92.461002043795688</v>
          </cell>
          <cell r="BO6">
            <v>324.12100204379567</v>
          </cell>
          <cell r="BP6">
            <v>280.31733226510948</v>
          </cell>
          <cell r="BQ6">
            <v>284.52209224908614</v>
          </cell>
          <cell r="BR6">
            <v>288.78992363282237</v>
          </cell>
          <cell r="BS6">
            <v>293.12177248731467</v>
          </cell>
          <cell r="BT6">
            <v>297.51859907462438</v>
          </cell>
          <cell r="BU6">
            <v>301.98137806074374</v>
          </cell>
          <cell r="BV6">
            <v>306.51109873165484</v>
          </cell>
          <cell r="BW6">
            <v>311.10876521262963</v>
          </cell>
          <cell r="BX6">
            <v>315.77539669081904</v>
          </cell>
          <cell r="BY6">
            <v>320.51202764118131</v>
          </cell>
        </row>
        <row r="7">
          <cell r="A7" t="str">
            <v>Apparel &amp; Accessories</v>
          </cell>
          <cell r="F7">
            <v>0.1</v>
          </cell>
          <cell r="G7">
            <v>0.1</v>
          </cell>
          <cell r="H7">
            <v>0.17780000000000001</v>
          </cell>
          <cell r="I7">
            <v>0.35000000000000003</v>
          </cell>
          <cell r="J7">
            <v>0.57999999999999996</v>
          </cell>
          <cell r="K7">
            <v>1.2400000000000002</v>
          </cell>
          <cell r="L7">
            <v>2.3478000000000003</v>
          </cell>
          <cell r="M7">
            <v>1.5861825192802059</v>
          </cell>
          <cell r="N7">
            <v>1.5806169665809768</v>
          </cell>
          <cell r="O7">
            <v>2.0481233933161951</v>
          </cell>
          <cell r="P7">
            <v>3.3615938303341899</v>
          </cell>
          <cell r="Q7">
            <v>8.5765167095115675</v>
          </cell>
          <cell r="R7">
            <v>4.5780000000000003</v>
          </cell>
          <cell r="S7">
            <v>4.641</v>
          </cell>
          <cell r="T7">
            <v>5.04</v>
          </cell>
          <cell r="U7">
            <v>7.1820000000000004</v>
          </cell>
          <cell r="V7">
            <v>21.441000000000003</v>
          </cell>
          <cell r="W7">
            <v>7.6120000000000001</v>
          </cell>
          <cell r="X7">
            <v>6.5339999999999998</v>
          </cell>
          <cell r="Y7">
            <v>7.4579999999999993</v>
          </cell>
          <cell r="Z7">
            <v>8.6679999999999993</v>
          </cell>
          <cell r="AA7">
            <v>30.271999999999998</v>
          </cell>
          <cell r="AB7">
            <v>9.6810000000000009</v>
          </cell>
          <cell r="AC7">
            <v>8.7780000000000005</v>
          </cell>
          <cell r="AD7">
            <v>9.6180000000000003</v>
          </cell>
          <cell r="AE7">
            <v>13.461</v>
          </cell>
          <cell r="AF7">
            <v>41.538000000000004</v>
          </cell>
          <cell r="AG7">
            <v>12.705000000000002</v>
          </cell>
          <cell r="AH7">
            <v>13.125000000000002</v>
          </cell>
          <cell r="AI7">
            <v>13.755000000000001</v>
          </cell>
          <cell r="AJ7">
            <v>18.270000000000003</v>
          </cell>
          <cell r="AK7">
            <v>57.855000000000011</v>
          </cell>
          <cell r="AL7">
            <v>19.950000000000003</v>
          </cell>
          <cell r="AM7">
            <v>21.000000000000004</v>
          </cell>
          <cell r="AN7">
            <v>21.630000000000003</v>
          </cell>
          <cell r="AO7">
            <v>27.51</v>
          </cell>
          <cell r="AP7">
            <v>90.09</v>
          </cell>
          <cell r="AQ7">
            <v>32.550000000000004</v>
          </cell>
          <cell r="AR7">
            <v>31.92</v>
          </cell>
          <cell r="AS7">
            <v>30.450000000000003</v>
          </cell>
          <cell r="AT7">
            <v>40.110000000000007</v>
          </cell>
          <cell r="AU7">
            <v>135.03</v>
          </cell>
          <cell r="AV7">
            <v>40.74</v>
          </cell>
          <cell r="AW7">
            <v>38.85</v>
          </cell>
          <cell r="AX7">
            <v>37.380000000000003</v>
          </cell>
          <cell r="AY7">
            <v>47.04000000000002</v>
          </cell>
          <cell r="AZ7">
            <v>164.01000000000002</v>
          </cell>
          <cell r="BA7">
            <v>40.950000000000003</v>
          </cell>
          <cell r="BB7">
            <v>39.900000000000006</v>
          </cell>
          <cell r="BC7">
            <v>42.42</v>
          </cell>
          <cell r="BD7">
            <v>54.810000000000024</v>
          </cell>
          <cell r="BE7">
            <v>178.08</v>
          </cell>
          <cell r="BF7">
            <v>45.150000000000006</v>
          </cell>
          <cell r="BG7">
            <v>41.580000000000005</v>
          </cell>
          <cell r="BH7">
            <v>40.74</v>
          </cell>
          <cell r="BI7">
            <v>55.230000000000025</v>
          </cell>
          <cell r="BJ7">
            <v>182.70000000000002</v>
          </cell>
          <cell r="BK7">
            <v>52.290000000000006</v>
          </cell>
          <cell r="BL7">
            <v>47.040000000000006</v>
          </cell>
          <cell r="BM7">
            <v>48.09</v>
          </cell>
          <cell r="BN7">
            <v>58.838819482415452</v>
          </cell>
          <cell r="BO7">
            <v>206.25881948241545</v>
          </cell>
          <cell r="BP7">
            <v>178.38375689597879</v>
          </cell>
          <cell r="BQ7">
            <v>181.05951324941847</v>
          </cell>
          <cell r="BR7">
            <v>183.77540594815969</v>
          </cell>
          <cell r="BS7">
            <v>186.53203703738208</v>
          </cell>
          <cell r="BT7">
            <v>189.3300175929428</v>
          </cell>
          <cell r="BU7">
            <v>192.16996785683693</v>
          </cell>
          <cell r="BV7">
            <v>195.05251737468944</v>
          </cell>
          <cell r="BW7">
            <v>197.97830513530977</v>
          </cell>
          <cell r="BX7">
            <v>200.94797971233942</v>
          </cell>
          <cell r="BY7">
            <v>203.96219940802445</v>
          </cell>
        </row>
        <row r="8">
          <cell r="A8" t="str">
            <v>Housewares/Home</v>
          </cell>
          <cell r="F8">
            <v>9.4999999999999973E-2</v>
          </cell>
          <cell r="G8">
            <v>9.4999999999999973E-2</v>
          </cell>
          <cell r="H8">
            <v>0.16890999999999995</v>
          </cell>
          <cell r="I8">
            <v>0.33249999999999991</v>
          </cell>
          <cell r="J8">
            <v>0.55099999999999982</v>
          </cell>
          <cell r="K8">
            <v>1.1779999999999997</v>
          </cell>
          <cell r="L8">
            <v>2.2304099999999991</v>
          </cell>
          <cell r="M8">
            <v>2.003598971722365</v>
          </cell>
          <cell r="N8">
            <v>1.5015861182519274</v>
          </cell>
          <cell r="O8">
            <v>1.9457172236503846</v>
          </cell>
          <cell r="P8">
            <v>2.5211953727506424</v>
          </cell>
          <cell r="Q8">
            <v>7.9720976863753199</v>
          </cell>
          <cell r="R8">
            <v>4.7960000000000003</v>
          </cell>
          <cell r="S8">
            <v>4.8620000000000001</v>
          </cell>
          <cell r="T8">
            <v>5.28</v>
          </cell>
          <cell r="U8">
            <v>7.5240000000000009</v>
          </cell>
          <cell r="V8">
            <v>22.462000000000003</v>
          </cell>
          <cell r="W8">
            <v>7.6120000000000001</v>
          </cell>
          <cell r="X8">
            <v>6.5339999999999998</v>
          </cell>
          <cell r="Y8">
            <v>7.4579999999999993</v>
          </cell>
          <cell r="Z8">
            <v>8.6679999999999993</v>
          </cell>
          <cell r="AA8">
            <v>30.271999999999998</v>
          </cell>
          <cell r="AB8">
            <v>10.142000000000001</v>
          </cell>
          <cell r="AC8">
            <v>9.1959999999999997</v>
          </cell>
          <cell r="AD8">
            <v>10.075999999999999</v>
          </cell>
          <cell r="AE8">
            <v>14.101999999999999</v>
          </cell>
          <cell r="AF8">
            <v>43.515999999999998</v>
          </cell>
          <cell r="AG8">
            <v>13.31</v>
          </cell>
          <cell r="AH8">
            <v>13.75</v>
          </cell>
          <cell r="AI8">
            <v>14.41</v>
          </cell>
          <cell r="AJ8">
            <v>19.14</v>
          </cell>
          <cell r="AK8">
            <v>60.61</v>
          </cell>
          <cell r="AL8">
            <v>20.9</v>
          </cell>
          <cell r="AM8">
            <v>22</v>
          </cell>
          <cell r="AN8">
            <v>22.66</v>
          </cell>
          <cell r="AO8">
            <v>28.82</v>
          </cell>
          <cell r="AP8">
            <v>94.38</v>
          </cell>
          <cell r="AQ8">
            <v>34.1</v>
          </cell>
          <cell r="AR8">
            <v>33.44</v>
          </cell>
          <cell r="AS8">
            <v>31.9</v>
          </cell>
          <cell r="AT8">
            <v>42.02</v>
          </cell>
          <cell r="AU8">
            <v>141.46</v>
          </cell>
          <cell r="AV8">
            <v>42.68</v>
          </cell>
          <cell r="AW8">
            <v>40.700000000000003</v>
          </cell>
          <cell r="AX8">
            <v>39.160000000000004</v>
          </cell>
          <cell r="AY8">
            <v>49.28</v>
          </cell>
          <cell r="AZ8">
            <v>171.82</v>
          </cell>
          <cell r="BA8">
            <v>42.9</v>
          </cell>
          <cell r="BB8">
            <v>41.8</v>
          </cell>
          <cell r="BC8">
            <v>44.44</v>
          </cell>
          <cell r="BD8">
            <v>57.42</v>
          </cell>
          <cell r="BE8">
            <v>186.56</v>
          </cell>
          <cell r="BF8">
            <v>47.3</v>
          </cell>
          <cell r="BG8">
            <v>43.56</v>
          </cell>
          <cell r="BH8">
            <v>42.68</v>
          </cell>
          <cell r="BI8">
            <v>57.86</v>
          </cell>
          <cell r="BJ8">
            <v>191.4</v>
          </cell>
          <cell r="BK8">
            <v>54.78</v>
          </cell>
          <cell r="BL8">
            <v>49.28</v>
          </cell>
          <cell r="BM8">
            <v>50.38</v>
          </cell>
          <cell r="BN8">
            <v>61.640668029197109</v>
          </cell>
          <cell r="BO8">
            <v>216.08066802919711</v>
          </cell>
          <cell r="BP8">
            <v>186.87822151007299</v>
          </cell>
          <cell r="BQ8">
            <v>189.6813948327241</v>
          </cell>
          <cell r="BR8">
            <v>192.52661575521489</v>
          </cell>
          <cell r="BS8">
            <v>195.41451499154311</v>
          </cell>
          <cell r="BT8">
            <v>198.34573271641625</v>
          </cell>
          <cell r="BU8">
            <v>201.32091870716249</v>
          </cell>
          <cell r="BV8">
            <v>204.34073248776988</v>
          </cell>
          <cell r="BW8">
            <v>207.40584347508641</v>
          </cell>
          <cell r="BX8">
            <v>210.5169311272127</v>
          </cell>
          <cell r="BY8">
            <v>213.67468509412083</v>
          </cell>
        </row>
        <row r="9">
          <cell r="A9" t="str">
            <v>Electronics</v>
          </cell>
          <cell r="F9">
            <v>0.05</v>
          </cell>
          <cell r="G9">
            <v>0.05</v>
          </cell>
          <cell r="H9">
            <v>8.8900000000000007E-2</v>
          </cell>
          <cell r="I9">
            <v>0.17500000000000002</v>
          </cell>
          <cell r="J9">
            <v>0.28999999999999998</v>
          </cell>
          <cell r="K9">
            <v>0.62000000000000011</v>
          </cell>
          <cell r="L9">
            <v>1.1739000000000002</v>
          </cell>
          <cell r="M9">
            <v>0.83483290488431894</v>
          </cell>
          <cell r="N9">
            <v>0.79030848329048842</v>
          </cell>
          <cell r="O9">
            <v>1.0240616966580975</v>
          </cell>
          <cell r="P9">
            <v>0.84039845758354748</v>
          </cell>
          <cell r="Q9">
            <v>3.4896015424164526</v>
          </cell>
          <cell r="R9">
            <v>3.0520000000000005</v>
          </cell>
          <cell r="S9">
            <v>3.0940000000000003</v>
          </cell>
          <cell r="T9">
            <v>3.3600000000000003</v>
          </cell>
          <cell r="U9">
            <v>4.7880000000000011</v>
          </cell>
          <cell r="V9">
            <v>14.294</v>
          </cell>
          <cell r="W9">
            <v>5.19</v>
          </cell>
          <cell r="X9">
            <v>4.4550000000000001</v>
          </cell>
          <cell r="Y9">
            <v>5.085</v>
          </cell>
          <cell r="Z9">
            <v>5.9099999999999993</v>
          </cell>
          <cell r="AA9">
            <v>20.64</v>
          </cell>
          <cell r="AB9">
            <v>6.4539999999999997</v>
          </cell>
          <cell r="AC9">
            <v>5.8519999999999994</v>
          </cell>
          <cell r="AD9">
            <v>6.411999999999999</v>
          </cell>
          <cell r="AE9">
            <v>8.9739999999999984</v>
          </cell>
          <cell r="AF9">
            <v>27.691999999999993</v>
          </cell>
          <cell r="AG9">
            <v>8.4699999999999989</v>
          </cell>
          <cell r="AH9">
            <v>8.7499999999999982</v>
          </cell>
          <cell r="AI9">
            <v>9.17</v>
          </cell>
          <cell r="AJ9">
            <v>12.179999999999998</v>
          </cell>
          <cell r="AK9">
            <v>38.57</v>
          </cell>
          <cell r="AL9">
            <v>13.299999999999999</v>
          </cell>
          <cell r="AM9">
            <v>13.999999999999998</v>
          </cell>
          <cell r="AN9">
            <v>14.419999999999998</v>
          </cell>
          <cell r="AO9">
            <v>18.34</v>
          </cell>
          <cell r="AP9">
            <v>60.06</v>
          </cell>
          <cell r="AQ9">
            <v>21.7</v>
          </cell>
          <cell r="AR9">
            <v>21.279999999999998</v>
          </cell>
          <cell r="AS9">
            <v>20.299999999999997</v>
          </cell>
          <cell r="AT9">
            <v>26.74</v>
          </cell>
          <cell r="AU9">
            <v>90.02</v>
          </cell>
          <cell r="AV9">
            <v>27.159999999999997</v>
          </cell>
          <cell r="AW9">
            <v>25.9</v>
          </cell>
          <cell r="AX9">
            <v>24.919999999999998</v>
          </cell>
          <cell r="AY9">
            <v>31.36</v>
          </cell>
          <cell r="AZ9">
            <v>109.33999999999999</v>
          </cell>
          <cell r="BA9">
            <v>27.299999999999997</v>
          </cell>
          <cell r="BB9">
            <v>26.599999999999998</v>
          </cell>
          <cell r="BC9">
            <v>28.279999999999998</v>
          </cell>
          <cell r="BD9">
            <v>36.54</v>
          </cell>
          <cell r="BE9">
            <v>118.71999999999998</v>
          </cell>
          <cell r="BF9">
            <v>30.099999999999998</v>
          </cell>
          <cell r="BG9">
            <v>27.72</v>
          </cell>
          <cell r="BH9">
            <v>27.159999999999997</v>
          </cell>
          <cell r="BI9">
            <v>36.819999999999993</v>
          </cell>
          <cell r="BJ9">
            <v>121.79999999999998</v>
          </cell>
          <cell r="BK9">
            <v>34.86</v>
          </cell>
          <cell r="BL9">
            <v>31.359999999999996</v>
          </cell>
          <cell r="BM9">
            <v>32.059999999999995</v>
          </cell>
          <cell r="BN9">
            <v>39.225879654943611</v>
          </cell>
          <cell r="BO9">
            <v>137.50587965494361</v>
          </cell>
          <cell r="BP9">
            <v>118.92250459731916</v>
          </cell>
          <cell r="BQ9">
            <v>120.70634216627896</v>
          </cell>
          <cell r="BR9">
            <v>122.5169372987731</v>
          </cell>
          <cell r="BS9">
            <v>124.3546913582547</v>
          </cell>
          <cell r="BT9">
            <v>126.22001172862851</v>
          </cell>
          <cell r="BU9">
            <v>128.11331190455795</v>
          </cell>
          <cell r="BV9">
            <v>130.03501158312628</v>
          </cell>
          <cell r="BW9">
            <v>131.98553675687316</v>
          </cell>
          <cell r="BX9">
            <v>133.96531980822624</v>
          </cell>
          <cell r="BY9">
            <v>135.9747996053496</v>
          </cell>
        </row>
        <row r="10">
          <cell r="A10" t="str">
            <v>Collectibles</v>
          </cell>
          <cell r="F10">
            <v>3.5000000000000003E-2</v>
          </cell>
          <cell r="G10">
            <v>3.5000000000000003E-2</v>
          </cell>
          <cell r="H10">
            <v>6.2230000000000008E-2</v>
          </cell>
          <cell r="I10">
            <v>0.12250000000000001</v>
          </cell>
          <cell r="J10">
            <v>0.20300000000000001</v>
          </cell>
          <cell r="K10">
            <v>0.43400000000000005</v>
          </cell>
          <cell r="L10">
            <v>0.82173000000000007</v>
          </cell>
          <cell r="M10">
            <v>0.58438303341902331</v>
          </cell>
          <cell r="N10">
            <v>0.55321593830334193</v>
          </cell>
          <cell r="O10">
            <v>0.71684318766066824</v>
          </cell>
          <cell r="P10">
            <v>0.84039845758354748</v>
          </cell>
          <cell r="Q10">
            <v>2.6948406169665811</v>
          </cell>
          <cell r="R10">
            <v>1.5260000000000002</v>
          </cell>
          <cell r="S10">
            <v>1.5470000000000002</v>
          </cell>
          <cell r="T10">
            <v>1.6800000000000002</v>
          </cell>
          <cell r="U10">
            <v>2.3940000000000006</v>
          </cell>
          <cell r="V10">
            <v>7.1470000000000002</v>
          </cell>
          <cell r="W10">
            <v>2.4220000000000002</v>
          </cell>
          <cell r="X10">
            <v>2.0790000000000002</v>
          </cell>
          <cell r="Y10">
            <v>2.3730000000000002</v>
          </cell>
          <cell r="Z10">
            <v>2.758</v>
          </cell>
          <cell r="AA10">
            <v>9.6320000000000014</v>
          </cell>
          <cell r="AB10">
            <v>3.2269999999999999</v>
          </cell>
          <cell r="AC10">
            <v>2.9259999999999997</v>
          </cell>
          <cell r="AD10">
            <v>3.2059999999999995</v>
          </cell>
          <cell r="AE10">
            <v>4.4869999999999992</v>
          </cell>
          <cell r="AF10">
            <v>13.845999999999997</v>
          </cell>
          <cell r="AG10">
            <v>4.2349999999999994</v>
          </cell>
          <cell r="AH10">
            <v>4.3749999999999991</v>
          </cell>
          <cell r="AI10">
            <v>4.585</v>
          </cell>
          <cell r="AJ10">
            <v>6.089999999999999</v>
          </cell>
          <cell r="AK10">
            <v>19.285</v>
          </cell>
          <cell r="AL10">
            <v>6.6499999999999995</v>
          </cell>
          <cell r="AM10">
            <v>6.9999999999999991</v>
          </cell>
          <cell r="AN10">
            <v>7.2099999999999991</v>
          </cell>
          <cell r="AO10">
            <v>9.17</v>
          </cell>
          <cell r="AP10">
            <v>30.03</v>
          </cell>
          <cell r="AQ10">
            <v>10.85</v>
          </cell>
          <cell r="AR10">
            <v>10.639999999999999</v>
          </cell>
          <cell r="AS10">
            <v>10.149999999999999</v>
          </cell>
          <cell r="AT10">
            <v>13.37</v>
          </cell>
          <cell r="AU10">
            <v>45.01</v>
          </cell>
          <cell r="AV10">
            <v>13.579999999999998</v>
          </cell>
          <cell r="AW10">
            <v>12.95</v>
          </cell>
          <cell r="AX10">
            <v>12.459999999999999</v>
          </cell>
          <cell r="AY10">
            <v>15.68</v>
          </cell>
          <cell r="AZ10">
            <v>54.669999999999995</v>
          </cell>
          <cell r="BA10">
            <v>13.649999999999999</v>
          </cell>
          <cell r="BB10">
            <v>13.299999999999999</v>
          </cell>
          <cell r="BC10">
            <v>14.139999999999999</v>
          </cell>
          <cell r="BD10">
            <v>18.27</v>
          </cell>
          <cell r="BE10">
            <v>59.359999999999992</v>
          </cell>
          <cell r="BF10">
            <v>15.049999999999999</v>
          </cell>
          <cell r="BG10">
            <v>13.86</v>
          </cell>
          <cell r="BH10">
            <v>13.579999999999998</v>
          </cell>
          <cell r="BI10">
            <v>18.409999999999997</v>
          </cell>
          <cell r="BJ10">
            <v>60.899999999999991</v>
          </cell>
          <cell r="BK10">
            <v>17.43</v>
          </cell>
          <cell r="BL10">
            <v>15.679999999999998</v>
          </cell>
          <cell r="BM10">
            <v>16.029999999999998</v>
          </cell>
          <cell r="BN10">
            <v>19.612939827471806</v>
          </cell>
          <cell r="BO10">
            <v>68.752939827471806</v>
          </cell>
          <cell r="BP10">
            <v>59.461252298659581</v>
          </cell>
          <cell r="BQ10">
            <v>60.353171083139479</v>
          </cell>
          <cell r="BR10">
            <v>61.25846864938655</v>
          </cell>
          <cell r="BS10">
            <v>62.177345679127349</v>
          </cell>
          <cell r="BT10">
            <v>63.110005864314253</v>
          </cell>
          <cell r="BU10">
            <v>64.056655952278973</v>
          </cell>
          <cell r="BV10">
            <v>65.017505791563138</v>
          </cell>
          <cell r="BW10">
            <v>65.99276837843658</v>
          </cell>
          <cell r="BX10">
            <v>66.98265990411312</v>
          </cell>
          <cell r="BY10">
            <v>67.987399802674801</v>
          </cell>
        </row>
        <row r="11">
          <cell r="A11" t="str">
            <v>Other</v>
          </cell>
          <cell r="F11">
            <v>2.5000000000000022E-2</v>
          </cell>
          <cell r="G11">
            <v>2.5000000000000022E-2</v>
          </cell>
          <cell r="H11">
            <v>4.4450000000000101E-2</v>
          </cell>
          <cell r="I11">
            <v>8.7500000000000133E-2</v>
          </cell>
          <cell r="J11">
            <v>0.14500000000000046</v>
          </cell>
          <cell r="K11">
            <v>0.30999999999999961</v>
          </cell>
          <cell r="L11">
            <v>0.5869500000000003</v>
          </cell>
          <cell r="M11">
            <v>0.41741645244215952</v>
          </cell>
          <cell r="N11">
            <v>0.39515424164524493</v>
          </cell>
          <cell r="O11">
            <v>0.51203084832904899</v>
          </cell>
          <cell r="P11">
            <v>5.8827892030848332</v>
          </cell>
          <cell r="Q11">
            <v>7.2073907455012867</v>
          </cell>
          <cell r="R11">
            <v>0.65399999999999991</v>
          </cell>
          <cell r="S11">
            <v>0.66300000000000026</v>
          </cell>
          <cell r="T11">
            <v>0.71999999999999886</v>
          </cell>
          <cell r="U11">
            <v>1.0259999999999962</v>
          </cell>
          <cell r="V11">
            <v>3.0629999999999953</v>
          </cell>
          <cell r="W11">
            <v>1.0379999999999967</v>
          </cell>
          <cell r="X11">
            <v>0.89100000000000179</v>
          </cell>
          <cell r="Y11">
            <v>1.017000000000003</v>
          </cell>
          <cell r="Z11">
            <v>1.1820000000000022</v>
          </cell>
          <cell r="AA11">
            <v>4.1280000000000037</v>
          </cell>
          <cell r="AB11">
            <v>1.3830000000000027</v>
          </cell>
          <cell r="AC11">
            <v>1.2539999999999978</v>
          </cell>
          <cell r="AD11">
            <v>1.3739999999999952</v>
          </cell>
          <cell r="AE11">
            <v>1.9230000000000018</v>
          </cell>
          <cell r="AF11">
            <v>5.9339999999999975</v>
          </cell>
          <cell r="AG11">
            <v>1.8149999999999977</v>
          </cell>
          <cell r="AH11">
            <v>1.875</v>
          </cell>
          <cell r="AI11">
            <v>1.9649999999999963</v>
          </cell>
          <cell r="AJ11">
            <v>2.6099999999999994</v>
          </cell>
          <cell r="AK11">
            <v>8.2649999999999935</v>
          </cell>
          <cell r="AL11">
            <v>2.8499999999999943</v>
          </cell>
          <cell r="AM11">
            <v>3</v>
          </cell>
          <cell r="AN11">
            <v>3.0900000000000034</v>
          </cell>
          <cell r="AO11">
            <v>3.9299999999999926</v>
          </cell>
          <cell r="AP11">
            <v>12.86999999999999</v>
          </cell>
          <cell r="AQ11">
            <v>4.6500000000000057</v>
          </cell>
          <cell r="AR11">
            <v>4.5600000000000023</v>
          </cell>
          <cell r="AS11">
            <v>4.3499999999999943</v>
          </cell>
          <cell r="AT11">
            <v>5.7299999999999613</v>
          </cell>
          <cell r="AU11">
            <v>19.289999999999964</v>
          </cell>
          <cell r="AV11">
            <v>5.8199999999999932</v>
          </cell>
          <cell r="AW11">
            <v>5.5499999999999829</v>
          </cell>
          <cell r="AX11">
            <v>5.3400000000000034</v>
          </cell>
          <cell r="AY11">
            <v>6.7200000000000841</v>
          </cell>
          <cell r="AZ11">
            <v>23.430000000000064</v>
          </cell>
          <cell r="BA11">
            <v>5.8499999999999943</v>
          </cell>
          <cell r="BB11">
            <v>5.6999999999999886</v>
          </cell>
          <cell r="BC11">
            <v>6.0600000000000307</v>
          </cell>
          <cell r="BD11">
            <v>7.8299999999999272</v>
          </cell>
          <cell r="BE11">
            <v>25.439999999999941</v>
          </cell>
          <cell r="BF11">
            <v>6.4499999999999886</v>
          </cell>
          <cell r="BG11">
            <v>5.9399999999999977</v>
          </cell>
          <cell r="BH11">
            <v>5.8199999999999932</v>
          </cell>
          <cell r="BI11">
            <v>7.8899999999999579</v>
          </cell>
          <cell r="BJ11">
            <v>26.100000000000023</v>
          </cell>
          <cell r="BK11">
            <v>7.4699999999999704</v>
          </cell>
          <cell r="BL11">
            <v>6.7199999999999989</v>
          </cell>
          <cell r="BM11">
            <v>6.8699999999999761</v>
          </cell>
          <cell r="BN11">
            <v>8.4055456403449966</v>
          </cell>
          <cell r="BO11">
            <v>29.465545640345113</v>
          </cell>
          <cell r="BP11">
            <v>25.48339384228268</v>
          </cell>
          <cell r="BQ11">
            <v>25.865644749916896</v>
          </cell>
          <cell r="BR11">
            <v>26.25362942116567</v>
          </cell>
          <cell r="BS11">
            <v>26.647433862483126</v>
          </cell>
          <cell r="BT11">
            <v>27.047145370420367</v>
          </cell>
          <cell r="BU11">
            <v>27.452852550976672</v>
          </cell>
          <cell r="BV11">
            <v>27.864645339241406</v>
          </cell>
          <cell r="BW11">
            <v>28.282615019330024</v>
          </cell>
          <cell r="BX11">
            <v>28.706854244619876</v>
          </cell>
          <cell r="BY11">
            <v>29.137457058289215</v>
          </cell>
        </row>
        <row r="12">
          <cell r="A12" t="str">
            <v>Total Revenues</v>
          </cell>
          <cell r="F12">
            <v>0.5</v>
          </cell>
          <cell r="G12">
            <v>0.5</v>
          </cell>
          <cell r="H12">
            <v>0.88900000000000001</v>
          </cell>
          <cell r="I12">
            <v>1.75</v>
          </cell>
          <cell r="J12">
            <v>2.9</v>
          </cell>
          <cell r="K12">
            <v>6.2</v>
          </cell>
          <cell r="L12">
            <v>11.739000000000001</v>
          </cell>
          <cell r="M12">
            <v>8.3483290488431887</v>
          </cell>
          <cell r="N12">
            <v>7.9030848329048835</v>
          </cell>
          <cell r="O12">
            <v>10.240616966580975</v>
          </cell>
          <cell r="P12">
            <v>16.80796915167095</v>
          </cell>
          <cell r="Q12">
            <v>43.3</v>
          </cell>
          <cell r="R12">
            <v>21.8</v>
          </cell>
          <cell r="S12">
            <v>22.1</v>
          </cell>
          <cell r="T12">
            <v>24</v>
          </cell>
          <cell r="U12">
            <v>34.200000000000003</v>
          </cell>
          <cell r="V12">
            <v>102.10000000000001</v>
          </cell>
          <cell r="W12">
            <v>34.6</v>
          </cell>
          <cell r="X12">
            <v>29.7</v>
          </cell>
          <cell r="Y12">
            <v>33.9</v>
          </cell>
          <cell r="Z12">
            <v>39.4</v>
          </cell>
          <cell r="AA12">
            <v>137.6</v>
          </cell>
          <cell r="AB12">
            <v>46.1</v>
          </cell>
          <cell r="AC12">
            <v>41.8</v>
          </cell>
          <cell r="AD12">
            <v>45.8</v>
          </cell>
          <cell r="AE12">
            <v>64.099999999999994</v>
          </cell>
          <cell r="AF12">
            <v>197.79999999999998</v>
          </cell>
          <cell r="AG12">
            <v>60.5</v>
          </cell>
          <cell r="AH12">
            <v>62.5</v>
          </cell>
          <cell r="AI12">
            <v>65.5</v>
          </cell>
          <cell r="AJ12">
            <v>87</v>
          </cell>
          <cell r="AK12">
            <v>275.5</v>
          </cell>
          <cell r="AL12">
            <v>95</v>
          </cell>
          <cell r="AM12">
            <v>100</v>
          </cell>
          <cell r="AN12">
            <v>103</v>
          </cell>
          <cell r="AO12">
            <v>131</v>
          </cell>
          <cell r="AP12">
            <v>429</v>
          </cell>
          <cell r="AQ12">
            <v>155</v>
          </cell>
          <cell r="AR12">
            <v>152</v>
          </cell>
          <cell r="AS12">
            <v>145</v>
          </cell>
          <cell r="AT12">
            <v>191</v>
          </cell>
          <cell r="AU12">
            <v>643</v>
          </cell>
          <cell r="AV12">
            <v>194</v>
          </cell>
          <cell r="AW12">
            <v>185</v>
          </cell>
          <cell r="AX12">
            <v>178</v>
          </cell>
          <cell r="AY12">
            <v>224</v>
          </cell>
          <cell r="AZ12">
            <v>781</v>
          </cell>
          <cell r="BA12">
            <v>195</v>
          </cell>
          <cell r="BB12">
            <v>190</v>
          </cell>
          <cell r="BC12">
            <v>202</v>
          </cell>
          <cell r="BD12">
            <v>261</v>
          </cell>
          <cell r="BE12">
            <v>848</v>
          </cell>
          <cell r="BF12">
            <v>215</v>
          </cell>
          <cell r="BG12">
            <v>198</v>
          </cell>
          <cell r="BH12">
            <v>194</v>
          </cell>
          <cell r="BI12">
            <v>263</v>
          </cell>
          <cell r="BJ12">
            <v>870</v>
          </cell>
          <cell r="BK12">
            <v>249</v>
          </cell>
          <cell r="BL12">
            <v>224</v>
          </cell>
          <cell r="BM12">
            <v>229</v>
          </cell>
          <cell r="BN12">
            <v>280.18485467816868</v>
          </cell>
          <cell r="BO12">
            <v>982.18485467816868</v>
          </cell>
          <cell r="BP12">
            <v>849.44646140942268</v>
          </cell>
          <cell r="BQ12">
            <v>862.18815833056408</v>
          </cell>
          <cell r="BR12">
            <v>875.12098070552224</v>
          </cell>
          <cell r="BS12">
            <v>888.24779541610508</v>
          </cell>
          <cell r="BT12">
            <v>901.57151234734658</v>
          </cell>
          <cell r="BU12">
            <v>915.09508503255677</v>
          </cell>
          <cell r="BV12">
            <v>928.82151130804493</v>
          </cell>
          <cell r="BW12">
            <v>942.75383397766552</v>
          </cell>
          <cell r="BX12">
            <v>956.89514148733042</v>
          </cell>
          <cell r="BY12">
            <v>971.24856860964019</v>
          </cell>
        </row>
        <row r="13">
          <cell r="A13" t="str">
            <v>% Change</v>
          </cell>
          <cell r="M13">
            <v>8.3906963429057235</v>
          </cell>
          <cell r="N13">
            <v>3.5160484759456478</v>
          </cell>
          <cell r="O13">
            <v>2.5312472298555084</v>
          </cell>
          <cell r="P13">
            <v>1.7109627663985401</v>
          </cell>
          <cell r="Q13">
            <v>2.6885595025129905</v>
          </cell>
          <cell r="R13">
            <v>1.6113010007698225</v>
          </cell>
          <cell r="S13">
            <v>1.7963764108902844</v>
          </cell>
          <cell r="T13">
            <v>1.3436087960638625</v>
          </cell>
          <cell r="U13">
            <v>1.0347490938011412</v>
          </cell>
          <cell r="V13">
            <v>1.35796766743649</v>
          </cell>
          <cell r="W13">
            <v>0.58715596330275233</v>
          </cell>
          <cell r="X13">
            <v>0.34389140271493202</v>
          </cell>
          <cell r="Y13">
            <v>0.41249999999999987</v>
          </cell>
          <cell r="Z13">
            <v>0.15204678362573087</v>
          </cell>
          <cell r="AA13">
            <v>0.34769833496571967</v>
          </cell>
          <cell r="AB13">
            <v>0.33236994219653182</v>
          </cell>
          <cell r="AC13">
            <v>0.40740740740740744</v>
          </cell>
          <cell r="AD13">
            <v>0.35103244837758107</v>
          </cell>
          <cell r="AE13">
            <v>0.62690355329949221</v>
          </cell>
          <cell r="AF13">
            <v>0.4375</v>
          </cell>
          <cell r="AG13">
            <v>0.31236442516268981</v>
          </cell>
          <cell r="AH13">
            <v>0.49521531100478478</v>
          </cell>
          <cell r="AI13">
            <v>0.43013100436681229</v>
          </cell>
          <cell r="AJ13">
            <v>0.35725429017160693</v>
          </cell>
          <cell r="AK13">
            <v>0.39282103134479285</v>
          </cell>
          <cell r="AL13">
            <v>0.57024793388429762</v>
          </cell>
          <cell r="AM13">
            <v>0.60000000000000009</v>
          </cell>
          <cell r="AN13">
            <v>0.5725190839694656</v>
          </cell>
          <cell r="AO13">
            <v>0.50574712643678166</v>
          </cell>
          <cell r="AP13">
            <v>0.55716878402903802</v>
          </cell>
          <cell r="AQ13">
            <v>0.63157894736842102</v>
          </cell>
          <cell r="AR13">
            <v>0.52</v>
          </cell>
          <cell r="AS13">
            <v>0.40776699029126218</v>
          </cell>
          <cell r="AT13">
            <v>0.45801526717557262</v>
          </cell>
          <cell r="AU13">
            <v>0.49883449883449882</v>
          </cell>
          <cell r="AV13">
            <v>0.25161290322580654</v>
          </cell>
          <cell r="AW13">
            <v>0.21710526315789469</v>
          </cell>
          <cell r="AX13">
            <v>0.22758620689655173</v>
          </cell>
          <cell r="AY13">
            <v>0.17277486910994755</v>
          </cell>
          <cell r="AZ13">
            <v>0.21461897356143078</v>
          </cell>
          <cell r="BA13">
            <v>5.1546391752577136E-3</v>
          </cell>
          <cell r="BB13">
            <v>2.7027027027026973E-2</v>
          </cell>
          <cell r="BC13">
            <v>0.13483146067415741</v>
          </cell>
          <cell r="BD13">
            <v>0.1651785714285714</v>
          </cell>
          <cell r="BE13">
            <v>8.578745198463511E-2</v>
          </cell>
          <cell r="BF13">
            <v>0.10256410256410264</v>
          </cell>
          <cell r="BG13">
            <v>4.2105263157894646E-2</v>
          </cell>
          <cell r="BH13">
            <v>-3.9603960396039639E-2</v>
          </cell>
          <cell r="BI13">
            <v>7.6628352490422103E-3</v>
          </cell>
          <cell r="BJ13">
            <v>2.5943396226415061E-2</v>
          </cell>
          <cell r="BK13">
            <v>0.1581395348837209</v>
          </cell>
          <cell r="BL13">
            <v>0.13131313131313127</v>
          </cell>
          <cell r="BM13">
            <v>0.18041237113402064</v>
          </cell>
          <cell r="BN13">
            <v>6.5341652768702296E-2</v>
          </cell>
          <cell r="BO13">
            <v>0.12894810882548113</v>
          </cell>
          <cell r="BP13">
            <v>-0.13514603960396054</v>
          </cell>
          <cell r="BQ13">
            <v>1.5000000000000124E-2</v>
          </cell>
          <cell r="BR13">
            <v>1.499999999999968E-2</v>
          </cell>
          <cell r="BS13">
            <v>1.4999999999999902E-2</v>
          </cell>
          <cell r="BT13">
            <v>1.4999999999999902E-2</v>
          </cell>
          <cell r="BU13">
            <v>1.4999999999999902E-2</v>
          </cell>
          <cell r="BV13">
            <v>1.4999999999999902E-2</v>
          </cell>
          <cell r="BW13">
            <v>1.4999999999999902E-2</v>
          </cell>
          <cell r="BX13">
            <v>1.4999999999999902E-2</v>
          </cell>
          <cell r="BY13">
            <v>1.4999999999999902E-2</v>
          </cell>
        </row>
        <row r="14">
          <cell r="A14" t="str">
            <v>Cost of Goods Sold</v>
          </cell>
          <cell r="F14">
            <v>0.5</v>
          </cell>
          <cell r="G14">
            <v>0.5</v>
          </cell>
          <cell r="H14">
            <v>0.192913</v>
          </cell>
          <cell r="I14">
            <v>1.6695</v>
          </cell>
          <cell r="J14">
            <v>1.8008999999999999</v>
          </cell>
          <cell r="K14">
            <v>7.0369999999999999</v>
          </cell>
          <cell r="L14">
            <v>10.700313000000001</v>
          </cell>
          <cell r="M14">
            <v>6.5558290488431883</v>
          </cell>
          <cell r="N14">
            <v>6.1777848329048837</v>
          </cell>
          <cell r="O14">
            <v>7.5174169665809742</v>
          </cell>
          <cell r="P14">
            <v>12.05146915167095</v>
          </cell>
          <cell r="Q14">
            <v>32.302499999999995</v>
          </cell>
          <cell r="R14">
            <v>15.6188</v>
          </cell>
          <cell r="S14">
            <v>15.4785</v>
          </cell>
          <cell r="T14">
            <v>16.718399999999999</v>
          </cell>
          <cell r="U14">
            <v>28.539600000000004</v>
          </cell>
          <cell r="V14">
            <v>76.355300000000014</v>
          </cell>
          <cell r="W14">
            <v>24.773600000000002</v>
          </cell>
          <cell r="X14">
            <v>21.0276</v>
          </cell>
          <cell r="Y14">
            <v>23.7639</v>
          </cell>
          <cell r="Z14">
            <v>26.9102</v>
          </cell>
          <cell r="AA14">
            <v>96.47529999999999</v>
          </cell>
          <cell r="AB14">
            <v>32.777100000000004</v>
          </cell>
          <cell r="AC14">
            <v>29.928799999999999</v>
          </cell>
          <cell r="AD14">
            <v>31.647799999999997</v>
          </cell>
          <cell r="AE14">
            <v>44.228999999999999</v>
          </cell>
          <cell r="AF14">
            <v>138.58269999999999</v>
          </cell>
          <cell r="AG14">
            <v>41.6845</v>
          </cell>
          <cell r="AH14">
            <v>44.625</v>
          </cell>
          <cell r="AI14">
            <v>44.9985</v>
          </cell>
          <cell r="AJ14">
            <v>59.420999999999999</v>
          </cell>
          <cell r="AK14">
            <v>190.72899999999998</v>
          </cell>
          <cell r="AL14">
            <v>64.125</v>
          </cell>
          <cell r="AM14">
            <v>65.599999999999994</v>
          </cell>
          <cell r="AN14">
            <v>66.435000000000002</v>
          </cell>
          <cell r="AO14">
            <v>84.495000000000005</v>
          </cell>
          <cell r="AP14">
            <v>280.65499999999997</v>
          </cell>
          <cell r="AQ14">
            <v>99.2</v>
          </cell>
          <cell r="AR14">
            <v>97.432000000000002</v>
          </cell>
          <cell r="AS14">
            <v>91.35</v>
          </cell>
          <cell r="AT14">
            <v>126.06</v>
          </cell>
          <cell r="AU14">
            <v>414.04200000000003</v>
          </cell>
          <cell r="AV14">
            <v>122.22</v>
          </cell>
          <cell r="AW14">
            <v>118.4</v>
          </cell>
          <cell r="AX14">
            <v>115.7</v>
          </cell>
          <cell r="AY14">
            <v>143.36000000000001</v>
          </cell>
          <cell r="AZ14">
            <v>499.68</v>
          </cell>
          <cell r="BA14">
            <v>124.8</v>
          </cell>
          <cell r="BB14">
            <v>121.60000000000001</v>
          </cell>
          <cell r="BC14">
            <v>127.26</v>
          </cell>
          <cell r="BD14">
            <v>160.57999999999998</v>
          </cell>
          <cell r="BE14">
            <v>534.24</v>
          </cell>
          <cell r="BF14">
            <v>139.75</v>
          </cell>
          <cell r="BG14">
            <v>128.69999999999999</v>
          </cell>
          <cell r="BH14">
            <v>124.16</v>
          </cell>
          <cell r="BI14">
            <v>162.01500000000001</v>
          </cell>
          <cell r="BJ14">
            <v>554.625</v>
          </cell>
          <cell r="BK14">
            <v>161.85000000000002</v>
          </cell>
          <cell r="BL14">
            <v>147.83999999999997</v>
          </cell>
          <cell r="BM14">
            <v>148.85000000000002</v>
          </cell>
          <cell r="BN14">
            <v>174.96923126741882</v>
          </cell>
          <cell r="BO14">
            <v>633.50923126741884</v>
          </cell>
          <cell r="BP14">
            <v>547.89296760907769</v>
          </cell>
          <cell r="BQ14">
            <v>551.80042133156098</v>
          </cell>
          <cell r="BR14">
            <v>560.07742765153421</v>
          </cell>
          <cell r="BS14">
            <v>568.47858906630722</v>
          </cell>
          <cell r="BT14">
            <v>577.00576790230184</v>
          </cell>
          <cell r="BU14">
            <v>585.66085442083636</v>
          </cell>
          <cell r="BV14">
            <v>594.44576723714874</v>
          </cell>
          <cell r="BW14">
            <v>603.36245374570592</v>
          </cell>
          <cell r="BX14">
            <v>612.41289055189145</v>
          </cell>
          <cell r="BY14">
            <v>621.59908391016972</v>
          </cell>
        </row>
        <row r="15">
          <cell r="A15" t="str">
            <v>Gross Profit</v>
          </cell>
          <cell r="F15">
            <v>0</v>
          </cell>
          <cell r="G15">
            <v>0</v>
          </cell>
          <cell r="H15">
            <v>0.69608700000000001</v>
          </cell>
          <cell r="I15">
            <v>8.0500000000000002E-2</v>
          </cell>
          <cell r="J15">
            <v>1.0991</v>
          </cell>
          <cell r="K15">
            <v>-0.83700000000000008</v>
          </cell>
          <cell r="L15">
            <v>1.0386869999999999</v>
          </cell>
          <cell r="M15">
            <v>1.7925</v>
          </cell>
          <cell r="N15">
            <v>1.7252999999999998</v>
          </cell>
          <cell r="O15">
            <v>2.7231999999999998</v>
          </cell>
          <cell r="P15">
            <v>4.7565</v>
          </cell>
          <cell r="Q15">
            <v>10.997499999999999</v>
          </cell>
          <cell r="R15">
            <v>6.1811999999999996</v>
          </cell>
          <cell r="S15">
            <v>6.6215000000000002</v>
          </cell>
          <cell r="T15">
            <v>7.2816000000000001</v>
          </cell>
          <cell r="U15">
            <v>5.6604000000000001</v>
          </cell>
          <cell r="V15">
            <v>25.744699999999998</v>
          </cell>
          <cell r="W15">
            <v>9.8264000000000014</v>
          </cell>
          <cell r="X15">
            <v>8.6723999999999997</v>
          </cell>
          <cell r="Y15">
            <v>10.136099999999999</v>
          </cell>
          <cell r="Z15">
            <v>12.489799999999999</v>
          </cell>
          <cell r="AA15">
            <v>41.124700000000004</v>
          </cell>
          <cell r="AB15">
            <v>13.322899999999999</v>
          </cell>
          <cell r="AC15">
            <v>11.871199999999998</v>
          </cell>
          <cell r="AD15">
            <v>14.152199999999999</v>
          </cell>
          <cell r="AE15">
            <v>19.870999999999999</v>
          </cell>
          <cell r="AF15">
            <v>59.217299999999994</v>
          </cell>
          <cell r="AG15">
            <v>18.8155</v>
          </cell>
          <cell r="AH15">
            <v>17.875</v>
          </cell>
          <cell r="AI15">
            <v>20.5015</v>
          </cell>
          <cell r="AJ15">
            <v>27.579000000000001</v>
          </cell>
          <cell r="AK15">
            <v>84.771000000000001</v>
          </cell>
          <cell r="AL15">
            <v>30.875</v>
          </cell>
          <cell r="AM15">
            <v>34.4</v>
          </cell>
          <cell r="AN15">
            <v>36.564999999999998</v>
          </cell>
          <cell r="AO15">
            <v>46.504999999999995</v>
          </cell>
          <cell r="AP15">
            <v>148.345</v>
          </cell>
          <cell r="AQ15">
            <v>55.8</v>
          </cell>
          <cell r="AR15">
            <v>54.567999999999998</v>
          </cell>
          <cell r="AS15">
            <v>53.65</v>
          </cell>
          <cell r="AT15">
            <v>64.94</v>
          </cell>
          <cell r="AU15">
            <v>228.958</v>
          </cell>
          <cell r="AV15">
            <v>71.78</v>
          </cell>
          <cell r="AW15">
            <v>66.599999999999994</v>
          </cell>
          <cell r="AX15">
            <v>62.3</v>
          </cell>
          <cell r="AY15">
            <v>80.64</v>
          </cell>
          <cell r="AZ15">
            <v>281.32</v>
          </cell>
          <cell r="BA15">
            <v>70.2</v>
          </cell>
          <cell r="BB15">
            <v>68.399999999999991</v>
          </cell>
          <cell r="BC15">
            <v>74.739999999999995</v>
          </cell>
          <cell r="BD15">
            <v>100.42000000000003</v>
          </cell>
          <cell r="BE15">
            <v>313.76</v>
          </cell>
          <cell r="BF15">
            <v>75.25</v>
          </cell>
          <cell r="BG15">
            <v>69.3</v>
          </cell>
          <cell r="BH15">
            <v>69.84</v>
          </cell>
          <cell r="BI15">
            <v>100.98499999999999</v>
          </cell>
          <cell r="BJ15">
            <v>315.375</v>
          </cell>
          <cell r="BK15">
            <v>87.149999999999991</v>
          </cell>
          <cell r="BL15">
            <v>76.160000000000011</v>
          </cell>
          <cell r="BM15">
            <v>80.149999999999991</v>
          </cell>
          <cell r="BN15">
            <v>105.21562341074984</v>
          </cell>
          <cell r="BO15">
            <v>348.67562341074984</v>
          </cell>
          <cell r="BP15">
            <v>301.55349380034505</v>
          </cell>
          <cell r="BQ15">
            <v>310.38773699900304</v>
          </cell>
          <cell r="BR15">
            <v>315.04355305398798</v>
          </cell>
          <cell r="BS15">
            <v>319.7692063497978</v>
          </cell>
          <cell r="BT15">
            <v>324.56574444504474</v>
          </cell>
          <cell r="BU15">
            <v>329.43423061172041</v>
          </cell>
          <cell r="BV15">
            <v>334.37574407089619</v>
          </cell>
          <cell r="BW15">
            <v>339.3913802319596</v>
          </cell>
          <cell r="BX15">
            <v>344.48225093543891</v>
          </cell>
          <cell r="BY15">
            <v>349.64948469947046</v>
          </cell>
        </row>
        <row r="16">
          <cell r="A16" t="str">
            <v>Gross Margin</v>
          </cell>
          <cell r="F16">
            <v>0</v>
          </cell>
          <cell r="G16">
            <v>0</v>
          </cell>
          <cell r="H16">
            <v>0.78300000000000003</v>
          </cell>
          <cell r="I16">
            <v>4.5999999999999999E-2</v>
          </cell>
          <cell r="J16">
            <v>0.379</v>
          </cell>
          <cell r="K16">
            <v>-0.13500000000000001</v>
          </cell>
          <cell r="L16">
            <v>8.8481727574750813E-2</v>
          </cell>
          <cell r="M16">
            <v>0.21471362586605078</v>
          </cell>
          <cell r="N16">
            <v>0.21830715935334874</v>
          </cell>
          <cell r="O16">
            <v>0.26592147806004623</v>
          </cell>
          <cell r="P16">
            <v>0.28299076212471136</v>
          </cell>
          <cell r="Q16">
            <v>0.25398383371824479</v>
          </cell>
          <cell r="R16">
            <v>0.28354128440366971</v>
          </cell>
          <cell r="S16">
            <v>0.29961538461538462</v>
          </cell>
          <cell r="T16">
            <v>0.3034</v>
          </cell>
          <cell r="U16">
            <v>0.16550877192982455</v>
          </cell>
          <cell r="V16">
            <v>0.25215181194906949</v>
          </cell>
          <cell r="W16">
            <v>0.28400000000000003</v>
          </cell>
          <cell r="X16">
            <v>0.29199999999999998</v>
          </cell>
          <cell r="Y16">
            <v>0.29899999999999999</v>
          </cell>
          <cell r="Z16">
            <v>0.317</v>
          </cell>
          <cell r="AA16">
            <v>0.29887136627906979</v>
          </cell>
          <cell r="AB16">
            <v>0.28899999999999998</v>
          </cell>
          <cell r="AC16">
            <v>0.28399999999999997</v>
          </cell>
          <cell r="AD16">
            <v>0.309</v>
          </cell>
          <cell r="AE16">
            <v>0.31</v>
          </cell>
          <cell r="AF16">
            <v>0.29937967644084934</v>
          </cell>
          <cell r="AG16">
            <v>0.311</v>
          </cell>
          <cell r="AH16">
            <v>0.28599999999999998</v>
          </cell>
          <cell r="AI16">
            <v>0.313</v>
          </cell>
          <cell r="AJ16">
            <v>0.317</v>
          </cell>
          <cell r="AK16">
            <v>0.30769872958257716</v>
          </cell>
          <cell r="AL16">
            <v>0.32500000000000001</v>
          </cell>
          <cell r="AM16">
            <v>0.34399999999999997</v>
          </cell>
          <cell r="AN16">
            <v>0.35499999999999998</v>
          </cell>
          <cell r="AO16">
            <v>0.35499999999999998</v>
          </cell>
          <cell r="AP16">
            <v>0.34579254079254079</v>
          </cell>
          <cell r="AQ16">
            <v>0.36</v>
          </cell>
          <cell r="AR16">
            <v>0.35899999999999999</v>
          </cell>
          <cell r="AS16">
            <v>0.37</v>
          </cell>
          <cell r="AT16">
            <v>0.34</v>
          </cell>
          <cell r="AU16">
            <v>0.35607776049766721</v>
          </cell>
          <cell r="AV16">
            <v>0.37</v>
          </cell>
          <cell r="AW16">
            <v>0.36</v>
          </cell>
          <cell r="AX16">
            <v>0.35</v>
          </cell>
          <cell r="AY16">
            <v>0.36</v>
          </cell>
          <cell r="AZ16">
            <v>0.36020486555697823</v>
          </cell>
          <cell r="BA16">
            <v>0.36</v>
          </cell>
          <cell r="BB16">
            <v>0.36</v>
          </cell>
          <cell r="BC16">
            <v>0.37</v>
          </cell>
          <cell r="BD16">
            <v>0.38475095785440627</v>
          </cell>
          <cell r="BE16">
            <v>0.37</v>
          </cell>
          <cell r="BF16">
            <v>0.35</v>
          </cell>
          <cell r="BG16">
            <v>0.35</v>
          </cell>
          <cell r="BH16">
            <v>0.36</v>
          </cell>
          <cell r="BI16">
            <v>0.3839733840304182</v>
          </cell>
          <cell r="BJ16">
            <v>0.36249999999999999</v>
          </cell>
          <cell r="BK16">
            <v>0.35</v>
          </cell>
          <cell r="BL16">
            <v>0.34</v>
          </cell>
          <cell r="BM16">
            <v>0.35</v>
          </cell>
          <cell r="BN16">
            <v>0.37552216564883434</v>
          </cell>
          <cell r="BO16">
            <v>0.35499999999999998</v>
          </cell>
          <cell r="BP16">
            <v>0.35499999999999998</v>
          </cell>
          <cell r="BQ16">
            <v>0.36</v>
          </cell>
          <cell r="BR16">
            <v>0.36</v>
          </cell>
          <cell r="BS16">
            <v>0.36</v>
          </cell>
          <cell r="BT16">
            <v>0.36</v>
          </cell>
          <cell r="BU16">
            <v>0.36</v>
          </cell>
          <cell r="BV16">
            <v>0.36</v>
          </cell>
          <cell r="BW16">
            <v>0.36</v>
          </cell>
          <cell r="BX16">
            <v>0.36</v>
          </cell>
          <cell r="BY16">
            <v>0.36</v>
          </cell>
        </row>
        <row r="18">
          <cell r="A18" t="str">
            <v>€  per US$</v>
          </cell>
          <cell r="V18">
            <v>0.9374707040404987</v>
          </cell>
          <cell r="AG18">
            <v>1.1402320312499998</v>
          </cell>
          <cell r="AH18">
            <v>1.0896576400000002</v>
          </cell>
          <cell r="AI18">
            <v>1.0164341990909089</v>
          </cell>
          <cell r="AJ18">
            <v>0.99940729500000003</v>
          </cell>
          <cell r="AK18">
            <v>1.0548548642325934</v>
          </cell>
          <cell r="AL18">
            <v>0.93209592359375004</v>
          </cell>
          <cell r="AM18">
            <v>0.91325811464285711</v>
          </cell>
          <cell r="AN18">
            <v>0.85750000000000004</v>
          </cell>
          <cell r="AO18">
            <v>0.83954949409090862</v>
          </cell>
          <cell r="AP18">
            <v>0.88153475042331231</v>
          </cell>
          <cell r="AQ18">
            <v>0.8</v>
          </cell>
          <cell r="AR18">
            <v>0.82946250829462509</v>
          </cell>
          <cell r="AS18">
            <v>0.81818743742424183</v>
          </cell>
          <cell r="AT18">
            <v>0.76988220802217266</v>
          </cell>
          <cell r="AU18">
            <v>0.80211972226988038</v>
          </cell>
          <cell r="AV18">
            <v>0.76295109483482115</v>
          </cell>
          <cell r="AW18">
            <v>0.7949632738461534</v>
          </cell>
          <cell r="AX18">
            <v>0.81953778069168992</v>
          </cell>
          <cell r="AY18">
            <v>0.84118438761776571</v>
          </cell>
          <cell r="AZ18">
            <v>0.80586907279000508</v>
          </cell>
          <cell r="BA18">
            <v>0.83180835135584763</v>
          </cell>
          <cell r="BB18">
            <v>0.79600000000000004</v>
          </cell>
          <cell r="BC18">
            <v>0.78500000000000003</v>
          </cell>
          <cell r="BD18">
            <v>0.78700000000000003</v>
          </cell>
          <cell r="BE18">
            <v>0.79884390154998852</v>
          </cell>
          <cell r="BF18">
            <v>0.7630091453030301</v>
          </cell>
          <cell r="BG18">
            <v>0.74171685393939413</v>
          </cell>
          <cell r="BH18">
            <v>0.72791568545454555</v>
          </cell>
          <cell r="BI18">
            <v>0.69096116970149257</v>
          </cell>
          <cell r="BJ18">
            <v>0.72855785509175386</v>
          </cell>
          <cell r="BK18">
            <v>0.66800825106060602</v>
          </cell>
          <cell r="BL18">
            <v>0.63983611982142852</v>
          </cell>
          <cell r="BM18">
            <v>0.66567690537313406</v>
          </cell>
          <cell r="BN18">
            <v>0.68</v>
          </cell>
          <cell r="BO18">
            <v>0.66446051856454003</v>
          </cell>
          <cell r="BP18">
            <v>0.76923076923076916</v>
          </cell>
          <cell r="BQ18">
            <v>0.76923076923076916</v>
          </cell>
          <cell r="BR18">
            <v>0.76923076923076916</v>
          </cell>
          <cell r="BS18">
            <v>0.76923076923076916</v>
          </cell>
          <cell r="BT18">
            <v>0.76923076923076916</v>
          </cell>
          <cell r="BU18">
            <v>0.76923076923076916</v>
          </cell>
          <cell r="BV18">
            <v>0.76923076923076916</v>
          </cell>
          <cell r="BW18">
            <v>0.76923076923076916</v>
          </cell>
          <cell r="BX18">
            <v>0.76923076923076916</v>
          </cell>
          <cell r="BY18">
            <v>0.76923076923076916</v>
          </cell>
        </row>
        <row r="19">
          <cell r="A19" t="str">
            <v>Sales €</v>
          </cell>
          <cell r="V19">
            <v>95.715758882534928</v>
          </cell>
          <cell r="AG19">
            <v>68.98403789062499</v>
          </cell>
          <cell r="AH19">
            <v>68.103602500000008</v>
          </cell>
          <cell r="AI19">
            <v>66.576440040454528</v>
          </cell>
          <cell r="AJ19">
            <v>86.948434665000008</v>
          </cell>
          <cell r="AK19">
            <v>290.61251509607951</v>
          </cell>
          <cell r="AL19">
            <v>88.549112741406248</v>
          </cell>
          <cell r="AM19">
            <v>91.325811464285707</v>
          </cell>
          <cell r="AN19">
            <v>88.322500000000005</v>
          </cell>
          <cell r="AO19">
            <v>109.98098372590903</v>
          </cell>
          <cell r="AP19">
            <v>378.17840793160099</v>
          </cell>
          <cell r="AQ19">
            <v>124</v>
          </cell>
          <cell r="AR19">
            <v>126.07830126078301</v>
          </cell>
          <cell r="AS19">
            <v>118.63717842651506</v>
          </cell>
          <cell r="AT19">
            <v>147.04750173223499</v>
          </cell>
          <cell r="AU19">
            <v>515.76298141953305</v>
          </cell>
          <cell r="AV19">
            <v>148.01251239795531</v>
          </cell>
          <cell r="AW19">
            <v>147.06820566153837</v>
          </cell>
          <cell r="AX19">
            <v>145.87772496312081</v>
          </cell>
          <cell r="AY19">
            <v>188.42530282637952</v>
          </cell>
          <cell r="AZ19">
            <v>629.38374584899395</v>
          </cell>
          <cell r="BA19">
            <v>162.20262851439028</v>
          </cell>
          <cell r="BB19">
            <v>151.24</v>
          </cell>
          <cell r="BC19">
            <v>158.57</v>
          </cell>
          <cell r="BD19">
            <v>205.40700000000001</v>
          </cell>
          <cell r="BE19">
            <v>677.4196285143903</v>
          </cell>
          <cell r="BF19">
            <v>164.04696624015148</v>
          </cell>
          <cell r="BG19">
            <v>146.85993708000004</v>
          </cell>
          <cell r="BH19">
            <v>141.21564297818185</v>
          </cell>
          <cell r="BI19">
            <v>181.72278763149254</v>
          </cell>
          <cell r="BJ19">
            <v>633.84533392982587</v>
          </cell>
          <cell r="BK19">
            <v>166.33405451409089</v>
          </cell>
          <cell r="BL19">
            <v>143.32329084</v>
          </cell>
          <cell r="BM19">
            <v>152.4400113304477</v>
          </cell>
          <cell r="BN19">
            <v>190.52570118115472</v>
          </cell>
          <cell r="BO19">
            <v>652.62305786569334</v>
          </cell>
          <cell r="BP19">
            <v>653.42035493032506</v>
          </cell>
          <cell r="BQ19">
            <v>663.22166025427998</v>
          </cell>
          <cell r="BR19">
            <v>673.16998515809394</v>
          </cell>
          <cell r="BS19">
            <v>683.26753493546539</v>
          </cell>
          <cell r="BT19">
            <v>693.5165479594973</v>
          </cell>
          <cell r="BU19">
            <v>703.91929617888979</v>
          </cell>
          <cell r="BV19">
            <v>714.47808562157297</v>
          </cell>
          <cell r="BW19">
            <v>725.19525690589649</v>
          </cell>
          <cell r="BX19">
            <v>736.07318575948489</v>
          </cell>
          <cell r="BY19">
            <v>747.11428354587702</v>
          </cell>
        </row>
        <row r="20">
          <cell r="A20" t="str">
            <v>% Change (€)</v>
          </cell>
          <cell r="AL20">
            <v>0.28361742004435753</v>
          </cell>
          <cell r="AM20">
            <v>0.3409835619824324</v>
          </cell>
          <cell r="AN20">
            <v>0.32663296424878974</v>
          </cell>
          <cell r="AO20">
            <v>0.26489895016109455</v>
          </cell>
          <cell r="AQ20">
            <v>0.40035282298223018</v>
          </cell>
          <cell r="AR20">
            <v>0.38053305236808943</v>
          </cell>
          <cell r="AS20">
            <v>0.34322713268436766</v>
          </cell>
          <cell r="AT20">
            <v>0.33702660906090753</v>
          </cell>
          <cell r="AU20">
            <v>0.36380864322855855</v>
          </cell>
          <cell r="AV20">
            <v>0.19364929353189764</v>
          </cell>
          <cell r="AW20">
            <v>0.16648308385230703</v>
          </cell>
          <cell r="AX20">
            <v>0.22961222525600422</v>
          </cell>
          <cell r="AY20">
            <v>0.28139071121038906</v>
          </cell>
          <cell r="AZ20">
            <v>0.22029647051586143</v>
          </cell>
          <cell r="BA20">
            <v>9.5871057700058326E-2</v>
          </cell>
          <cell r="BB20">
            <v>2.8366391768337662E-2</v>
          </cell>
          <cell r="BC20">
            <v>8.7006258426966188E-2</v>
          </cell>
          <cell r="BD20">
            <v>9.0124292857143073E-2</v>
          </cell>
          <cell r="BE20">
            <v>7.6322089634836887E-2</v>
          </cell>
          <cell r="BF20">
            <v>1.1370578532872377E-2</v>
          </cell>
          <cell r="BG20">
            <v>-2.8961008463369242E-2</v>
          </cell>
          <cell r="BH20">
            <v>-0.10944287710044864</v>
          </cell>
          <cell r="BI20">
            <v>-0.1153038229880553</v>
          </cell>
          <cell r="BJ20">
            <v>-6.4323932685748542E-2</v>
          </cell>
          <cell r="BK20">
            <v>1.3941667598968532E-2</v>
          </cell>
          <cell r="BL20">
            <v>-2.4081763279480972E-2</v>
          </cell>
          <cell r="BM20">
            <v>7.9483888013738291E-2</v>
          </cell>
          <cell r="BN20">
            <v>4.8441440197985575E-2</v>
          </cell>
          <cell r="BO20">
            <v>2.9625088220569529E-2</v>
          </cell>
          <cell r="BP20">
            <v>1.2216808079676955E-3</v>
          </cell>
          <cell r="BQ20">
            <v>1.5000000000000124E-2</v>
          </cell>
          <cell r="BR20">
            <v>1.499999999999968E-2</v>
          </cell>
          <cell r="BS20">
            <v>1.5000000000000124E-2</v>
          </cell>
          <cell r="BT20">
            <v>1.4999999999999902E-2</v>
          </cell>
          <cell r="BU20">
            <v>1.5000000000000124E-2</v>
          </cell>
          <cell r="BV20">
            <v>1.499999999999968E-2</v>
          </cell>
          <cell r="BW20">
            <v>1.4999999999999902E-2</v>
          </cell>
          <cell r="BX20">
            <v>1.4999999999999902E-2</v>
          </cell>
          <cell r="BY20">
            <v>1.4999999999999902E-2</v>
          </cell>
        </row>
        <row r="21">
          <cell r="A21" t="str">
            <v>Sales € per FTE</v>
          </cell>
          <cell r="V21">
            <v>5.731482567816462</v>
          </cell>
          <cell r="AG21">
            <v>2.8505800781249993</v>
          </cell>
          <cell r="AH21">
            <v>2.7461130040322588</v>
          </cell>
          <cell r="AI21">
            <v>2.6524478103766747</v>
          </cell>
          <cell r="AJ21">
            <v>3.383207574513619</v>
          </cell>
          <cell r="AK21">
            <v>11.647796196235653</v>
          </cell>
          <cell r="AL21">
            <v>3.4057351054387017</v>
          </cell>
          <cell r="AM21">
            <v>3.4724643142313956</v>
          </cell>
          <cell r="AN21">
            <v>3.2281615497076022</v>
          </cell>
          <cell r="AO21">
            <v>3.9993084991239645</v>
          </cell>
          <cell r="AP21">
            <v>14.116401938469615</v>
          </cell>
          <cell r="AQ21">
            <v>4.4733044733044736</v>
          </cell>
          <cell r="AR21">
            <v>4.5092382425172746</v>
          </cell>
          <cell r="AS21">
            <v>4.2010332304006752</v>
          </cell>
          <cell r="AT21">
            <v>5.1704466150574886</v>
          </cell>
          <cell r="AU21">
            <v>18.341500050481262</v>
          </cell>
          <cell r="AV21">
            <v>5.0968496004805539</v>
          </cell>
          <cell r="AW21">
            <v>4.9685204615384579</v>
          </cell>
          <cell r="AX21">
            <v>4.8952256699033834</v>
          </cell>
          <cell r="AY21">
            <v>6.297637126550117</v>
          </cell>
          <cell r="AZ21">
            <v>21.148647373958127</v>
          </cell>
          <cell r="BA21">
            <v>5.4139729143654973</v>
          </cell>
          <cell r="BB21">
            <v>5.0346205059920104</v>
          </cell>
          <cell r="BC21">
            <v>5.2576259946949602</v>
          </cell>
          <cell r="BD21">
            <v>6.7835865257595769</v>
          </cell>
          <cell r="BE21">
            <v>22.460863014402864</v>
          </cell>
          <cell r="BF21">
            <v>5.4320187496738894</v>
          </cell>
          <cell r="BG21">
            <v>4.87582792430279</v>
          </cell>
          <cell r="BH21">
            <v>4.6760146681517165</v>
          </cell>
          <cell r="BI21">
            <v>6.0252913670919268</v>
          </cell>
          <cell r="BJ21">
            <v>21.030037622091104</v>
          </cell>
          <cell r="BK21">
            <v>5.5150548578942606</v>
          </cell>
          <cell r="BL21">
            <v>4.7270214656992087</v>
          </cell>
          <cell r="BM21">
            <v>5.001312707691854</v>
          </cell>
          <cell r="BN21">
            <v>6.2221007021748189</v>
          </cell>
          <cell r="BO21">
            <v>21.481430965138944</v>
          </cell>
          <cell r="BP21">
            <v>21.138277780613542</v>
          </cell>
          <cell r="BQ21">
            <v>21.138277780613546</v>
          </cell>
          <cell r="BR21">
            <v>21.138277780613546</v>
          </cell>
          <cell r="BS21">
            <v>21.138277780613542</v>
          </cell>
          <cell r="BT21">
            <v>21.138277780613546</v>
          </cell>
          <cell r="BU21">
            <v>21.138277780613546</v>
          </cell>
          <cell r="BV21">
            <v>21.138277780613546</v>
          </cell>
          <cell r="BW21">
            <v>21.138277780613546</v>
          </cell>
          <cell r="BX21">
            <v>21.138277780613546</v>
          </cell>
          <cell r="BY21">
            <v>21.138277780613542</v>
          </cell>
        </row>
        <row r="22">
          <cell r="A22" t="str">
            <v>% Change (€)</v>
          </cell>
          <cell r="AL22">
            <v>0.19475159865667124</v>
          </cell>
          <cell r="AM22">
            <v>0.26450160977811099</v>
          </cell>
          <cell r="AN22">
            <v>0.21704997816683536</v>
          </cell>
          <cell r="AO22">
            <v>0.18210556433236835</v>
          </cell>
          <cell r="AP22">
            <v>0.21193758034947141</v>
          </cell>
          <cell r="AQ22">
            <v>0.31346224377842669</v>
          </cell>
          <cell r="AR22">
            <v>0.2985700742947337</v>
          </cell>
          <cell r="AS22">
            <v>0.30137019653839592</v>
          </cell>
          <cell r="AT22">
            <v>0.29283515292457629</v>
          </cell>
          <cell r="AU22">
            <v>0.29930418037315376</v>
          </cell>
          <cell r="AV22">
            <v>0.13939250746226572</v>
          </cell>
          <cell r="AW22">
            <v>0.10185361569292239</v>
          </cell>
          <cell r="AX22">
            <v>0.16524326312850879</v>
          </cell>
          <cell r="AY22">
            <v>0.21800641132431364</v>
          </cell>
          <cell r="AZ22">
            <v>0.1530489499632397</v>
          </cell>
          <cell r="BA22">
            <v>6.2219476488975411E-2</v>
          </cell>
          <cell r="BB22">
            <v>1.3303768187176823E-2</v>
          </cell>
          <cell r="BC22">
            <v>7.4031382663249046E-2</v>
          </cell>
          <cell r="BD22">
            <v>7.7163766257784649E-2</v>
          </cell>
          <cell r="BE22">
            <v>6.204726085983947E-2</v>
          </cell>
          <cell r="BF22">
            <v>3.3331964518161783E-3</v>
          </cell>
          <cell r="BG22">
            <v>-3.1540129290823726E-2</v>
          </cell>
          <cell r="BH22">
            <v>-0.11062242295859381</v>
          </cell>
          <cell r="BI22">
            <v>-0.11178381167368423</v>
          </cell>
          <cell r="BJ22">
            <v>-6.3703046111552086E-2</v>
          </cell>
          <cell r="BK22">
            <v>1.5286417821248621E-2</v>
          </cell>
          <cell r="BL22">
            <v>-3.0519218666819503E-2</v>
          </cell>
          <cell r="BM22">
            <v>6.956736935744412E-2</v>
          </cell>
          <cell r="BN22">
            <v>3.2663870191871114E-2</v>
          </cell>
          <cell r="BO22">
            <v>2.1464219473086965E-2</v>
          </cell>
          <cell r="BP22">
            <v>-1.5974409948866342E-2</v>
          </cell>
          <cell r="BQ22">
            <v>0</v>
          </cell>
          <cell r="BR22">
            <v>0</v>
          </cell>
          <cell r="BS22">
            <v>0</v>
          </cell>
          <cell r="BT22">
            <v>0</v>
          </cell>
          <cell r="BU22">
            <v>0</v>
          </cell>
          <cell r="BV22">
            <v>0</v>
          </cell>
          <cell r="BW22">
            <v>0</v>
          </cell>
          <cell r="BX22">
            <v>0</v>
          </cell>
          <cell r="BY22">
            <v>0</v>
          </cell>
        </row>
        <row r="24">
          <cell r="A24" t="str">
            <v>Total Variable Costs</v>
          </cell>
          <cell r="F24">
            <v>6.8000000000000005E-2</v>
          </cell>
          <cell r="G24">
            <v>6.8000000000000005E-2</v>
          </cell>
          <cell r="H24">
            <v>0.18224499999999999</v>
          </cell>
          <cell r="I24">
            <v>0.35875000000000001</v>
          </cell>
          <cell r="J24">
            <v>0.59450000000000003</v>
          </cell>
          <cell r="K24">
            <v>1.2710000000000004</v>
          </cell>
          <cell r="L24">
            <v>2.4064950000000005</v>
          </cell>
          <cell r="M24">
            <v>1.4437500000000001</v>
          </cell>
          <cell r="N24">
            <v>1.3667499999999999</v>
          </cell>
          <cell r="O24">
            <v>1.7709999999999999</v>
          </cell>
          <cell r="P24">
            <v>2.9067499999999997</v>
          </cell>
          <cell r="Q24">
            <v>7.4882499999999999</v>
          </cell>
          <cell r="R24">
            <v>3.8885000000000001</v>
          </cell>
          <cell r="S24">
            <v>3</v>
          </cell>
          <cell r="T24">
            <v>4</v>
          </cell>
          <cell r="U24">
            <v>5</v>
          </cell>
          <cell r="V24">
            <v>15.888500000000001</v>
          </cell>
          <cell r="W24">
            <v>4.1520000000000001</v>
          </cell>
          <cell r="X24">
            <v>6.2369999999999992</v>
          </cell>
          <cell r="Y24">
            <v>6.0172499999999998</v>
          </cell>
          <cell r="Z24">
            <v>6.9934999999999992</v>
          </cell>
          <cell r="AA24">
            <v>23.399749999999997</v>
          </cell>
          <cell r="AB24">
            <v>7.5604000000000005</v>
          </cell>
          <cell r="AC24">
            <v>6.8552</v>
          </cell>
          <cell r="AD24">
            <v>7.5111999999999997</v>
          </cell>
          <cell r="AE24">
            <v>10.5124</v>
          </cell>
          <cell r="AF24">
            <v>32.4392</v>
          </cell>
          <cell r="AG24">
            <v>9.9220000000000006</v>
          </cell>
          <cell r="AH24">
            <v>10.25</v>
          </cell>
          <cell r="AI24">
            <v>10.611000000000001</v>
          </cell>
          <cell r="AJ24">
            <v>14.007</v>
          </cell>
          <cell r="AK24">
            <v>44.79</v>
          </cell>
          <cell r="AL24">
            <v>12.35</v>
          </cell>
          <cell r="AM24">
            <v>13</v>
          </cell>
          <cell r="AN24">
            <v>11.33</v>
          </cell>
          <cell r="AO24">
            <v>11.79</v>
          </cell>
          <cell r="AP24">
            <v>48.47</v>
          </cell>
          <cell r="AQ24">
            <v>17.05</v>
          </cell>
          <cell r="AR24">
            <v>16.72</v>
          </cell>
          <cell r="AS24">
            <v>15.95</v>
          </cell>
          <cell r="AT24">
            <v>17.189999999999998</v>
          </cell>
          <cell r="AU24">
            <v>66.91</v>
          </cell>
          <cell r="AV24">
            <v>15.326000000000001</v>
          </cell>
          <cell r="AW24">
            <v>14.615</v>
          </cell>
          <cell r="AX24">
            <v>14.061999999999999</v>
          </cell>
          <cell r="AY24">
            <v>17.696000000000002</v>
          </cell>
          <cell r="AZ24">
            <v>61.698999999999998</v>
          </cell>
          <cell r="BA24">
            <v>15.404999999999999</v>
          </cell>
          <cell r="BB24">
            <v>15.01</v>
          </cell>
          <cell r="BC24">
            <v>15.958</v>
          </cell>
          <cell r="BD24">
            <v>15.106999999999998</v>
          </cell>
          <cell r="BE24">
            <v>61.48</v>
          </cell>
          <cell r="BF24">
            <v>18.275000000000002</v>
          </cell>
          <cell r="BG24">
            <v>15.84</v>
          </cell>
          <cell r="BH24">
            <v>15.52</v>
          </cell>
          <cell r="BI24">
            <v>20.83499999999999</v>
          </cell>
          <cell r="BJ24">
            <v>70.47</v>
          </cell>
          <cell r="BK24">
            <v>23.655000000000001</v>
          </cell>
          <cell r="BL24">
            <v>19.040000000000003</v>
          </cell>
          <cell r="BM24">
            <v>19.465</v>
          </cell>
          <cell r="BN24">
            <v>22.307897502322508</v>
          </cell>
          <cell r="BO24">
            <v>84.467897502322515</v>
          </cell>
          <cell r="BP24">
            <v>70.9287795276868</v>
          </cell>
          <cell r="BQ24">
            <v>69.837240824775691</v>
          </cell>
          <cell r="BR24">
            <v>68.696996985383493</v>
          </cell>
          <cell r="BS24">
            <v>69.727451940164244</v>
          </cell>
          <cell r="BT24">
            <v>70.773363719266712</v>
          </cell>
          <cell r="BU24">
            <v>71.834964175055703</v>
          </cell>
          <cell r="BV24">
            <v>72.912488637681534</v>
          </cell>
          <cell r="BW24">
            <v>74.006175967246747</v>
          </cell>
          <cell r="BX24">
            <v>75.11626860675544</v>
          </cell>
          <cell r="BY24">
            <v>76.243012635856758</v>
          </cell>
        </row>
        <row r="25">
          <cell r="A25" t="str">
            <v>As % of Revenues</v>
          </cell>
          <cell r="F25">
            <v>0.13600000000000001</v>
          </cell>
          <cell r="G25">
            <v>0.13600000000000001</v>
          </cell>
          <cell r="H25">
            <v>0.20499999999999999</v>
          </cell>
          <cell r="I25">
            <v>0.20500000000000002</v>
          </cell>
          <cell r="J25">
            <v>0.20500000000000002</v>
          </cell>
          <cell r="K25">
            <v>0.20500000000000004</v>
          </cell>
          <cell r="L25">
            <v>0.20500000000000002</v>
          </cell>
          <cell r="M25">
            <v>0.17293879907621246</v>
          </cell>
          <cell r="N25">
            <v>0.17293879907621248</v>
          </cell>
          <cell r="O25">
            <v>0.17293879907621251</v>
          </cell>
          <cell r="P25">
            <v>0.17293879907621248</v>
          </cell>
          <cell r="Q25">
            <v>0.17293879907621248</v>
          </cell>
          <cell r="R25">
            <v>0.17837155963302753</v>
          </cell>
          <cell r="S25">
            <v>0.13574660633484162</v>
          </cell>
          <cell r="T25">
            <v>0.16666666666666666</v>
          </cell>
          <cell r="U25">
            <v>0.14619883040935672</v>
          </cell>
          <cell r="V25">
            <v>0.15561704211557295</v>
          </cell>
          <cell r="W25">
            <v>0.12</v>
          </cell>
          <cell r="X25">
            <v>0.21</v>
          </cell>
          <cell r="Y25">
            <v>0.17749999999999999</v>
          </cell>
          <cell r="Z25">
            <v>0.17749999999999999</v>
          </cell>
          <cell r="AA25">
            <v>0.17005632267441859</v>
          </cell>
          <cell r="AB25">
            <v>0.16400000000000001</v>
          </cell>
          <cell r="AC25">
            <v>0.16400000000000001</v>
          </cell>
          <cell r="AD25">
            <v>0.16400000000000001</v>
          </cell>
          <cell r="AE25">
            <v>0.16400000000000001</v>
          </cell>
          <cell r="AF25">
            <v>0.16400000000000001</v>
          </cell>
          <cell r="AG25">
            <v>0.16400000000000001</v>
          </cell>
          <cell r="AH25">
            <v>0.16400000000000001</v>
          </cell>
          <cell r="AI25">
            <v>0.16200000000000001</v>
          </cell>
          <cell r="AJ25">
            <v>0.161</v>
          </cell>
          <cell r="AK25">
            <v>0.16257713248638839</v>
          </cell>
          <cell r="AL25">
            <v>0.13</v>
          </cell>
          <cell r="AM25">
            <v>0.13</v>
          </cell>
          <cell r="AN25">
            <v>0.11</v>
          </cell>
          <cell r="AO25">
            <v>0.09</v>
          </cell>
          <cell r="AP25">
            <v>0.11298368298368298</v>
          </cell>
          <cell r="AQ25">
            <v>0.11</v>
          </cell>
          <cell r="AR25">
            <v>0.11</v>
          </cell>
          <cell r="AS25">
            <v>0.11</v>
          </cell>
          <cell r="AT25">
            <v>0.09</v>
          </cell>
          <cell r="AU25">
            <v>0.10405909797822706</v>
          </cell>
          <cell r="AV25">
            <v>7.9000000000000001E-2</v>
          </cell>
          <cell r="AW25">
            <v>7.9000000000000001E-2</v>
          </cell>
          <cell r="AX25">
            <v>7.9000000000000001E-2</v>
          </cell>
          <cell r="AY25">
            <v>7.9000000000000001E-2</v>
          </cell>
          <cell r="AZ25">
            <v>7.9000000000000001E-2</v>
          </cell>
          <cell r="BA25">
            <v>7.9000000000000001E-2</v>
          </cell>
          <cell r="BB25">
            <v>7.9000000000000001E-2</v>
          </cell>
          <cell r="BC25">
            <v>7.9000000000000001E-2</v>
          </cell>
          <cell r="BD25">
            <v>5.7881226053639837E-2</v>
          </cell>
          <cell r="BE25">
            <v>7.2499999999999995E-2</v>
          </cell>
          <cell r="BF25">
            <v>8.5000000000000006E-2</v>
          </cell>
          <cell r="BG25">
            <v>0.08</v>
          </cell>
          <cell r="BH25">
            <v>0.08</v>
          </cell>
          <cell r="BI25">
            <v>7.9220532319391593E-2</v>
          </cell>
          <cell r="BJ25">
            <v>8.1000000000000003E-2</v>
          </cell>
          <cell r="BK25">
            <v>9.5000000000000001E-2</v>
          </cell>
          <cell r="BL25">
            <v>8.5000000000000006E-2</v>
          </cell>
          <cell r="BM25">
            <v>8.5000000000000006E-2</v>
          </cell>
          <cell r="BN25">
            <v>7.961849875128417E-2</v>
          </cell>
          <cell r="BO25">
            <v>8.6000000000000007E-2</v>
          </cell>
          <cell r="BP25">
            <v>8.3500000000000005E-2</v>
          </cell>
          <cell r="BQ25">
            <v>8.1000000000000003E-2</v>
          </cell>
          <cell r="BR25">
            <v>7.85E-2</v>
          </cell>
          <cell r="BS25">
            <v>7.85E-2</v>
          </cell>
          <cell r="BT25">
            <v>7.85E-2</v>
          </cell>
          <cell r="BU25">
            <v>7.85E-2</v>
          </cell>
          <cell r="BV25">
            <v>7.85E-2</v>
          </cell>
          <cell r="BW25">
            <v>7.85E-2</v>
          </cell>
          <cell r="BX25">
            <v>7.85E-2</v>
          </cell>
          <cell r="BY25">
            <v>7.85E-2</v>
          </cell>
        </row>
        <row r="31">
          <cell r="A31" t="str">
            <v>Total General and Admin. Expenses</v>
          </cell>
          <cell r="F31">
            <v>6.3320000000000007</v>
          </cell>
          <cell r="G31">
            <v>6.3320000000000007</v>
          </cell>
          <cell r="H31">
            <v>6.8138420000000002</v>
          </cell>
          <cell r="I31">
            <v>7.0217499999999999</v>
          </cell>
          <cell r="J31">
            <v>6.8045999999999998</v>
          </cell>
          <cell r="K31">
            <v>9.8919999999999995</v>
          </cell>
          <cell r="L31">
            <v>30.532191999999998</v>
          </cell>
          <cell r="M31">
            <v>6.2487500000000002</v>
          </cell>
          <cell r="N31">
            <v>6.858550000000001</v>
          </cell>
          <cell r="O31">
            <v>6.6521999999999997</v>
          </cell>
          <cell r="P31">
            <v>7.4497500000000008</v>
          </cell>
          <cell r="Q31">
            <v>27.209250000000004</v>
          </cell>
          <cell r="R31">
            <v>6.3926999999999978</v>
          </cell>
          <cell r="S31">
            <v>7.7214999999999989</v>
          </cell>
          <cell r="T31">
            <v>6.5815999999999999</v>
          </cell>
          <cell r="U31">
            <v>8.4603999999999999</v>
          </cell>
          <cell r="V31">
            <v>29.156199999999998</v>
          </cell>
          <cell r="W31">
            <v>8.474400000000001</v>
          </cell>
          <cell r="X31">
            <v>7.1354000000000006</v>
          </cell>
          <cell r="Y31">
            <v>7.5188499999999987</v>
          </cell>
          <cell r="Z31">
            <v>6.5962999999999994</v>
          </cell>
          <cell r="AA31">
            <v>29.72495</v>
          </cell>
          <cell r="AB31">
            <v>6.5624999999999982</v>
          </cell>
          <cell r="AC31">
            <v>7.7159999999999984</v>
          </cell>
          <cell r="AD31">
            <v>9.1409999999999982</v>
          </cell>
          <cell r="AE31">
            <v>10.358599999999999</v>
          </cell>
          <cell r="AF31">
            <v>33.778099999999995</v>
          </cell>
          <cell r="AG31">
            <v>8.3934999999999995</v>
          </cell>
          <cell r="AH31">
            <v>7.625</v>
          </cell>
          <cell r="AI31">
            <v>9.3904999999999994</v>
          </cell>
          <cell r="AJ31">
            <v>8.572000000000001</v>
          </cell>
          <cell r="AK31">
            <v>33.981000000000002</v>
          </cell>
          <cell r="AL31">
            <v>12.524999999999999</v>
          </cell>
          <cell r="AM31">
            <v>14.399999999999999</v>
          </cell>
          <cell r="AN31">
            <v>11.639000000000001</v>
          </cell>
          <cell r="AO31">
            <v>9.8249999999999993</v>
          </cell>
          <cell r="AP31">
            <v>48.388999999999996</v>
          </cell>
          <cell r="AQ31">
            <v>15</v>
          </cell>
          <cell r="AR31">
            <v>14.608000000000001</v>
          </cell>
          <cell r="AS31">
            <v>17</v>
          </cell>
          <cell r="AT31">
            <v>19</v>
          </cell>
          <cell r="AU31">
            <v>65.608000000000004</v>
          </cell>
          <cell r="AV31">
            <v>21</v>
          </cell>
          <cell r="AW31">
            <v>22</v>
          </cell>
          <cell r="AX31">
            <v>23</v>
          </cell>
          <cell r="AY31">
            <v>24</v>
          </cell>
          <cell r="AZ31">
            <v>90</v>
          </cell>
          <cell r="BA31">
            <v>22.05</v>
          </cell>
          <cell r="BB31">
            <v>23.1</v>
          </cell>
          <cell r="BC31">
            <v>24.150000000000002</v>
          </cell>
          <cell r="BD31">
            <v>25.2</v>
          </cell>
          <cell r="BE31">
            <v>94.5</v>
          </cell>
          <cell r="BF31">
            <v>22.05</v>
          </cell>
          <cell r="BG31">
            <v>23.1</v>
          </cell>
          <cell r="BH31">
            <v>24.150000000000002</v>
          </cell>
          <cell r="BI31">
            <v>25.2</v>
          </cell>
          <cell r="BJ31">
            <v>94.5</v>
          </cell>
          <cell r="BK31">
            <v>25.357499999999998</v>
          </cell>
          <cell r="BL31">
            <v>25.410000000000004</v>
          </cell>
          <cell r="BM31">
            <v>27.772500000000001</v>
          </cell>
          <cell r="BN31">
            <v>25.409999999999997</v>
          </cell>
          <cell r="BO31">
            <v>103.95</v>
          </cell>
          <cell r="BP31">
            <v>96.153750000000002</v>
          </cell>
          <cell r="BQ31">
            <v>98.076824999999999</v>
          </cell>
          <cell r="BR31">
            <v>100.03836150000001</v>
          </cell>
          <cell r="BS31">
            <v>102.03912873000002</v>
          </cell>
          <cell r="BT31">
            <v>104.07991130460002</v>
          </cell>
          <cell r="BU31">
            <v>106.16150953069202</v>
          </cell>
          <cell r="BV31">
            <v>108.28473972130585</v>
          </cell>
          <cell r="BW31">
            <v>110.45043451573197</v>
          </cell>
          <cell r="BX31">
            <v>112.65944320604662</v>
          </cell>
          <cell r="BY31">
            <v>114.91263207016755</v>
          </cell>
        </row>
        <row r="32">
          <cell r="A32" t="str">
            <v>As % of Revenues</v>
          </cell>
          <cell r="F32">
            <v>12.664000000000001</v>
          </cell>
          <cell r="G32">
            <v>12.664000000000001</v>
          </cell>
          <cell r="H32">
            <v>7.6646141732283466</v>
          </cell>
          <cell r="I32">
            <v>4.012428571428571</v>
          </cell>
          <cell r="J32">
            <v>2.3464137931034483</v>
          </cell>
          <cell r="K32">
            <v>1.5954838709677419</v>
          </cell>
          <cell r="L32">
            <v>2.6009193287332821</v>
          </cell>
          <cell r="M32">
            <v>0.74850307929176285</v>
          </cell>
          <cell r="N32">
            <v>0.86783201053898473</v>
          </cell>
          <cell r="O32">
            <v>0.64958976804900104</v>
          </cell>
          <cell r="P32">
            <v>0.44322725326155127</v>
          </cell>
          <cell r="Q32">
            <v>0.62838914549653591</v>
          </cell>
          <cell r="R32">
            <v>0.29324311926605495</v>
          </cell>
          <cell r="S32">
            <v>0.34938914027149315</v>
          </cell>
          <cell r="T32">
            <v>0.27423333333333333</v>
          </cell>
          <cell r="U32">
            <v>0.24738011695906431</v>
          </cell>
          <cell r="V32">
            <v>0.28556513222331043</v>
          </cell>
          <cell r="W32">
            <v>0.2449248554913295</v>
          </cell>
          <cell r="X32">
            <v>0.24024915824915827</v>
          </cell>
          <cell r="Y32">
            <v>0.22179498525073743</v>
          </cell>
          <cell r="Z32">
            <v>0.16741878172588831</v>
          </cell>
          <cell r="AA32">
            <v>0.21602434593023256</v>
          </cell>
          <cell r="AB32">
            <v>0.14235357917570496</v>
          </cell>
          <cell r="AC32">
            <v>0.18459330143540667</v>
          </cell>
          <cell r="AD32">
            <v>0.19958515283842793</v>
          </cell>
          <cell r="AE32">
            <v>0.161600624024961</v>
          </cell>
          <cell r="AF32">
            <v>0.1707689585439838</v>
          </cell>
          <cell r="AG32">
            <v>0.13873553719008264</v>
          </cell>
          <cell r="AH32">
            <v>0.122</v>
          </cell>
          <cell r="AI32">
            <v>0.14336641221374044</v>
          </cell>
          <cell r="AJ32">
            <v>9.8528735632183922E-2</v>
          </cell>
          <cell r="AK32">
            <v>0.12334301270417423</v>
          </cell>
          <cell r="AL32">
            <v>0.11</v>
          </cell>
          <cell r="AM32">
            <v>0.14399999999999999</v>
          </cell>
          <cell r="AN32">
            <v>0.113</v>
          </cell>
          <cell r="AO32">
            <v>7.4999999999999997E-2</v>
          </cell>
          <cell r="AP32">
            <v>0.11279487179487178</v>
          </cell>
          <cell r="AQ32">
            <v>9.6774193548387094E-2</v>
          </cell>
          <cell r="AR32">
            <v>9.6105263157894735E-2</v>
          </cell>
          <cell r="AS32">
            <v>0.11724137931034483</v>
          </cell>
          <cell r="AT32">
            <v>9.947643979057591E-2</v>
          </cell>
          <cell r="AU32">
            <v>0.10203421461897356</v>
          </cell>
          <cell r="AV32">
            <v>0.10824742268041238</v>
          </cell>
          <cell r="AW32">
            <v>0.11891891891891893</v>
          </cell>
          <cell r="AX32">
            <v>0.12921348314606743</v>
          </cell>
          <cell r="AY32">
            <v>0.10714285714285714</v>
          </cell>
          <cell r="AZ32">
            <v>0.11523687580025609</v>
          </cell>
          <cell r="BA32">
            <v>0.11307692307692307</v>
          </cell>
          <cell r="BB32">
            <v>0.12157894736842106</v>
          </cell>
          <cell r="BC32">
            <v>0.11955445544554456</v>
          </cell>
          <cell r="BD32">
            <v>9.6551724137931033E-2</v>
          </cell>
          <cell r="BE32">
            <v>0.11143867924528301</v>
          </cell>
          <cell r="BF32">
            <v>0.10255813953488373</v>
          </cell>
          <cell r="BG32">
            <v>0.11666666666666667</v>
          </cell>
          <cell r="BH32">
            <v>0.12448453608247424</v>
          </cell>
          <cell r="BI32">
            <v>9.5817490494296581E-2</v>
          </cell>
          <cell r="BJ32">
            <v>0.10862068965517241</v>
          </cell>
          <cell r="BK32">
            <v>0.10183734939759036</v>
          </cell>
          <cell r="BL32">
            <v>0.11343750000000001</v>
          </cell>
          <cell r="BM32">
            <v>0.12127729257641921</v>
          </cell>
          <cell r="BN32">
            <v>9.0690126806414709E-2</v>
          </cell>
          <cell r="BO32">
            <v>0.1058354743558545</v>
          </cell>
          <cell r="BP32">
            <v>0.11319577438754563</v>
          </cell>
          <cell r="BQ32">
            <v>0.11375338903970103</v>
          </cell>
          <cell r="BR32">
            <v>0.11431375056206414</v>
          </cell>
          <cell r="BS32">
            <v>0.11487687248601519</v>
          </cell>
          <cell r="BT32">
            <v>0.11544276840959164</v>
          </cell>
          <cell r="BU32">
            <v>0.11601145199781622</v>
          </cell>
          <cell r="BV32">
            <v>0.11658293698302716</v>
          </cell>
          <cell r="BW32">
            <v>0.11715723716520958</v>
          </cell>
          <cell r="BX32">
            <v>0.11773436641232884</v>
          </cell>
          <cell r="BY32">
            <v>0.11831433866066547</v>
          </cell>
        </row>
        <row r="34">
          <cell r="A34" t="str">
            <v>Total Variable and G &amp; A Costs</v>
          </cell>
          <cell r="F34">
            <v>6</v>
          </cell>
          <cell r="G34">
            <v>6.4</v>
          </cell>
          <cell r="H34">
            <v>6.9960870000000002</v>
          </cell>
          <cell r="I34">
            <v>7.3804999999999996</v>
          </cell>
          <cell r="J34">
            <v>7.3990999999999998</v>
          </cell>
          <cell r="K34">
            <v>11.163</v>
          </cell>
          <cell r="L34">
            <v>32.938687000000002</v>
          </cell>
          <cell r="M34">
            <v>7.6925000000000008</v>
          </cell>
          <cell r="N34">
            <v>8.2253000000000007</v>
          </cell>
          <cell r="O34">
            <v>8.4231999999999996</v>
          </cell>
          <cell r="P34">
            <v>10.3565</v>
          </cell>
          <cell r="Q34">
            <v>34.697500000000005</v>
          </cell>
          <cell r="R34">
            <v>10.281199999999998</v>
          </cell>
          <cell r="S34">
            <v>10.721499999999999</v>
          </cell>
          <cell r="T34">
            <v>10.5816</v>
          </cell>
          <cell r="U34">
            <v>13.4604</v>
          </cell>
          <cell r="V34">
            <v>45.044699999999999</v>
          </cell>
          <cell r="W34">
            <v>12.6264</v>
          </cell>
          <cell r="X34">
            <v>13.372399999999999</v>
          </cell>
          <cell r="Y34">
            <v>13.536099999999998</v>
          </cell>
          <cell r="Z34">
            <v>13.589799999999999</v>
          </cell>
          <cell r="AA34">
            <v>53.124699999999997</v>
          </cell>
          <cell r="AB34">
            <v>14.122899999999998</v>
          </cell>
          <cell r="AC34">
            <v>14.571199999999997</v>
          </cell>
          <cell r="AD34">
            <v>16.652199999999997</v>
          </cell>
          <cell r="AE34">
            <v>20.870999999999999</v>
          </cell>
          <cell r="AF34">
            <v>66.217299999999994</v>
          </cell>
          <cell r="AG34">
            <v>18.3155</v>
          </cell>
          <cell r="AH34">
            <v>17.875</v>
          </cell>
          <cell r="AI34">
            <v>20.0015</v>
          </cell>
          <cell r="AJ34">
            <v>22.579000000000001</v>
          </cell>
          <cell r="AK34">
            <v>78.771000000000001</v>
          </cell>
          <cell r="AL34">
            <v>24.875</v>
          </cell>
          <cell r="AM34">
            <v>27.4</v>
          </cell>
          <cell r="AN34">
            <v>22.969000000000001</v>
          </cell>
          <cell r="AO34">
            <v>21.614999999999998</v>
          </cell>
          <cell r="AP34">
            <v>96.858999999999995</v>
          </cell>
          <cell r="AQ34">
            <v>32.049999999999997</v>
          </cell>
          <cell r="AR34">
            <v>31.327999999999999</v>
          </cell>
          <cell r="AS34">
            <v>32.950000000000003</v>
          </cell>
          <cell r="AT34">
            <v>36.19</v>
          </cell>
          <cell r="AU34">
            <v>132.518</v>
          </cell>
          <cell r="AV34">
            <v>36.326000000000001</v>
          </cell>
          <cell r="AW34">
            <v>36.615000000000002</v>
          </cell>
          <cell r="AX34">
            <v>37.061999999999998</v>
          </cell>
          <cell r="AY34">
            <v>41.695999999999998</v>
          </cell>
          <cell r="AZ34">
            <v>151.69900000000001</v>
          </cell>
          <cell r="BA34">
            <v>37.454999999999998</v>
          </cell>
          <cell r="BB34">
            <v>38.11</v>
          </cell>
          <cell r="BC34">
            <v>40.108000000000004</v>
          </cell>
          <cell r="BD34">
            <v>40.306999999999995</v>
          </cell>
          <cell r="BE34">
            <v>155.97999999999999</v>
          </cell>
          <cell r="BF34">
            <v>40.325000000000003</v>
          </cell>
          <cell r="BG34">
            <v>38.94</v>
          </cell>
          <cell r="BH34">
            <v>39.67</v>
          </cell>
          <cell r="BI34">
            <v>46.034999999999989</v>
          </cell>
          <cell r="BJ34">
            <v>164.97</v>
          </cell>
          <cell r="BK34">
            <v>49.012500000000003</v>
          </cell>
          <cell r="BL34">
            <v>44.45</v>
          </cell>
          <cell r="BM34">
            <v>47.237499999999997</v>
          </cell>
          <cell r="BN34">
            <v>47.717897502322501</v>
          </cell>
          <cell r="BO34">
            <v>188.41789750232252</v>
          </cell>
          <cell r="BP34">
            <v>167.0825295276868</v>
          </cell>
          <cell r="BQ34">
            <v>167.91406582477569</v>
          </cell>
          <cell r="BR34">
            <v>168.7353584853835</v>
          </cell>
          <cell r="BS34">
            <v>171.76658067016427</v>
          </cell>
          <cell r="BT34">
            <v>174.85327502386673</v>
          </cell>
          <cell r="BU34">
            <v>177.99647370574772</v>
          </cell>
          <cell r="BV34">
            <v>181.19722835898739</v>
          </cell>
          <cell r="BW34">
            <v>184.4566104829787</v>
          </cell>
          <cell r="BX34">
            <v>187.77571181280206</v>
          </cell>
          <cell r="BY34">
            <v>191.1556447060243</v>
          </cell>
        </row>
        <row r="35">
          <cell r="A35" t="str">
            <v>As % of Revenues</v>
          </cell>
          <cell r="F35">
            <v>12</v>
          </cell>
          <cell r="G35">
            <v>12.8</v>
          </cell>
          <cell r="H35">
            <v>7.8696141732283467</v>
          </cell>
          <cell r="I35">
            <v>4.2174285714285711</v>
          </cell>
          <cell r="J35">
            <v>2.5514137931034484</v>
          </cell>
          <cell r="K35">
            <v>1.800483870967742</v>
          </cell>
          <cell r="L35">
            <v>2.8059193287332822</v>
          </cell>
          <cell r="M35">
            <v>0.92144187836797531</v>
          </cell>
          <cell r="N35">
            <v>1.0407708096151971</v>
          </cell>
          <cell r="O35">
            <v>0.82252856712521349</v>
          </cell>
          <cell r="P35">
            <v>0.61616605233776378</v>
          </cell>
          <cell r="Q35">
            <v>0.80132794457274847</v>
          </cell>
          <cell r="R35">
            <v>0.47161467889908248</v>
          </cell>
          <cell r="S35">
            <v>0.48513574660633474</v>
          </cell>
          <cell r="T35">
            <v>0.44090000000000001</v>
          </cell>
          <cell r="U35">
            <v>0.39357894736842103</v>
          </cell>
          <cell r="V35">
            <v>0.4411821743388834</v>
          </cell>
          <cell r="W35">
            <v>0.36492485549132947</v>
          </cell>
          <cell r="X35">
            <v>0.45024915824915823</v>
          </cell>
          <cell r="Y35">
            <v>0.39929498525073742</v>
          </cell>
          <cell r="Z35">
            <v>0.3449187817258883</v>
          </cell>
          <cell r="AA35">
            <v>0.38608066860465118</v>
          </cell>
          <cell r="AB35">
            <v>0.30635357917570494</v>
          </cell>
          <cell r="AC35">
            <v>0.34859330143540668</v>
          </cell>
          <cell r="AD35">
            <v>0.36358515283842791</v>
          </cell>
          <cell r="AE35">
            <v>0.32560062402496098</v>
          </cell>
          <cell r="AF35">
            <v>0.33476895854398381</v>
          </cell>
          <cell r="AG35">
            <v>0.30273553719008267</v>
          </cell>
          <cell r="AH35">
            <v>0.28599999999999998</v>
          </cell>
          <cell r="AI35">
            <v>0.30536641221374045</v>
          </cell>
          <cell r="AJ35">
            <v>0.25952873563218393</v>
          </cell>
          <cell r="AK35">
            <v>0.28592014519056264</v>
          </cell>
          <cell r="AL35">
            <v>0.26184210526315788</v>
          </cell>
          <cell r="AM35">
            <v>0.27399999999999997</v>
          </cell>
          <cell r="AN35">
            <v>0.223</v>
          </cell>
          <cell r="AO35">
            <v>0.16499999999999998</v>
          </cell>
          <cell r="AP35">
            <v>0.22577855477855477</v>
          </cell>
          <cell r="AQ35">
            <v>0.20677419354838708</v>
          </cell>
          <cell r="AR35">
            <v>0.20610526315789474</v>
          </cell>
          <cell r="AS35">
            <v>0.22724137931034485</v>
          </cell>
          <cell r="AT35">
            <v>0.18947643979057591</v>
          </cell>
          <cell r="AU35">
            <v>0.20609331259720062</v>
          </cell>
          <cell r="AV35">
            <v>0.18724742268041236</v>
          </cell>
          <cell r="AW35">
            <v>0.19791891891891894</v>
          </cell>
          <cell r="AX35">
            <v>0.20821348314606741</v>
          </cell>
          <cell r="AY35">
            <v>0.18614285714285714</v>
          </cell>
          <cell r="AZ35">
            <v>0.19423687580025609</v>
          </cell>
          <cell r="BA35">
            <v>0.19207692307692306</v>
          </cell>
          <cell r="BB35">
            <v>0.20057894736842105</v>
          </cell>
          <cell r="BC35">
            <v>0.19855445544554456</v>
          </cell>
          <cell r="BD35">
            <v>0.15443295019157086</v>
          </cell>
          <cell r="BE35">
            <v>0.18393867924528301</v>
          </cell>
          <cell r="BF35">
            <v>0.18755813953488373</v>
          </cell>
          <cell r="BG35">
            <v>0.19666666666666666</v>
          </cell>
          <cell r="BH35">
            <v>0.20448453608247424</v>
          </cell>
          <cell r="BI35">
            <v>0.17503802281368816</v>
          </cell>
          <cell r="BJ35">
            <v>0.18962068965517243</v>
          </cell>
          <cell r="BK35">
            <v>0.19683734939759037</v>
          </cell>
          <cell r="BL35">
            <v>0.19843750000000002</v>
          </cell>
          <cell r="BM35">
            <v>0.20627729257641919</v>
          </cell>
          <cell r="BN35">
            <v>0.17030862555769888</v>
          </cell>
          <cell r="BO35">
            <v>0.19183547435585452</v>
          </cell>
          <cell r="BP35">
            <v>0.19669577438754565</v>
          </cell>
          <cell r="BQ35">
            <v>0.19475338903970102</v>
          </cell>
          <cell r="BR35">
            <v>0.19281375056206412</v>
          </cell>
          <cell r="BS35">
            <v>0.19337687248601521</v>
          </cell>
          <cell r="BT35">
            <v>0.19394276840959165</v>
          </cell>
          <cell r="BU35">
            <v>0.19451145199781622</v>
          </cell>
          <cell r="BV35">
            <v>0.19508293698302717</v>
          </cell>
          <cell r="BW35">
            <v>0.19565723716520955</v>
          </cell>
          <cell r="BX35">
            <v>0.19623436641232886</v>
          </cell>
          <cell r="BY35">
            <v>0.19681433866066547</v>
          </cell>
        </row>
        <row r="36">
          <cell r="A36" t="str">
            <v>EBITDA</v>
          </cell>
          <cell r="F36">
            <v>-6</v>
          </cell>
          <cell r="G36">
            <v>-6.4</v>
          </cell>
          <cell r="H36">
            <v>-6.3</v>
          </cell>
          <cell r="I36">
            <v>-7.3</v>
          </cell>
          <cell r="J36">
            <v>-6.3</v>
          </cell>
          <cell r="K36">
            <v>-12</v>
          </cell>
          <cell r="L36">
            <v>-31.900000000000002</v>
          </cell>
          <cell r="M36">
            <v>-5.9</v>
          </cell>
          <cell r="N36">
            <v>-6.5</v>
          </cell>
          <cell r="O36">
            <v>-5.7</v>
          </cell>
          <cell r="P36">
            <v>-5.6</v>
          </cell>
          <cell r="Q36">
            <v>-23.700000000000006</v>
          </cell>
          <cell r="R36">
            <v>-4.0999999999999996</v>
          </cell>
          <cell r="S36">
            <v>-4.0999999999999996</v>
          </cell>
          <cell r="T36">
            <v>-3.3</v>
          </cell>
          <cell r="U36">
            <v>-7.8</v>
          </cell>
          <cell r="V36">
            <v>-19.3</v>
          </cell>
          <cell r="W36">
            <v>-2.8</v>
          </cell>
          <cell r="X36">
            <v>-4.7</v>
          </cell>
          <cell r="Y36">
            <v>-3.4</v>
          </cell>
          <cell r="Z36">
            <v>-1.1000000000000001</v>
          </cell>
          <cell r="AA36">
            <v>-11.999999999999993</v>
          </cell>
          <cell r="AB36">
            <v>-0.8</v>
          </cell>
          <cell r="AC36">
            <v>-2.7</v>
          </cell>
          <cell r="AD36">
            <v>-2.5</v>
          </cell>
          <cell r="AE36">
            <v>-1</v>
          </cell>
          <cell r="AF36">
            <v>-7</v>
          </cell>
          <cell r="AG36">
            <v>0.5</v>
          </cell>
          <cell r="AH36">
            <v>0</v>
          </cell>
          <cell r="AI36">
            <v>0.5</v>
          </cell>
          <cell r="AJ36">
            <v>5</v>
          </cell>
          <cell r="AK36">
            <v>6</v>
          </cell>
          <cell r="AL36">
            <v>6</v>
          </cell>
          <cell r="AM36">
            <v>7</v>
          </cell>
          <cell r="AN36">
            <v>13.595999999999997</v>
          </cell>
          <cell r="AO36">
            <v>24.889999999999997</v>
          </cell>
          <cell r="AP36">
            <v>51.48599999999999</v>
          </cell>
          <cell r="AQ36">
            <v>23.75</v>
          </cell>
          <cell r="AR36">
            <v>23.24</v>
          </cell>
          <cell r="AS36">
            <v>20.699999999999996</v>
          </cell>
          <cell r="AT36">
            <v>28.75</v>
          </cell>
          <cell r="AU36">
            <v>96.44</v>
          </cell>
          <cell r="AV36">
            <v>35.454000000000001</v>
          </cell>
          <cell r="AW36">
            <v>29.984999999999992</v>
          </cell>
          <cell r="AX36">
            <v>25.238</v>
          </cell>
          <cell r="AY36">
            <v>38.944000000000003</v>
          </cell>
          <cell r="AZ36">
            <v>129.62099999999998</v>
          </cell>
          <cell r="BA36">
            <v>32.745000000000005</v>
          </cell>
          <cell r="BB36">
            <v>30.289999999999992</v>
          </cell>
          <cell r="BC36">
            <v>34.631999999999991</v>
          </cell>
          <cell r="BD36">
            <v>60.113000000000035</v>
          </cell>
          <cell r="BE36">
            <v>157.78</v>
          </cell>
          <cell r="BF36">
            <v>34.924999999999997</v>
          </cell>
          <cell r="BG36">
            <v>30.36</v>
          </cell>
          <cell r="BH36">
            <v>30.17</v>
          </cell>
          <cell r="BI36">
            <v>54.949999999999996</v>
          </cell>
          <cell r="BJ36">
            <v>150.405</v>
          </cell>
          <cell r="BK36">
            <v>38.137499999999989</v>
          </cell>
          <cell r="BL36">
            <v>31.710000000000008</v>
          </cell>
          <cell r="BM36">
            <v>32.912499999999994</v>
          </cell>
          <cell r="BN36">
            <v>57.497725908427341</v>
          </cell>
          <cell r="BO36">
            <v>160.25772590842732</v>
          </cell>
          <cell r="BP36">
            <v>134.47096427265825</v>
          </cell>
          <cell r="BQ36">
            <v>142.47367117422735</v>
          </cell>
          <cell r="BR36">
            <v>146.30819456860448</v>
          </cell>
          <cell r="BS36">
            <v>148.00262567963352</v>
          </cell>
          <cell r="BT36">
            <v>149.71246942117801</v>
          </cell>
          <cell r="BU36">
            <v>151.43775690597269</v>
          </cell>
          <cell r="BV36">
            <v>153.1785157119088</v>
          </cell>
          <cell r="BW36">
            <v>154.9347697489809</v>
          </cell>
          <cell r="BX36">
            <v>156.70653912263685</v>
          </cell>
          <cell r="BY36">
            <v>158.49383999344616</v>
          </cell>
        </row>
        <row r="37">
          <cell r="A37" t="str">
            <v>EBITDA Margin</v>
          </cell>
          <cell r="F37">
            <v>-12</v>
          </cell>
          <cell r="G37">
            <v>-12.8</v>
          </cell>
          <cell r="H37">
            <v>-7.0866141732283463</v>
          </cell>
          <cell r="I37">
            <v>-4.1714285714285717</v>
          </cell>
          <cell r="J37">
            <v>-2.1724137931034484</v>
          </cell>
          <cell r="K37">
            <v>-1.9354838709677418</v>
          </cell>
          <cell r="L37">
            <v>-2.7174376011585313</v>
          </cell>
          <cell r="M37">
            <v>-0.7067282525019245</v>
          </cell>
          <cell r="N37">
            <v>-0.82246365026184831</v>
          </cell>
          <cell r="O37">
            <v>-0.55660708906516732</v>
          </cell>
          <cell r="P37">
            <v>-0.33317529021305231</v>
          </cell>
          <cell r="Q37">
            <v>-0.54734411085450363</v>
          </cell>
          <cell r="R37">
            <v>-0.18807339449541283</v>
          </cell>
          <cell r="S37">
            <v>-0.18552036199095021</v>
          </cell>
          <cell r="T37">
            <v>-0.13749999999999998</v>
          </cell>
          <cell r="U37">
            <v>-0.22807017543859648</v>
          </cell>
          <cell r="V37">
            <v>-0.18903036238981391</v>
          </cell>
          <cell r="W37">
            <v>-8.0924855491329467E-2</v>
          </cell>
          <cell r="X37">
            <v>-0.15824915824915825</v>
          </cell>
          <cell r="Y37">
            <v>-0.10029498525073746</v>
          </cell>
          <cell r="Z37">
            <v>-2.7918781725888329E-2</v>
          </cell>
          <cell r="AA37">
            <v>-8.7209302325581342E-2</v>
          </cell>
          <cell r="AB37">
            <v>-1.735357917570499E-2</v>
          </cell>
          <cell r="AC37">
            <v>-6.4593301435406703E-2</v>
          </cell>
          <cell r="AD37">
            <v>-5.458515283842795E-2</v>
          </cell>
          <cell r="AE37">
            <v>-1.5600624024960999E-2</v>
          </cell>
          <cell r="AF37">
            <v>-3.5389282103134481E-2</v>
          </cell>
          <cell r="AG37">
            <v>8.2644628099173556E-3</v>
          </cell>
          <cell r="AH37">
            <v>0</v>
          </cell>
          <cell r="AI37">
            <v>7.6335877862595417E-3</v>
          </cell>
          <cell r="AJ37">
            <v>5.7471264367816091E-2</v>
          </cell>
          <cell r="AK37">
            <v>2.1778584392014518E-2</v>
          </cell>
          <cell r="AL37">
            <v>6.3157894736842107E-2</v>
          </cell>
          <cell r="AM37">
            <v>7.0000000000000007E-2</v>
          </cell>
          <cell r="AN37">
            <v>0.13199999999999998</v>
          </cell>
          <cell r="AO37">
            <v>0.18999999999999997</v>
          </cell>
          <cell r="AP37">
            <v>0.120013986013986</v>
          </cell>
          <cell r="AQ37">
            <v>0.15322580645161291</v>
          </cell>
          <cell r="AR37">
            <v>0.15289473684210525</v>
          </cell>
          <cell r="AS37">
            <v>0.14275862068965514</v>
          </cell>
          <cell r="AT37">
            <v>0.15052356020942409</v>
          </cell>
          <cell r="AU37">
            <v>0.14998444790046656</v>
          </cell>
          <cell r="AV37">
            <v>0.18275257731958763</v>
          </cell>
          <cell r="AW37">
            <v>0.16208108108108105</v>
          </cell>
          <cell r="AX37">
            <v>0.14178651685393259</v>
          </cell>
          <cell r="AY37">
            <v>0.17385714285714288</v>
          </cell>
          <cell r="AZ37">
            <v>0.16596798975672214</v>
          </cell>
          <cell r="BA37">
            <v>0.16792307692307695</v>
          </cell>
          <cell r="BB37">
            <v>0.15942105263157891</v>
          </cell>
          <cell r="BC37">
            <v>0.1714455445544554</v>
          </cell>
          <cell r="BD37">
            <v>0.23031800766283539</v>
          </cell>
          <cell r="BE37">
            <v>0.18606132075471699</v>
          </cell>
          <cell r="BF37">
            <v>0.16244186046511627</v>
          </cell>
          <cell r="BG37">
            <v>0.15333333333333332</v>
          </cell>
          <cell r="BH37">
            <v>0.15551546391752577</v>
          </cell>
          <cell r="BI37">
            <v>0.20893536121673001</v>
          </cell>
          <cell r="BJ37">
            <v>0.17287931034482759</v>
          </cell>
          <cell r="BK37">
            <v>0.15316265060240961</v>
          </cell>
          <cell r="BL37">
            <v>0.14156250000000004</v>
          </cell>
          <cell r="BM37">
            <v>0.14372270742358076</v>
          </cell>
          <cell r="BN37">
            <v>0.20521354009113549</v>
          </cell>
          <cell r="BO37">
            <v>0.16316452564414544</v>
          </cell>
          <cell r="BP37">
            <v>0.15830422561245436</v>
          </cell>
          <cell r="BQ37">
            <v>0.16524661096029894</v>
          </cell>
          <cell r="BR37">
            <v>0.16718624943793584</v>
          </cell>
          <cell r="BS37">
            <v>0.16662312751398475</v>
          </cell>
          <cell r="BT37">
            <v>0.16605723159040833</v>
          </cell>
          <cell r="BU37">
            <v>0.16548854800218374</v>
          </cell>
          <cell r="BV37">
            <v>0.16491706301697284</v>
          </cell>
          <cell r="BW37">
            <v>0.16434276283479046</v>
          </cell>
          <cell r="BX37">
            <v>0.1637656335876711</v>
          </cell>
          <cell r="BY37">
            <v>0.16318566133933451</v>
          </cell>
        </row>
        <row r="38">
          <cell r="A38" t="str">
            <v>% Change</v>
          </cell>
          <cell r="Q38">
            <v>-0.25705329153605005</v>
          </cell>
          <cell r="V38">
            <v>-0.18565400843881874</v>
          </cell>
          <cell r="AA38">
            <v>-0.37823834196891226</v>
          </cell>
          <cell r="AF38">
            <v>-0.4166666666666663</v>
          </cell>
          <cell r="AK38">
            <v>-1.8571428571428572</v>
          </cell>
          <cell r="AP38">
            <v>7.5809999999999977</v>
          </cell>
          <cell r="AQ38">
            <v>2.9583333333333335</v>
          </cell>
          <cell r="AR38">
            <v>2.3199999999999998</v>
          </cell>
          <cell r="AS38">
            <v>0.52250661959399824</v>
          </cell>
          <cell r="AT38">
            <v>0.1550823623945361</v>
          </cell>
          <cell r="AU38">
            <v>0.8731305597638197</v>
          </cell>
          <cell r="AV38">
            <v>0.49280000000000013</v>
          </cell>
          <cell r="AW38">
            <v>0.29023235800344205</v>
          </cell>
          <cell r="AX38">
            <v>0.21922705314009683</v>
          </cell>
          <cell r="AY38">
            <v>0.35457391304347841</v>
          </cell>
          <cell r="AZ38">
            <v>0.34405848195769373</v>
          </cell>
          <cell r="BA38">
            <v>-7.6408867828735683E-2</v>
          </cell>
          <cell r="BB38">
            <v>1.0171752542938117E-2</v>
          </cell>
          <cell r="BC38">
            <v>0.37221649893018438</v>
          </cell>
          <cell r="BD38">
            <v>0.54357539030402702</v>
          </cell>
          <cell r="BE38">
            <v>0.21724103347451429</v>
          </cell>
          <cell r="BF38">
            <v>6.6575049625896776E-2</v>
          </cell>
          <cell r="BG38">
            <v>2.3109937273029235E-3</v>
          </cell>
          <cell r="BH38">
            <v>-0.12884037884037858</v>
          </cell>
          <cell r="BI38">
            <v>-8.5888243807496489E-2</v>
          </cell>
          <cell r="BJ38">
            <v>-4.6742299404233689E-2</v>
          </cell>
          <cell r="BK38">
            <v>9.1982820329276738E-2</v>
          </cell>
          <cell r="BL38">
            <v>4.4466403162055634E-2</v>
          </cell>
          <cell r="BM38">
            <v>9.0901557838912517E-2</v>
          </cell>
          <cell r="BN38">
            <v>4.6364438733891733E-2</v>
          </cell>
          <cell r="BO38">
            <v>6.5507967876249573E-2</v>
          </cell>
          <cell r="BP38">
            <v>-0.16090807160525822</v>
          </cell>
          <cell r="BQ38">
            <v>5.9512527071216015E-2</v>
          </cell>
          <cell r="BR38">
            <v>2.6913908813987142E-2</v>
          </cell>
          <cell r="BS38">
            <v>1.1581245438952559E-2</v>
          </cell>
          <cell r="BT38">
            <v>1.1552793294665076E-2</v>
          </cell>
          <cell r="BU38">
            <v>1.1524006593873093E-2</v>
          </cell>
          <cell r="BV38">
            <v>1.1494879754571086E-2</v>
          </cell>
          <cell r="BW38">
            <v>1.1465407070369915E-2</v>
          </cell>
          <cell r="BX38">
            <v>1.1435582707009617E-2</v>
          </cell>
          <cell r="BY38">
            <v>1.1405400698758283E-2</v>
          </cell>
        </row>
        <row r="40">
          <cell r="A40" t="str">
            <v>Capital Expenditures</v>
          </cell>
          <cell r="V40">
            <v>3</v>
          </cell>
          <cell r="AA40">
            <v>10</v>
          </cell>
          <cell r="AF40">
            <v>50</v>
          </cell>
          <cell r="AK40">
            <v>20</v>
          </cell>
          <cell r="AP40">
            <v>10</v>
          </cell>
          <cell r="AU40">
            <v>20</v>
          </cell>
          <cell r="AZ40">
            <v>30</v>
          </cell>
          <cell r="BE40">
            <v>50</v>
          </cell>
          <cell r="BJ40">
            <v>50</v>
          </cell>
          <cell r="BO40">
            <v>20</v>
          </cell>
          <cell r="BP40">
            <v>21</v>
          </cell>
          <cell r="BQ40">
            <v>22.05</v>
          </cell>
          <cell r="BR40">
            <v>23.152500000000003</v>
          </cell>
          <cell r="BS40">
            <v>24.310125000000003</v>
          </cell>
          <cell r="BT40">
            <v>25.525631250000004</v>
          </cell>
          <cell r="BU40">
            <v>26.801912812500007</v>
          </cell>
          <cell r="BV40">
            <v>28.142008453125008</v>
          </cell>
          <cell r="BW40">
            <v>29.549108875781261</v>
          </cell>
          <cell r="BX40">
            <v>31.026564319570326</v>
          </cell>
          <cell r="BY40">
            <v>32.577892535548841</v>
          </cell>
        </row>
        <row r="41">
          <cell r="A41" t="str">
            <v>Free Cash Flow</v>
          </cell>
          <cell r="V41">
            <v>-22.3</v>
          </cell>
          <cell r="AA41">
            <v>-21.999999999999993</v>
          </cell>
          <cell r="AF41">
            <v>-57</v>
          </cell>
          <cell r="AK41">
            <v>-14</v>
          </cell>
          <cell r="AP41">
            <v>41.48599999999999</v>
          </cell>
          <cell r="AU41">
            <v>76.44</v>
          </cell>
          <cell r="AZ41">
            <v>99.620999999999981</v>
          </cell>
          <cell r="BE41">
            <v>107.78</v>
          </cell>
          <cell r="BJ41">
            <v>100.405</v>
          </cell>
          <cell r="BO41">
            <v>140.25772590842732</v>
          </cell>
          <cell r="BP41">
            <v>113.47096427265825</v>
          </cell>
          <cell r="BQ41">
            <v>120.42367117422735</v>
          </cell>
          <cell r="BR41">
            <v>123.15569456860447</v>
          </cell>
          <cell r="BS41">
            <v>123.69250067963353</v>
          </cell>
          <cell r="BT41">
            <v>124.18683817117801</v>
          </cell>
          <cell r="BU41">
            <v>124.63584409347268</v>
          </cell>
          <cell r="BV41">
            <v>125.03650725878379</v>
          </cell>
          <cell r="BW41">
            <v>125.38566087319964</v>
          </cell>
          <cell r="BX41">
            <v>125.67997480306653</v>
          </cell>
          <cell r="BY41">
            <v>125.91594745789732</v>
          </cell>
        </row>
        <row r="44">
          <cell r="A44" t="str">
            <v>FULL TIME EQUIVALENT (FTE) ANALYSIS</v>
          </cell>
        </row>
        <row r="45">
          <cell r="A45" t="str">
            <v>Homes Passed</v>
          </cell>
          <cell r="AK45">
            <v>32800</v>
          </cell>
          <cell r="AL45">
            <v>33250</v>
          </cell>
          <cell r="AM45">
            <v>33700</v>
          </cell>
          <cell r="AN45">
            <v>34150</v>
          </cell>
          <cell r="AO45">
            <v>34600</v>
          </cell>
          <cell r="AP45">
            <v>34600</v>
          </cell>
          <cell r="AQ45">
            <v>34700</v>
          </cell>
          <cell r="AR45">
            <v>35200</v>
          </cell>
          <cell r="AS45">
            <v>35400</v>
          </cell>
          <cell r="AT45">
            <v>35700</v>
          </cell>
          <cell r="AU45">
            <v>35700</v>
          </cell>
          <cell r="AV45">
            <v>36900</v>
          </cell>
          <cell r="AW45">
            <v>37100</v>
          </cell>
          <cell r="AX45">
            <v>37400</v>
          </cell>
          <cell r="AY45">
            <v>37400</v>
          </cell>
          <cell r="AZ45">
            <v>37400</v>
          </cell>
          <cell r="BA45">
            <v>37500</v>
          </cell>
          <cell r="BB45">
            <v>37600</v>
          </cell>
          <cell r="BC45">
            <v>37800</v>
          </cell>
          <cell r="BD45">
            <v>37900</v>
          </cell>
          <cell r="BE45">
            <v>37900</v>
          </cell>
          <cell r="BF45">
            <v>37600</v>
          </cell>
          <cell r="BG45">
            <v>37700</v>
          </cell>
          <cell r="BH45">
            <v>37800</v>
          </cell>
          <cell r="BI45">
            <v>37600</v>
          </cell>
          <cell r="BJ45">
            <v>37600</v>
          </cell>
          <cell r="BK45">
            <v>37800</v>
          </cell>
          <cell r="BL45">
            <v>38000</v>
          </cell>
          <cell r="BM45">
            <v>38200</v>
          </cell>
          <cell r="BN45">
            <v>38352</v>
          </cell>
          <cell r="BO45">
            <v>38352</v>
          </cell>
          <cell r="BP45">
            <v>38927.279999999999</v>
          </cell>
          <cell r="BQ45">
            <v>39511.189199999993</v>
          </cell>
          <cell r="BR45">
            <v>40103.857037999987</v>
          </cell>
          <cell r="BS45">
            <v>40705.414893569985</v>
          </cell>
          <cell r="BT45">
            <v>41315.996116973532</v>
          </cell>
          <cell r="BU45">
            <v>41935.736058728129</v>
          </cell>
          <cell r="BV45">
            <v>42564.77209960905</v>
          </cell>
          <cell r="BW45">
            <v>43203.24368110318</v>
          </cell>
          <cell r="BX45">
            <v>43851.292336319726</v>
          </cell>
          <cell r="BY45">
            <v>44509.061721364516</v>
          </cell>
        </row>
        <row r="46">
          <cell r="A46" t="str">
            <v>FTEs as % of Homes Passed</v>
          </cell>
          <cell r="AK46">
            <v>0.81707317073170727</v>
          </cell>
          <cell r="AL46">
            <v>0.75789473684210529</v>
          </cell>
          <cell r="AM46">
            <v>0.81305637982195844</v>
          </cell>
          <cell r="AN46">
            <v>0.8</v>
          </cell>
          <cell r="AO46">
            <v>0.8</v>
          </cell>
          <cell r="AP46">
            <v>0.8</v>
          </cell>
          <cell r="AQ46">
            <v>0.8</v>
          </cell>
          <cell r="AR46">
            <v>0.8</v>
          </cell>
          <cell r="AS46">
            <v>0.8</v>
          </cell>
          <cell r="AT46">
            <v>0.8</v>
          </cell>
          <cell r="AU46">
            <v>0.8</v>
          </cell>
          <cell r="AV46">
            <v>0.8</v>
          </cell>
          <cell r="AW46">
            <v>0.8</v>
          </cell>
          <cell r="AX46">
            <v>0.8</v>
          </cell>
          <cell r="AY46">
            <v>0.8</v>
          </cell>
          <cell r="AZ46">
            <v>0.8</v>
          </cell>
          <cell r="BA46">
            <v>0.8</v>
          </cell>
          <cell r="BB46">
            <v>0.8</v>
          </cell>
          <cell r="BC46">
            <v>0.8</v>
          </cell>
          <cell r="BD46">
            <v>0.8</v>
          </cell>
          <cell r="BE46">
            <v>0.8</v>
          </cell>
          <cell r="BF46">
            <v>0.8</v>
          </cell>
          <cell r="BG46">
            <v>0.8</v>
          </cell>
          <cell r="BH46">
            <v>0.8</v>
          </cell>
          <cell r="BI46">
            <v>0.8</v>
          </cell>
          <cell r="BJ46">
            <v>0.8</v>
          </cell>
          <cell r="BK46">
            <v>0.8</v>
          </cell>
          <cell r="BL46">
            <v>0.8</v>
          </cell>
          <cell r="BM46">
            <v>0.8</v>
          </cell>
          <cell r="BN46">
            <v>0.8</v>
          </cell>
          <cell r="BO46">
            <v>0.8</v>
          </cell>
          <cell r="BP46">
            <v>0.8</v>
          </cell>
          <cell r="BQ46">
            <v>0.8</v>
          </cell>
          <cell r="BR46">
            <v>0.8</v>
          </cell>
          <cell r="BS46">
            <v>0.8</v>
          </cell>
          <cell r="BT46">
            <v>0.8</v>
          </cell>
          <cell r="BU46">
            <v>0.8</v>
          </cell>
          <cell r="BV46">
            <v>0.8</v>
          </cell>
          <cell r="BW46">
            <v>0.8</v>
          </cell>
          <cell r="BX46">
            <v>0.8</v>
          </cell>
          <cell r="BY46">
            <v>0.8</v>
          </cell>
        </row>
        <row r="48">
          <cell r="A48" t="str">
            <v>Full Time Equivalent(FTE) Subscriber</v>
          </cell>
          <cell r="F48">
            <v>4500</v>
          </cell>
          <cell r="G48">
            <v>4500</v>
          </cell>
          <cell r="H48">
            <v>4700</v>
          </cell>
          <cell r="I48">
            <v>4700</v>
          </cell>
          <cell r="J48">
            <v>4900</v>
          </cell>
          <cell r="K48">
            <v>4900</v>
          </cell>
          <cell r="L48">
            <v>4900</v>
          </cell>
          <cell r="M48">
            <v>5100</v>
          </cell>
          <cell r="N48">
            <v>5100</v>
          </cell>
          <cell r="O48">
            <v>5300</v>
          </cell>
          <cell r="P48">
            <v>5300</v>
          </cell>
          <cell r="Q48">
            <v>5300</v>
          </cell>
          <cell r="R48">
            <v>14700</v>
          </cell>
          <cell r="S48">
            <v>7300</v>
          </cell>
          <cell r="T48">
            <v>14000</v>
          </cell>
          <cell r="U48">
            <v>19400</v>
          </cell>
          <cell r="V48">
            <v>19400</v>
          </cell>
          <cell r="W48">
            <v>21000</v>
          </cell>
          <cell r="X48">
            <v>22600</v>
          </cell>
          <cell r="Y48">
            <v>21800</v>
          </cell>
          <cell r="Z48">
            <v>23200</v>
          </cell>
          <cell r="AA48">
            <v>23200</v>
          </cell>
          <cell r="AB48">
            <v>22400</v>
          </cell>
          <cell r="AC48">
            <v>23800</v>
          </cell>
          <cell r="AD48">
            <v>22800</v>
          </cell>
          <cell r="AE48">
            <v>24400</v>
          </cell>
          <cell r="AF48">
            <v>24400</v>
          </cell>
          <cell r="AG48">
            <v>24000</v>
          </cell>
          <cell r="AH48">
            <v>25600</v>
          </cell>
          <cell r="AI48">
            <v>24600</v>
          </cell>
          <cell r="AJ48">
            <v>26800</v>
          </cell>
          <cell r="AK48">
            <v>26800</v>
          </cell>
          <cell r="AL48">
            <v>25200</v>
          </cell>
          <cell r="AM48">
            <v>27400</v>
          </cell>
          <cell r="AN48">
            <v>27320</v>
          </cell>
          <cell r="AO48">
            <v>27680</v>
          </cell>
          <cell r="AP48">
            <v>27680</v>
          </cell>
          <cell r="AQ48">
            <v>27760</v>
          </cell>
          <cell r="AR48">
            <v>28160</v>
          </cell>
          <cell r="AS48">
            <v>28320</v>
          </cell>
          <cell r="AT48">
            <v>28560</v>
          </cell>
          <cell r="AU48">
            <v>28560</v>
          </cell>
          <cell r="AV48">
            <v>29520</v>
          </cell>
          <cell r="AW48">
            <v>29680</v>
          </cell>
          <cell r="AX48">
            <v>29920</v>
          </cell>
          <cell r="AY48">
            <v>29920</v>
          </cell>
          <cell r="AZ48">
            <v>29920</v>
          </cell>
          <cell r="BA48">
            <v>30000</v>
          </cell>
          <cell r="BB48">
            <v>30080</v>
          </cell>
          <cell r="BC48">
            <v>30240</v>
          </cell>
          <cell r="BD48">
            <v>30320</v>
          </cell>
          <cell r="BE48">
            <v>30320</v>
          </cell>
          <cell r="BF48">
            <v>30080</v>
          </cell>
          <cell r="BG48">
            <v>30160</v>
          </cell>
          <cell r="BH48">
            <v>30240</v>
          </cell>
          <cell r="BI48">
            <v>30080</v>
          </cell>
          <cell r="BJ48">
            <v>30080</v>
          </cell>
          <cell r="BK48">
            <v>30240</v>
          </cell>
          <cell r="BL48">
            <v>30400</v>
          </cell>
          <cell r="BM48">
            <v>30560</v>
          </cell>
          <cell r="BN48">
            <v>30681.600000000002</v>
          </cell>
          <cell r="BO48">
            <v>30681.600000000002</v>
          </cell>
          <cell r="BP48">
            <v>31141.824000000001</v>
          </cell>
          <cell r="BQ48">
            <v>31608.951359999995</v>
          </cell>
          <cell r="BR48">
            <v>32083.08563039999</v>
          </cell>
          <cell r="BS48">
            <v>32564.331914855989</v>
          </cell>
          <cell r="BT48">
            <v>33052.79689357883</v>
          </cell>
          <cell r="BU48">
            <v>33548.588846982508</v>
          </cell>
          <cell r="BV48">
            <v>34051.817679687243</v>
          </cell>
          <cell r="BW48">
            <v>34562.594944882549</v>
          </cell>
          <cell r="BX48">
            <v>35081.033869055784</v>
          </cell>
          <cell r="BY48">
            <v>35607.249377091612</v>
          </cell>
        </row>
        <row r="49">
          <cell r="A49" t="str">
            <v>Average FTEs</v>
          </cell>
          <cell r="F49">
            <v>4500</v>
          </cell>
          <cell r="G49">
            <v>4500</v>
          </cell>
          <cell r="H49">
            <v>4600</v>
          </cell>
          <cell r="I49">
            <v>4700</v>
          </cell>
          <cell r="J49">
            <v>4800</v>
          </cell>
          <cell r="K49">
            <v>4900</v>
          </cell>
          <cell r="L49">
            <v>4750</v>
          </cell>
          <cell r="M49">
            <v>5000</v>
          </cell>
          <cell r="N49">
            <v>5100</v>
          </cell>
          <cell r="O49">
            <v>5200</v>
          </cell>
          <cell r="P49">
            <v>5300</v>
          </cell>
          <cell r="Q49">
            <v>5150</v>
          </cell>
          <cell r="R49">
            <v>10000</v>
          </cell>
          <cell r="S49">
            <v>11000</v>
          </cell>
          <cell r="T49">
            <v>14000</v>
          </cell>
          <cell r="U49">
            <v>16700</v>
          </cell>
          <cell r="V49">
            <v>16700</v>
          </cell>
          <cell r="W49">
            <v>20200</v>
          </cell>
          <cell r="X49">
            <v>21800</v>
          </cell>
          <cell r="Y49">
            <v>22200</v>
          </cell>
          <cell r="Z49">
            <v>22500</v>
          </cell>
          <cell r="AA49">
            <v>21300</v>
          </cell>
          <cell r="AB49">
            <v>22800</v>
          </cell>
          <cell r="AC49">
            <v>23100</v>
          </cell>
          <cell r="AD49">
            <v>23300</v>
          </cell>
          <cell r="AE49">
            <v>23600</v>
          </cell>
          <cell r="AF49">
            <v>23200</v>
          </cell>
          <cell r="AG49">
            <v>24200</v>
          </cell>
          <cell r="AH49">
            <v>24800</v>
          </cell>
          <cell r="AI49">
            <v>25100</v>
          </cell>
          <cell r="AJ49">
            <v>25700</v>
          </cell>
          <cell r="AK49">
            <v>24950</v>
          </cell>
          <cell r="AL49">
            <v>26000</v>
          </cell>
          <cell r="AM49">
            <v>26300</v>
          </cell>
          <cell r="AN49">
            <v>27360</v>
          </cell>
          <cell r="AO49">
            <v>27500</v>
          </cell>
          <cell r="AP49">
            <v>26790</v>
          </cell>
          <cell r="AQ49">
            <v>27720</v>
          </cell>
          <cell r="AR49">
            <v>27960</v>
          </cell>
          <cell r="AS49">
            <v>28240</v>
          </cell>
          <cell r="AT49">
            <v>28440</v>
          </cell>
          <cell r="AU49">
            <v>28120</v>
          </cell>
          <cell r="AV49">
            <v>29040</v>
          </cell>
          <cell r="AW49">
            <v>29600</v>
          </cell>
          <cell r="AX49">
            <v>29800</v>
          </cell>
          <cell r="AY49">
            <v>29920</v>
          </cell>
          <cell r="AZ49">
            <v>29760</v>
          </cell>
          <cell r="BA49">
            <v>29960</v>
          </cell>
          <cell r="BB49">
            <v>30040</v>
          </cell>
          <cell r="BC49">
            <v>30160</v>
          </cell>
          <cell r="BD49">
            <v>30280</v>
          </cell>
          <cell r="BE49">
            <v>30160</v>
          </cell>
          <cell r="BF49">
            <v>30200</v>
          </cell>
          <cell r="BG49">
            <v>30120</v>
          </cell>
          <cell r="BH49">
            <v>30200</v>
          </cell>
          <cell r="BI49">
            <v>30160</v>
          </cell>
          <cell r="BJ49">
            <v>30140</v>
          </cell>
          <cell r="BK49">
            <v>30160</v>
          </cell>
          <cell r="BL49">
            <v>30320</v>
          </cell>
          <cell r="BM49">
            <v>30480</v>
          </cell>
          <cell r="BN49">
            <v>30620.800000000003</v>
          </cell>
          <cell r="BO49">
            <v>30380.800000000003</v>
          </cell>
          <cell r="BP49">
            <v>30911.712</v>
          </cell>
          <cell r="BQ49">
            <v>31375.38768</v>
          </cell>
          <cell r="BR49">
            <v>31846.018495199991</v>
          </cell>
          <cell r="BS49">
            <v>32323.70877262799</v>
          </cell>
          <cell r="BT49">
            <v>32808.56440421741</v>
          </cell>
          <cell r="BU49">
            <v>33300.692870280669</v>
          </cell>
          <cell r="BV49">
            <v>33800.203263334872</v>
          </cell>
          <cell r="BW49">
            <v>34307.206312284892</v>
          </cell>
          <cell r="BX49">
            <v>34821.814406969163</v>
          </cell>
          <cell r="BY49">
            <v>35344.141623073694</v>
          </cell>
        </row>
        <row r="50">
          <cell r="A50" t="str">
            <v>Total Sales per Avg. FTE</v>
          </cell>
          <cell r="F50">
            <v>0.1111111111111111</v>
          </cell>
          <cell r="G50">
            <v>0.1111111111111111</v>
          </cell>
          <cell r="H50">
            <v>0.1932608695652174</v>
          </cell>
          <cell r="I50">
            <v>0.37234042553191488</v>
          </cell>
          <cell r="J50">
            <v>0.60416666666666663</v>
          </cell>
          <cell r="K50">
            <v>1.2653061224489797</v>
          </cell>
          <cell r="L50">
            <v>2.4713684210526314</v>
          </cell>
          <cell r="M50">
            <v>1.6696658097686379</v>
          </cell>
          <cell r="N50">
            <v>1.5496244770401733</v>
          </cell>
          <cell r="O50">
            <v>1.9693494166501873</v>
          </cell>
          <cell r="P50">
            <v>3.1713149342775373</v>
          </cell>
          <cell r="Q50">
            <v>8.4077669902912628</v>
          </cell>
          <cell r="R50">
            <v>2.1800000000000002</v>
          </cell>
          <cell r="S50">
            <v>2.0090909090909093</v>
          </cell>
          <cell r="T50">
            <v>1.7142857142857142</v>
          </cell>
          <cell r="U50">
            <v>2.0479041916167664</v>
          </cell>
          <cell r="V50">
            <v>6.1137724550898209</v>
          </cell>
          <cell r="W50">
            <v>1.7128712871287128</v>
          </cell>
          <cell r="X50">
            <v>1.3623853211009174</v>
          </cell>
          <cell r="Y50">
            <v>1.527027027027027</v>
          </cell>
          <cell r="Z50">
            <v>1.7511111111111111</v>
          </cell>
          <cell r="AA50">
            <v>6.460093896713615</v>
          </cell>
          <cell r="AB50">
            <v>2.0219298245614037</v>
          </cell>
          <cell r="AC50">
            <v>1.8095238095238095</v>
          </cell>
          <cell r="AD50">
            <v>1.9656652360515021</v>
          </cell>
          <cell r="AE50">
            <v>2.7161016949152539</v>
          </cell>
          <cell r="AF50">
            <v>8.525862068965516</v>
          </cell>
          <cell r="AG50">
            <v>2.5</v>
          </cell>
          <cell r="AH50">
            <v>2.5201612903225805</v>
          </cell>
          <cell r="AI50">
            <v>2.6095617529880477</v>
          </cell>
          <cell r="AJ50">
            <v>3.6058200400971785</v>
          </cell>
          <cell r="AK50">
            <v>11.042084168336673</v>
          </cell>
          <cell r="AL50">
            <v>3.6538461538461537</v>
          </cell>
          <cell r="AM50">
            <v>3.8022813688212929</v>
          </cell>
          <cell r="AN50">
            <v>3.7646198830409356</v>
          </cell>
          <cell r="AO50">
            <v>4.7636363636363637</v>
          </cell>
          <cell r="AP50">
            <v>16.013437849944008</v>
          </cell>
          <cell r="AQ50">
            <v>5.591630591630592</v>
          </cell>
          <cell r="AR50">
            <v>5.4363376251788269</v>
          </cell>
          <cell r="AS50">
            <v>5.1345609065155804</v>
          </cell>
          <cell r="AT50">
            <v>6.7158931082981717</v>
          </cell>
          <cell r="AU50">
            <v>22.866287339971549</v>
          </cell>
          <cell r="AV50">
            <v>6.6804407713498621</v>
          </cell>
          <cell r="AW50">
            <v>6.25</v>
          </cell>
          <cell r="AX50">
            <v>5.973154362416107</v>
          </cell>
          <cell r="AY50">
            <v>7.4866310160427805</v>
          </cell>
          <cell r="AZ50">
            <v>26.243279569892472</v>
          </cell>
          <cell r="BA50">
            <v>6.5086782376502006</v>
          </cell>
          <cell r="BB50">
            <v>6.3249001331557926</v>
          </cell>
          <cell r="BC50">
            <v>6.6976127320954904</v>
          </cell>
          <cell r="BD50">
            <v>8.6195508586525751</v>
          </cell>
          <cell r="BE50">
            <v>28.116710875331567</v>
          </cell>
          <cell r="BF50">
            <v>7.1192052980132452</v>
          </cell>
          <cell r="BG50">
            <v>6.5737051792828689</v>
          </cell>
          <cell r="BH50">
            <v>6.4238410596026494</v>
          </cell>
          <cell r="BI50">
            <v>8.7201591511936343</v>
          </cell>
          <cell r="BJ50">
            <v>28.865295288652952</v>
          </cell>
          <cell r="BK50">
            <v>8.2559681697612728</v>
          </cell>
          <cell r="BL50">
            <v>7.3878627968337733</v>
          </cell>
          <cell r="BM50">
            <v>7.5131233595800522</v>
          </cell>
          <cell r="BN50">
            <v>9.1501480914335556</v>
          </cell>
          <cell r="BO50">
            <v>32.329130723291307</v>
          </cell>
          <cell r="BP50">
            <v>27.479761114797611</v>
          </cell>
          <cell r="BQ50">
            <v>27.479761114797611</v>
          </cell>
          <cell r="BR50">
            <v>27.479761114797611</v>
          </cell>
          <cell r="BS50">
            <v>27.479761114797611</v>
          </cell>
          <cell r="BT50">
            <v>27.479761114797611</v>
          </cell>
          <cell r="BU50">
            <v>27.479761114797611</v>
          </cell>
          <cell r="BV50">
            <v>27.479761114797611</v>
          </cell>
          <cell r="BW50">
            <v>27.479761114797611</v>
          </cell>
          <cell r="BX50">
            <v>27.479761114797611</v>
          </cell>
          <cell r="BY50">
            <v>27.479761114797611</v>
          </cell>
        </row>
        <row r="51">
          <cell r="A51" t="str">
            <v>% Change - Sales per FTE</v>
          </cell>
          <cell r="K51">
            <v>10.387755102040817</v>
          </cell>
          <cell r="L51">
            <v>21.242315789473682</v>
          </cell>
          <cell r="M51">
            <v>7.6394406354732656</v>
          </cell>
          <cell r="N51">
            <v>3.1618485954793227</v>
          </cell>
          <cell r="O51">
            <v>2.2596128275589309</v>
          </cell>
          <cell r="P51">
            <v>1.5063618028967634</v>
          </cell>
          <cell r="Q51">
            <v>2.4020694440653805</v>
          </cell>
          <cell r="R51">
            <v>0.30565050038491126</v>
          </cell>
          <cell r="S51">
            <v>0.29650179050367731</v>
          </cell>
          <cell r="T51">
            <v>-0.12951673289056542</v>
          </cell>
          <cell r="U51">
            <v>-0.35424130556011679</v>
          </cell>
          <cell r="V51">
            <v>-0.27284230614982508</v>
          </cell>
          <cell r="W51">
            <v>-0.21427922608774641</v>
          </cell>
          <cell r="X51">
            <v>-0.32188965918053891</v>
          </cell>
          <cell r="Y51">
            <v>-0.10923423423423417</v>
          </cell>
          <cell r="Z51">
            <v>-0.14492527615334627</v>
          </cell>
          <cell r="AA51">
            <v>5.6646112390963399E-2</v>
          </cell>
          <cell r="AB51">
            <v>0.18043301896359409</v>
          </cell>
          <cell r="AC51">
            <v>0.32820266153599498</v>
          </cell>
          <cell r="AD51">
            <v>0.28724980060009875</v>
          </cell>
          <cell r="AE51">
            <v>0.55107330293383794</v>
          </cell>
          <cell r="AF51">
            <v>0.3197737068965516</v>
          </cell>
          <cell r="AG51">
            <v>0.23644251626898027</v>
          </cell>
          <cell r="AH51">
            <v>0.39272071307300505</v>
          </cell>
          <cell r="AI51">
            <v>0.32757180883453074</v>
          </cell>
          <cell r="AJ51">
            <v>0.32757180883453074</v>
          </cell>
          <cell r="AK51">
            <v>0.29512817343483744</v>
          </cell>
          <cell r="AL51">
            <v>0.46153846153846145</v>
          </cell>
          <cell r="AM51">
            <v>0.50874524714828917</v>
          </cell>
          <cell r="AN51">
            <v>0.44262532922637376</v>
          </cell>
          <cell r="AO51">
            <v>0.32109653578495867</v>
          </cell>
          <cell r="AP51">
            <v>0.45021878169184393</v>
          </cell>
          <cell r="AQ51">
            <v>0.53034100402521478</v>
          </cell>
          <cell r="AR51">
            <v>0.42975679542203138</v>
          </cell>
          <cell r="AS51">
            <v>0.36389889710938128</v>
          </cell>
          <cell r="AT51">
            <v>0.40982488914656279</v>
          </cell>
          <cell r="AU51">
            <v>0.42794367794367805</v>
          </cell>
          <cell r="AV51">
            <v>0.1947214076246333</v>
          </cell>
          <cell r="AW51">
            <v>0.14967105263157898</v>
          </cell>
          <cell r="AX51">
            <v>0.16332330479055779</v>
          </cell>
          <cell r="AY51">
            <v>0.11476327799087271</v>
          </cell>
          <cell r="AZ51">
            <v>0.14768432582484659</v>
          </cell>
          <cell r="BA51">
            <v>-2.5711257621846229E-2</v>
          </cell>
          <cell r="BB51">
            <v>1.1984021304926706E-2</v>
          </cell>
          <cell r="BC51">
            <v>0.12128572705868335</v>
          </cell>
          <cell r="BD51">
            <v>0.15132572183430826</v>
          </cell>
          <cell r="BE51">
            <v>7.138708789995829E-2</v>
          </cell>
          <cell r="BF51">
            <v>9.3802003735778516E-2</v>
          </cell>
          <cell r="BG51">
            <v>3.9337387292933457E-2</v>
          </cell>
          <cell r="BH51">
            <v>-4.0876008130614316E-2</v>
          </cell>
          <cell r="BI51">
            <v>1.1672103824303726E-2</v>
          </cell>
          <cell r="BJ51">
            <v>2.6624181492656884E-2</v>
          </cell>
          <cell r="BK51">
            <v>0.15967552896181592</v>
          </cell>
          <cell r="BL51">
            <v>0.12385064363956189</v>
          </cell>
          <cell r="BM51">
            <v>0.16956868793462654</v>
          </cell>
          <cell r="BN51">
            <v>4.9309758318007768E-2</v>
          </cell>
          <cell r="BO51">
            <v>0.12</v>
          </cell>
          <cell r="BP51">
            <v>-0.15</v>
          </cell>
          <cell r="BQ51">
            <v>0</v>
          </cell>
          <cell r="BR51">
            <v>0</v>
          </cell>
          <cell r="BS51">
            <v>0</v>
          </cell>
          <cell r="BT51">
            <v>0</v>
          </cell>
          <cell r="BU51">
            <v>0</v>
          </cell>
          <cell r="BV51">
            <v>0</v>
          </cell>
          <cell r="BW51">
            <v>0</v>
          </cell>
          <cell r="BX51">
            <v>0</v>
          </cell>
          <cell r="BY51">
            <v>0</v>
          </cell>
        </row>
        <row r="53">
          <cell r="A53" t="str">
            <v>Customers (min. 1 purch. per year)</v>
          </cell>
          <cell r="F53">
            <v>90</v>
          </cell>
          <cell r="G53">
            <v>180</v>
          </cell>
          <cell r="H53">
            <v>184</v>
          </cell>
          <cell r="I53">
            <v>278</v>
          </cell>
          <cell r="J53">
            <v>376</v>
          </cell>
          <cell r="K53">
            <v>568.79999999999995</v>
          </cell>
          <cell r="L53">
            <v>663.6</v>
          </cell>
          <cell r="M53">
            <v>680.40000000000009</v>
          </cell>
          <cell r="N53">
            <v>691.6</v>
          </cell>
          <cell r="O53">
            <v>708.40000000000009</v>
          </cell>
          <cell r="P53">
            <v>616.79999999999995</v>
          </cell>
          <cell r="Q53">
            <v>714.00000000000011</v>
          </cell>
          <cell r="R53">
            <v>994.00000000000011</v>
          </cell>
          <cell r="S53">
            <v>1055.6000000000001</v>
          </cell>
          <cell r="T53">
            <v>1304.8000000000002</v>
          </cell>
          <cell r="U53">
            <v>1456.8</v>
          </cell>
          <cell r="V53">
            <v>1729.0000000000002</v>
          </cell>
          <cell r="W53">
            <v>2270.8000000000002</v>
          </cell>
          <cell r="X53">
            <v>2699.2000000000003</v>
          </cell>
          <cell r="Y53">
            <v>2917.6000000000004</v>
          </cell>
          <cell r="Z53">
            <v>3024.0000000000005</v>
          </cell>
          <cell r="AA53">
            <v>2982.0000000000005</v>
          </cell>
          <cell r="AB53">
            <v>3169.6000000000004</v>
          </cell>
          <cell r="AC53">
            <v>3203.2000000000003</v>
          </cell>
          <cell r="AD53">
            <v>3231.2000000000003</v>
          </cell>
          <cell r="AE53">
            <v>3264.8</v>
          </cell>
          <cell r="AF53">
            <v>3332.0000000000005</v>
          </cell>
          <cell r="AG53">
            <v>3343.2000000000003</v>
          </cell>
          <cell r="AH53">
            <v>3393.6000000000004</v>
          </cell>
          <cell r="AI53">
            <v>3444.0000000000005</v>
          </cell>
          <cell r="AJ53">
            <v>3511.2000000000003</v>
          </cell>
          <cell r="AK53">
            <v>3584.0000000000005</v>
          </cell>
          <cell r="AL53">
            <v>3612.0000000000005</v>
          </cell>
          <cell r="AM53">
            <v>3662.4000000000005</v>
          </cell>
          <cell r="AN53">
            <v>3738.5600000000004</v>
          </cell>
          <cell r="AO53">
            <v>3763.2000000000003</v>
          </cell>
          <cell r="AP53">
            <v>3813.6000000000004</v>
          </cell>
          <cell r="AU53">
            <v>3936.8</v>
          </cell>
          <cell r="AZ53">
            <v>4093.6000000000004</v>
          </cell>
          <cell r="BE53">
            <v>4216.8</v>
          </cell>
          <cell r="BJ53">
            <v>4228</v>
          </cell>
          <cell r="BO53">
            <v>4253.3120000000008</v>
          </cell>
          <cell r="BP53">
            <v>4327.6396800000002</v>
          </cell>
          <cell r="BQ53">
            <v>4392.5542752000001</v>
          </cell>
          <cell r="BR53">
            <v>4458.4425893279995</v>
          </cell>
          <cell r="BS53">
            <v>4525.3192281679194</v>
          </cell>
          <cell r="BT53">
            <v>4593.1990165904381</v>
          </cell>
          <cell r="BU53">
            <v>4662.0970018392945</v>
          </cell>
          <cell r="BV53">
            <v>4732.0284568668822</v>
          </cell>
          <cell r="BW53">
            <v>4803.0088837198855</v>
          </cell>
          <cell r="BX53">
            <v>4875.0540169756832</v>
          </cell>
          <cell r="BY53">
            <v>4948.1798272303176</v>
          </cell>
        </row>
        <row r="54">
          <cell r="A54" t="str">
            <v>Customers as % of FTE</v>
          </cell>
          <cell r="F54">
            <v>0.02</v>
          </cell>
          <cell r="G54">
            <v>0.04</v>
          </cell>
          <cell r="H54">
            <v>3.9148936170212763E-2</v>
          </cell>
          <cell r="I54">
            <v>5.9148936170212767E-2</v>
          </cell>
          <cell r="J54">
            <v>7.6734693877551025E-2</v>
          </cell>
          <cell r="K54">
            <v>0.11608163265306122</v>
          </cell>
          <cell r="L54">
            <v>0.13542857142857143</v>
          </cell>
          <cell r="M54">
            <v>0.13341176470588237</v>
          </cell>
          <cell r="N54">
            <v>0.13560784313725491</v>
          </cell>
          <cell r="O54">
            <v>0.1336603773584906</v>
          </cell>
          <cell r="P54">
            <v>0.11637735849056603</v>
          </cell>
          <cell r="Q54">
            <v>0.1347169811320755</v>
          </cell>
          <cell r="R54">
            <v>6.761904761904762E-2</v>
          </cell>
          <cell r="S54">
            <v>0.14460273972602741</v>
          </cell>
          <cell r="T54">
            <v>9.3200000000000019E-2</v>
          </cell>
          <cell r="U54">
            <v>7.5092783505154637E-2</v>
          </cell>
          <cell r="V54">
            <v>8.9123711340206191E-2</v>
          </cell>
          <cell r="W54">
            <v>0.10813333333333335</v>
          </cell>
          <cell r="X54">
            <v>0.11943362831858409</v>
          </cell>
          <cell r="Y54">
            <v>0.13383486238532111</v>
          </cell>
          <cell r="Z54">
            <v>0.13034482758620691</v>
          </cell>
          <cell r="AA54">
            <v>0.1285344827586207</v>
          </cell>
          <cell r="AB54">
            <v>0.14150000000000001</v>
          </cell>
          <cell r="AC54">
            <v>0.13458823529411765</v>
          </cell>
          <cell r="AD54">
            <v>0.14171929824561405</v>
          </cell>
          <cell r="AE54">
            <v>0.1338032786885246</v>
          </cell>
          <cell r="AF54">
            <v>0.13655737704918033</v>
          </cell>
          <cell r="AG54">
            <v>0.13930000000000001</v>
          </cell>
          <cell r="AH54">
            <v>0.13256250000000003</v>
          </cell>
          <cell r="AI54">
            <v>0.14000000000000001</v>
          </cell>
          <cell r="AJ54">
            <v>0.13101492537313433</v>
          </cell>
          <cell r="AK54">
            <v>0.1337313432835821</v>
          </cell>
          <cell r="AL54">
            <v>0.14333333333333334</v>
          </cell>
          <cell r="AM54">
            <v>0.13366423357664237</v>
          </cell>
          <cell r="AN54">
            <v>0.13684333821376282</v>
          </cell>
          <cell r="AO54">
            <v>0.13595375722543354</v>
          </cell>
          <cell r="AP54">
            <v>0.13777456647398845</v>
          </cell>
          <cell r="AU54">
            <v>0.13784313725490197</v>
          </cell>
          <cell r="AZ54">
            <v>0.13681818181818184</v>
          </cell>
          <cell r="BE54">
            <v>0.13907651715039579</v>
          </cell>
          <cell r="BJ54">
            <v>0.14055851063829788</v>
          </cell>
          <cell r="BO54">
            <v>0.13862745098039217</v>
          </cell>
          <cell r="BP54">
            <v>0.13896551724137932</v>
          </cell>
          <cell r="BQ54">
            <v>0.13896551724137934</v>
          </cell>
          <cell r="BR54">
            <v>0.13896551724137934</v>
          </cell>
          <cell r="BS54">
            <v>0.13896551724137934</v>
          </cell>
          <cell r="BT54">
            <v>0.13896551724137932</v>
          </cell>
          <cell r="BU54">
            <v>0.13896551724137934</v>
          </cell>
          <cell r="BV54">
            <v>0.13896551724137932</v>
          </cell>
          <cell r="BW54">
            <v>0.13896551724137932</v>
          </cell>
          <cell r="BX54">
            <v>0.13896551724137932</v>
          </cell>
          <cell r="BY54">
            <v>0.13896551724137932</v>
          </cell>
        </row>
        <row r="55">
          <cell r="A55" t="str">
            <v>Cust. as % Trail. 12 Month Avg. FTE</v>
          </cell>
          <cell r="F55">
            <v>0.1</v>
          </cell>
          <cell r="G55">
            <v>0.1</v>
          </cell>
          <cell r="H55">
            <v>0.1</v>
          </cell>
          <cell r="I55">
            <v>0.1</v>
          </cell>
          <cell r="J55">
            <v>0.1</v>
          </cell>
          <cell r="K55">
            <v>0.12</v>
          </cell>
          <cell r="L55">
            <v>0.14000000000000001</v>
          </cell>
          <cell r="M55">
            <v>0.14000000000000001</v>
          </cell>
          <cell r="N55">
            <v>0.14000000000000001</v>
          </cell>
          <cell r="O55">
            <v>0.14000000000000001</v>
          </cell>
          <cell r="P55">
            <v>0.12</v>
          </cell>
          <cell r="Q55">
            <v>0.14000000000000001</v>
          </cell>
          <cell r="R55">
            <v>0.14000000000000001</v>
          </cell>
          <cell r="S55">
            <v>0.14000000000000001</v>
          </cell>
          <cell r="T55">
            <v>0.14000000000000001</v>
          </cell>
          <cell r="U55">
            <v>0.12</v>
          </cell>
          <cell r="V55">
            <v>0.14000000000000001</v>
          </cell>
          <cell r="W55">
            <v>0.14000000000000001</v>
          </cell>
          <cell r="X55">
            <v>0.14000000000000001</v>
          </cell>
          <cell r="Y55">
            <v>0.14000000000000001</v>
          </cell>
          <cell r="Z55">
            <v>0.14000000000000001</v>
          </cell>
          <cell r="AA55">
            <v>0.14000000000000001</v>
          </cell>
          <cell r="AB55">
            <v>0.14000000000000001</v>
          </cell>
          <cell r="AC55">
            <v>0.14000000000000001</v>
          </cell>
          <cell r="AD55">
            <v>0.14000000000000001</v>
          </cell>
          <cell r="AE55">
            <v>0.14000000000000001</v>
          </cell>
          <cell r="AF55">
            <v>0.14000000000000001</v>
          </cell>
          <cell r="AG55">
            <v>0.14000000000000001</v>
          </cell>
          <cell r="AH55">
            <v>0.14000000000000001</v>
          </cell>
          <cell r="AI55">
            <v>0.14000000000000001</v>
          </cell>
          <cell r="AJ55">
            <v>0.14000000000000001</v>
          </cell>
          <cell r="AK55">
            <v>0.14000000000000001</v>
          </cell>
          <cell r="AL55">
            <v>0.14000000000000001</v>
          </cell>
          <cell r="AM55">
            <v>0.14000000000000001</v>
          </cell>
          <cell r="AN55">
            <v>0.14000000000000001</v>
          </cell>
          <cell r="AO55">
            <v>0.14000000000000001</v>
          </cell>
          <cell r="AP55">
            <v>0.14000000000000001</v>
          </cell>
          <cell r="AU55">
            <v>0.14000000000000001</v>
          </cell>
          <cell r="AZ55">
            <v>0.14000000000000001</v>
          </cell>
          <cell r="BE55">
            <v>0.14000000000000001</v>
          </cell>
          <cell r="BJ55">
            <v>0.14000000000000001</v>
          </cell>
          <cell r="BO55">
            <v>0.14000000000000001</v>
          </cell>
          <cell r="BP55">
            <v>0.14000000000000001</v>
          </cell>
          <cell r="BQ55">
            <v>0.14000000000000001</v>
          </cell>
          <cell r="BR55">
            <v>0.14000000000000001</v>
          </cell>
          <cell r="BS55">
            <v>0.14000000000000001</v>
          </cell>
          <cell r="BT55">
            <v>0.14000000000000001</v>
          </cell>
          <cell r="BU55">
            <v>0.14000000000000001</v>
          </cell>
          <cell r="BV55">
            <v>0.14000000000000001</v>
          </cell>
          <cell r="BW55">
            <v>0.14000000000000001</v>
          </cell>
          <cell r="BX55">
            <v>0.14000000000000001</v>
          </cell>
          <cell r="BY55">
            <v>0.14000000000000001</v>
          </cell>
        </row>
        <row r="56">
          <cell r="A56" t="str">
            <v>Revenue per Customer</v>
          </cell>
          <cell r="F56">
            <v>5.5555555555555554</v>
          </cell>
          <cell r="G56">
            <v>2.7777777777777777</v>
          </cell>
          <cell r="H56">
            <v>4.8315217391304346</v>
          </cell>
          <cell r="I56">
            <v>6.2949640287769784</v>
          </cell>
          <cell r="J56">
            <v>7.7127659574468082</v>
          </cell>
          <cell r="K56">
            <v>10.900140646976091</v>
          </cell>
          <cell r="L56">
            <v>17.689873417721518</v>
          </cell>
          <cell r="M56">
            <v>12.269736991245132</v>
          </cell>
          <cell r="N56">
            <v>11.427248167878663</v>
          </cell>
          <cell r="O56">
            <v>14.455981036957894</v>
          </cell>
          <cell r="P56">
            <v>27.250274240711654</v>
          </cell>
          <cell r="Q56">
            <v>60.644257703081223</v>
          </cell>
          <cell r="R56">
            <v>21.931589537223338</v>
          </cell>
          <cell r="S56">
            <v>20.935960591133</v>
          </cell>
          <cell r="T56">
            <v>18.393623543838132</v>
          </cell>
          <cell r="U56">
            <v>23.476112026359143</v>
          </cell>
          <cell r="V56">
            <v>59.051474840948529</v>
          </cell>
          <cell r="W56">
            <v>15.236920908930774</v>
          </cell>
          <cell r="X56">
            <v>11.003260225251925</v>
          </cell>
          <cell r="Y56">
            <v>11.619139018371262</v>
          </cell>
          <cell r="Z56">
            <v>13.029100529100527</v>
          </cell>
          <cell r="AA56">
            <v>46.143527833668671</v>
          </cell>
          <cell r="AB56">
            <v>14.544422009086318</v>
          </cell>
          <cell r="AC56">
            <v>13.049450549450547</v>
          </cell>
          <cell r="AD56">
            <v>14.174300569447881</v>
          </cell>
          <cell r="AE56">
            <v>19.633668218573877</v>
          </cell>
          <cell r="AF56">
            <v>59.363745498199265</v>
          </cell>
          <cell r="AG56">
            <v>18.096434553720982</v>
          </cell>
          <cell r="AH56">
            <v>18.417020273455915</v>
          </cell>
          <cell r="AI56">
            <v>19.018583042973283</v>
          </cell>
          <cell r="AJ56">
            <v>24.777853725222144</v>
          </cell>
          <cell r="AK56">
            <v>76.869419642857139</v>
          </cell>
          <cell r="AL56">
            <v>26.301218161683273</v>
          </cell>
          <cell r="AM56">
            <v>27.304499781563997</v>
          </cell>
          <cell r="AN56">
            <v>27.550714713686549</v>
          </cell>
          <cell r="AO56">
            <v>34.810799319727884</v>
          </cell>
          <cell r="AP56">
            <v>112.49213341724354</v>
          </cell>
          <cell r="AU56">
            <v>163.33062385693964</v>
          </cell>
          <cell r="AZ56">
            <v>190.78561657221024</v>
          </cell>
          <cell r="BE56">
            <v>201.10036046291026</v>
          </cell>
          <cell r="BJ56">
            <v>205.77105014191108</v>
          </cell>
          <cell r="BO56">
            <v>230.92236230922359</v>
          </cell>
          <cell r="BP56">
            <v>196.28400796284004</v>
          </cell>
          <cell r="BQ56">
            <v>196.28400796284006</v>
          </cell>
          <cell r="BR56">
            <v>196.28400796284006</v>
          </cell>
          <cell r="BS56">
            <v>196.28400796284004</v>
          </cell>
          <cell r="BT56">
            <v>196.28400796284004</v>
          </cell>
          <cell r="BU56">
            <v>196.28400796284006</v>
          </cell>
          <cell r="BV56">
            <v>196.28400796284009</v>
          </cell>
          <cell r="BW56">
            <v>196.28400796284004</v>
          </cell>
          <cell r="BX56">
            <v>196.28400796284006</v>
          </cell>
          <cell r="BY56">
            <v>196.28400796284006</v>
          </cell>
        </row>
        <row r="57">
          <cell r="K57">
            <v>0.96202531645569644</v>
          </cell>
          <cell r="L57">
            <v>5.368354430379747</v>
          </cell>
          <cell r="M57">
            <v>1.5395181174230648</v>
          </cell>
          <cell r="N57">
            <v>0.81529999466872471</v>
          </cell>
          <cell r="O57">
            <v>0.87429271375729956</v>
          </cell>
          <cell r="P57">
            <v>1.4999929013091595</v>
          </cell>
          <cell r="Q57">
            <v>2.4281905964532497</v>
          </cell>
          <cell r="R57">
            <v>0.78745392447061091</v>
          </cell>
          <cell r="S57">
            <v>0.83210868299708252</v>
          </cell>
          <cell r="T57">
            <v>0.27238846653252602</v>
          </cell>
          <cell r="U57">
            <v>-0.13849997181730922</v>
          </cell>
          <cell r="V57">
            <v>-2.626436405456678E-2</v>
          </cell>
          <cell r="W57">
            <v>-0.27221295423224756</v>
          </cell>
          <cell r="X57">
            <v>-0.40178941908713683</v>
          </cell>
          <cell r="Y57">
            <v>-0.50506544672622056</v>
          </cell>
          <cell r="Z57">
            <v>-0.7793602858490225</v>
          </cell>
          <cell r="AA57">
            <v>-0.21858805460907815</v>
          </cell>
          <cell r="AB57">
            <v>0.3218284137012053</v>
          </cell>
          <cell r="AC57">
            <v>0.12309961425005667</v>
          </cell>
          <cell r="AD57">
            <v>8.7895556396203167E-2</v>
          </cell>
          <cell r="AE57">
            <v>-0.57450873090270849</v>
          </cell>
          <cell r="AF57">
            <v>0.28650210084033612</v>
          </cell>
          <cell r="AG57">
            <v>0.38675835316935547</v>
          </cell>
          <cell r="AH57">
            <v>0.29932480147578078</v>
          </cell>
          <cell r="AI57">
            <v>-3.1328082391588463E-2</v>
          </cell>
          <cell r="AJ57">
            <v>-0.58260966323336594</v>
          </cell>
          <cell r="AK57">
            <v>0.29488830257836218</v>
          </cell>
          <cell r="AL57">
            <v>0.42809302325581378</v>
          </cell>
          <cell r="AM57">
            <v>0.43567476714055609</v>
          </cell>
          <cell r="AN57">
            <v>0.11190884485857722</v>
          </cell>
          <cell r="AO57">
            <v>-0.54714372137239664</v>
          </cell>
          <cell r="AP57">
            <v>0.46341853418294332</v>
          </cell>
          <cell r="AU57">
            <v>0.45192929403455739</v>
          </cell>
          <cell r="AZ57">
            <v>0.16809458059327742</v>
          </cell>
          <cell r="BE57">
            <v>5.4064578221471926E-2</v>
          </cell>
          <cell r="BJ57">
            <v>2.3225665375484317E-2</v>
          </cell>
          <cell r="BO57">
            <v>0.12222959522229582</v>
          </cell>
          <cell r="BP57">
            <v>-0.15000000000000002</v>
          </cell>
          <cell r="BQ57">
            <v>0</v>
          </cell>
          <cell r="BR57">
            <v>0</v>
          </cell>
          <cell r="BS57">
            <v>0</v>
          </cell>
          <cell r="BT57">
            <v>0</v>
          </cell>
          <cell r="BU57">
            <v>0</v>
          </cell>
          <cell r="BV57">
            <v>0</v>
          </cell>
          <cell r="BW57">
            <v>0</v>
          </cell>
          <cell r="BX57">
            <v>0</v>
          </cell>
          <cell r="BY57">
            <v>0</v>
          </cell>
        </row>
        <row r="62">
          <cell r="A62" t="str">
            <v>Revenue Breakdown</v>
          </cell>
        </row>
        <row r="63">
          <cell r="A63" t="str">
            <v>Jewelry</v>
          </cell>
          <cell r="F63">
            <v>0.39</v>
          </cell>
          <cell r="G63">
            <v>0.39</v>
          </cell>
          <cell r="H63">
            <v>0.39</v>
          </cell>
          <cell r="I63">
            <v>0.39</v>
          </cell>
          <cell r="J63">
            <v>0.39</v>
          </cell>
          <cell r="K63">
            <v>0.39</v>
          </cell>
          <cell r="L63">
            <v>0.39</v>
          </cell>
          <cell r="M63">
            <v>0.35</v>
          </cell>
          <cell r="N63">
            <v>0.39</v>
          </cell>
          <cell r="O63">
            <v>0.39</v>
          </cell>
          <cell r="P63">
            <v>0.2</v>
          </cell>
          <cell r="Q63">
            <v>0.30853470437017994</v>
          </cell>
          <cell r="R63">
            <v>0.33</v>
          </cell>
          <cell r="S63">
            <v>0.33</v>
          </cell>
          <cell r="T63">
            <v>0.33</v>
          </cell>
          <cell r="U63">
            <v>0.33</v>
          </cell>
          <cell r="V63">
            <v>0.33</v>
          </cell>
          <cell r="W63">
            <v>0.31</v>
          </cell>
          <cell r="X63">
            <v>0.31</v>
          </cell>
          <cell r="Y63">
            <v>0.31</v>
          </cell>
          <cell r="Z63">
            <v>0.31</v>
          </cell>
          <cell r="AA63">
            <v>0.33</v>
          </cell>
          <cell r="AB63">
            <v>0.33</v>
          </cell>
          <cell r="AC63">
            <v>0.33</v>
          </cell>
          <cell r="AD63">
            <v>0.33</v>
          </cell>
          <cell r="AE63">
            <v>0.33</v>
          </cell>
          <cell r="AF63">
            <v>0.33</v>
          </cell>
          <cell r="AG63">
            <v>0.33</v>
          </cell>
          <cell r="AH63">
            <v>0.33</v>
          </cell>
          <cell r="AI63">
            <v>0.33</v>
          </cell>
          <cell r="AJ63">
            <v>0.33</v>
          </cell>
          <cell r="AK63">
            <v>0.33</v>
          </cell>
          <cell r="AL63">
            <v>0.33</v>
          </cell>
          <cell r="AM63">
            <v>0.33</v>
          </cell>
          <cell r="AN63">
            <v>0.33</v>
          </cell>
          <cell r="AO63">
            <v>0.33</v>
          </cell>
          <cell r="AP63">
            <v>0.33</v>
          </cell>
          <cell r="AQ63">
            <v>0.33</v>
          </cell>
          <cell r="AR63">
            <v>0.33</v>
          </cell>
          <cell r="AS63">
            <v>0.33</v>
          </cell>
          <cell r="AT63">
            <v>0.33</v>
          </cell>
          <cell r="AU63">
            <v>0.33</v>
          </cell>
          <cell r="AV63">
            <v>0.33</v>
          </cell>
          <cell r="AW63">
            <v>0.33</v>
          </cell>
          <cell r="AX63">
            <v>0.33</v>
          </cell>
          <cell r="AY63">
            <v>0.33000000000000007</v>
          </cell>
          <cell r="AZ63">
            <v>0.33</v>
          </cell>
          <cell r="BA63">
            <v>0.33</v>
          </cell>
          <cell r="BB63">
            <v>0.33</v>
          </cell>
          <cell r="BC63">
            <v>0.33</v>
          </cell>
          <cell r="BD63">
            <v>0.33000000000000007</v>
          </cell>
          <cell r="BE63">
            <v>0.33</v>
          </cell>
          <cell r="BF63">
            <v>0.33</v>
          </cell>
          <cell r="BG63">
            <v>0.33</v>
          </cell>
          <cell r="BH63">
            <v>0.33</v>
          </cell>
          <cell r="BI63">
            <v>0.33000000000000007</v>
          </cell>
          <cell r="BJ63">
            <v>0.33</v>
          </cell>
          <cell r="BK63">
            <v>0.33</v>
          </cell>
          <cell r="BL63">
            <v>0.33</v>
          </cell>
          <cell r="BM63">
            <v>0.33</v>
          </cell>
          <cell r="BN63">
            <v>0.33000000000000007</v>
          </cell>
          <cell r="BO63">
            <v>0.33</v>
          </cell>
          <cell r="BP63">
            <v>0.33</v>
          </cell>
          <cell r="BQ63">
            <v>0.33</v>
          </cell>
          <cell r="BR63">
            <v>0.33</v>
          </cell>
          <cell r="BS63">
            <v>0.33</v>
          </cell>
          <cell r="BT63">
            <v>0.33</v>
          </cell>
          <cell r="BU63">
            <v>0.33</v>
          </cell>
          <cell r="BV63">
            <v>0.33</v>
          </cell>
          <cell r="BW63">
            <v>0.33</v>
          </cell>
          <cell r="BX63">
            <v>0.33</v>
          </cell>
          <cell r="BY63">
            <v>0.33</v>
          </cell>
        </row>
        <row r="64">
          <cell r="A64" t="str">
            <v>Apparel &amp; Accessories</v>
          </cell>
          <cell r="F64">
            <v>0.2</v>
          </cell>
          <cell r="G64">
            <v>0.2</v>
          </cell>
          <cell r="H64">
            <v>0.2</v>
          </cell>
          <cell r="I64">
            <v>0.2</v>
          </cell>
          <cell r="J64">
            <v>0.2</v>
          </cell>
          <cell r="K64">
            <v>0.2</v>
          </cell>
          <cell r="L64">
            <v>0.2</v>
          </cell>
          <cell r="M64">
            <v>0.19</v>
          </cell>
          <cell r="N64">
            <v>0.2</v>
          </cell>
          <cell r="O64">
            <v>0.2</v>
          </cell>
          <cell r="P64">
            <v>0.2</v>
          </cell>
          <cell r="Q64">
            <v>0.19807197943444729</v>
          </cell>
          <cell r="R64">
            <v>0.21</v>
          </cell>
          <cell r="S64">
            <v>0.21</v>
          </cell>
          <cell r="T64">
            <v>0.21</v>
          </cell>
          <cell r="U64">
            <v>0.21</v>
          </cell>
          <cell r="V64">
            <v>0.21000000000000002</v>
          </cell>
          <cell r="W64">
            <v>0.22</v>
          </cell>
          <cell r="X64">
            <v>0.22</v>
          </cell>
          <cell r="Y64">
            <v>0.22</v>
          </cell>
          <cell r="Z64">
            <v>0.22</v>
          </cell>
          <cell r="AA64">
            <v>0.21000000000000002</v>
          </cell>
          <cell r="AB64">
            <v>0.21000000000000002</v>
          </cell>
          <cell r="AC64">
            <v>0.21000000000000002</v>
          </cell>
          <cell r="AD64">
            <v>0.21000000000000002</v>
          </cell>
          <cell r="AE64">
            <v>0.21000000000000002</v>
          </cell>
          <cell r="AF64">
            <v>0.21000000000000002</v>
          </cell>
          <cell r="AG64">
            <v>0.21000000000000002</v>
          </cell>
          <cell r="AH64">
            <v>0.21000000000000002</v>
          </cell>
          <cell r="AI64">
            <v>0.21000000000000002</v>
          </cell>
          <cell r="AJ64">
            <v>0.21000000000000002</v>
          </cell>
          <cell r="AK64">
            <v>0.21000000000000002</v>
          </cell>
          <cell r="AL64">
            <v>0.21000000000000002</v>
          </cell>
          <cell r="AM64">
            <v>0.21000000000000002</v>
          </cell>
          <cell r="AN64">
            <v>0.21000000000000002</v>
          </cell>
          <cell r="AO64">
            <v>0.21000000000000002</v>
          </cell>
          <cell r="AP64">
            <v>0.21000000000000002</v>
          </cell>
          <cell r="AQ64">
            <v>0.21000000000000002</v>
          </cell>
          <cell r="AR64">
            <v>0.21000000000000002</v>
          </cell>
          <cell r="AS64">
            <v>0.21000000000000002</v>
          </cell>
          <cell r="AT64">
            <v>0.21000000000000002</v>
          </cell>
          <cell r="AU64">
            <v>0.21000000000000002</v>
          </cell>
          <cell r="AV64">
            <v>0.21000000000000002</v>
          </cell>
          <cell r="AW64">
            <v>0.21000000000000002</v>
          </cell>
          <cell r="AX64">
            <v>0.21000000000000002</v>
          </cell>
          <cell r="AY64">
            <v>0.2100000000000001</v>
          </cell>
          <cell r="AZ64">
            <v>0.21000000000000002</v>
          </cell>
          <cell r="BA64">
            <v>0.21000000000000002</v>
          </cell>
          <cell r="BB64">
            <v>0.21000000000000002</v>
          </cell>
          <cell r="BC64">
            <v>0.21000000000000002</v>
          </cell>
          <cell r="BD64">
            <v>0.2100000000000001</v>
          </cell>
          <cell r="BE64">
            <v>0.21000000000000002</v>
          </cell>
          <cell r="BF64">
            <v>0.21000000000000002</v>
          </cell>
          <cell r="BG64">
            <v>0.21000000000000002</v>
          </cell>
          <cell r="BH64">
            <v>0.21000000000000002</v>
          </cell>
          <cell r="BI64">
            <v>0.2100000000000001</v>
          </cell>
          <cell r="BJ64">
            <v>0.21000000000000002</v>
          </cell>
          <cell r="BK64">
            <v>0.21000000000000002</v>
          </cell>
          <cell r="BL64">
            <v>0.21000000000000002</v>
          </cell>
          <cell r="BM64">
            <v>0.21000000000000002</v>
          </cell>
          <cell r="BN64">
            <v>0.2100000000000001</v>
          </cell>
          <cell r="BO64">
            <v>0.21000000000000002</v>
          </cell>
          <cell r="BP64">
            <v>0.21000000000000002</v>
          </cell>
          <cell r="BQ64">
            <v>0.21000000000000002</v>
          </cell>
          <cell r="BR64">
            <v>0.21000000000000002</v>
          </cell>
          <cell r="BS64">
            <v>0.21000000000000002</v>
          </cell>
          <cell r="BT64">
            <v>0.21000000000000002</v>
          </cell>
          <cell r="BU64">
            <v>0.21000000000000002</v>
          </cell>
          <cell r="BV64">
            <v>0.21000000000000002</v>
          </cell>
          <cell r="BW64">
            <v>0.21000000000000002</v>
          </cell>
          <cell r="BX64">
            <v>0.21000000000000002</v>
          </cell>
          <cell r="BY64">
            <v>0.21000000000000002</v>
          </cell>
        </row>
        <row r="65">
          <cell r="A65" t="str">
            <v>Housewares/Home</v>
          </cell>
          <cell r="F65">
            <v>0.18999999999999995</v>
          </cell>
          <cell r="G65">
            <v>0.18999999999999995</v>
          </cell>
          <cell r="H65">
            <v>0.18999999999999995</v>
          </cell>
          <cell r="I65">
            <v>0.18999999999999995</v>
          </cell>
          <cell r="J65">
            <v>0.18999999999999995</v>
          </cell>
          <cell r="K65">
            <v>0.18999999999999995</v>
          </cell>
          <cell r="L65">
            <v>0.18999999999999992</v>
          </cell>
          <cell r="M65">
            <v>0.24</v>
          </cell>
          <cell r="N65">
            <v>0.18999999999999995</v>
          </cell>
          <cell r="O65">
            <v>0.18999999999999995</v>
          </cell>
          <cell r="P65">
            <v>0.15</v>
          </cell>
          <cell r="Q65">
            <v>0.18411311053984575</v>
          </cell>
          <cell r="R65">
            <v>0.22</v>
          </cell>
          <cell r="S65">
            <v>0.22</v>
          </cell>
          <cell r="T65">
            <v>0.22</v>
          </cell>
          <cell r="U65">
            <v>0.22</v>
          </cell>
          <cell r="V65">
            <v>0.22</v>
          </cell>
          <cell r="W65">
            <v>0.22</v>
          </cell>
          <cell r="X65">
            <v>0.22</v>
          </cell>
          <cell r="Y65">
            <v>0.22</v>
          </cell>
          <cell r="Z65">
            <v>0.22</v>
          </cell>
          <cell r="AA65">
            <v>0.22</v>
          </cell>
          <cell r="AB65">
            <v>0.22</v>
          </cell>
          <cell r="AC65">
            <v>0.22</v>
          </cell>
          <cell r="AD65">
            <v>0.22</v>
          </cell>
          <cell r="AE65">
            <v>0.22</v>
          </cell>
          <cell r="AF65">
            <v>0.22</v>
          </cell>
          <cell r="AG65">
            <v>0.22</v>
          </cell>
          <cell r="AH65">
            <v>0.22</v>
          </cell>
          <cell r="AI65">
            <v>0.22</v>
          </cell>
          <cell r="AJ65">
            <v>0.22</v>
          </cell>
          <cell r="AK65">
            <v>0.22</v>
          </cell>
          <cell r="AL65">
            <v>0.22</v>
          </cell>
          <cell r="AM65">
            <v>0.22</v>
          </cell>
          <cell r="AN65">
            <v>0.22</v>
          </cell>
          <cell r="AO65">
            <v>0.22</v>
          </cell>
          <cell r="AP65">
            <v>0.22</v>
          </cell>
          <cell r="AQ65">
            <v>0.22</v>
          </cell>
          <cell r="AR65">
            <v>0.22</v>
          </cell>
          <cell r="AS65">
            <v>0.22</v>
          </cell>
          <cell r="AT65">
            <v>0.22</v>
          </cell>
          <cell r="AU65">
            <v>0.22</v>
          </cell>
          <cell r="AV65">
            <v>0.22</v>
          </cell>
          <cell r="AW65">
            <v>0.22</v>
          </cell>
          <cell r="AX65">
            <v>0.22</v>
          </cell>
          <cell r="AY65">
            <v>0.22</v>
          </cell>
          <cell r="AZ65">
            <v>0.22</v>
          </cell>
          <cell r="BA65">
            <v>0.22</v>
          </cell>
          <cell r="BB65">
            <v>0.22</v>
          </cell>
          <cell r="BC65">
            <v>0.22</v>
          </cell>
          <cell r="BD65">
            <v>0.22</v>
          </cell>
          <cell r="BE65">
            <v>0.22</v>
          </cell>
          <cell r="BF65">
            <v>0.22</v>
          </cell>
          <cell r="BG65">
            <v>0.22</v>
          </cell>
          <cell r="BH65">
            <v>0.22</v>
          </cell>
          <cell r="BI65">
            <v>0.22</v>
          </cell>
          <cell r="BJ65">
            <v>0.22</v>
          </cell>
          <cell r="BK65">
            <v>0.22</v>
          </cell>
          <cell r="BL65">
            <v>0.22</v>
          </cell>
          <cell r="BM65">
            <v>0.22</v>
          </cell>
          <cell r="BN65">
            <v>0.22</v>
          </cell>
          <cell r="BO65">
            <v>0.22</v>
          </cell>
          <cell r="BP65">
            <v>0.22</v>
          </cell>
          <cell r="BQ65">
            <v>0.22</v>
          </cell>
          <cell r="BR65">
            <v>0.22</v>
          </cell>
          <cell r="BS65">
            <v>0.22</v>
          </cell>
          <cell r="BT65">
            <v>0.22</v>
          </cell>
          <cell r="BU65">
            <v>0.22</v>
          </cell>
          <cell r="BV65">
            <v>0.22</v>
          </cell>
          <cell r="BW65">
            <v>0.22</v>
          </cell>
          <cell r="BX65">
            <v>0.22</v>
          </cell>
          <cell r="BY65">
            <v>0.22</v>
          </cell>
        </row>
        <row r="66">
          <cell r="A66" t="str">
            <v>Electronics</v>
          </cell>
          <cell r="F66">
            <v>0.1</v>
          </cell>
          <cell r="G66">
            <v>0.1</v>
          </cell>
          <cell r="H66">
            <v>0.1</v>
          </cell>
          <cell r="I66">
            <v>0.1</v>
          </cell>
          <cell r="J66">
            <v>0.1</v>
          </cell>
          <cell r="K66">
            <v>0.1</v>
          </cell>
          <cell r="L66">
            <v>0.1</v>
          </cell>
          <cell r="M66">
            <v>0.1</v>
          </cell>
          <cell r="N66">
            <v>0.1</v>
          </cell>
          <cell r="O66">
            <v>0.1</v>
          </cell>
          <cell r="P66">
            <v>0.05</v>
          </cell>
          <cell r="Q66">
            <v>8.059125964010283E-2</v>
          </cell>
          <cell r="R66">
            <v>0.14000000000000001</v>
          </cell>
          <cell r="S66">
            <v>0.14000000000000001</v>
          </cell>
          <cell r="T66">
            <v>0.14000000000000001</v>
          </cell>
          <cell r="U66">
            <v>0.14000000000000001</v>
          </cell>
          <cell r="V66">
            <v>0.13999999999999999</v>
          </cell>
          <cell r="W66">
            <v>0.15</v>
          </cell>
          <cell r="X66">
            <v>0.15</v>
          </cell>
          <cell r="Y66">
            <v>0.15</v>
          </cell>
          <cell r="Z66">
            <v>0.15</v>
          </cell>
          <cell r="AA66">
            <v>0.13999999999999999</v>
          </cell>
          <cell r="AB66">
            <v>0.13999999999999999</v>
          </cell>
          <cell r="AC66">
            <v>0.13999999999999999</v>
          </cell>
          <cell r="AD66">
            <v>0.13999999999999999</v>
          </cell>
          <cell r="AE66">
            <v>0.13999999999999999</v>
          </cell>
          <cell r="AF66">
            <v>0.13999999999999999</v>
          </cell>
          <cell r="AG66">
            <v>0.13999999999999999</v>
          </cell>
          <cell r="AH66">
            <v>0.13999999999999999</v>
          </cell>
          <cell r="AI66">
            <v>0.13999999999999999</v>
          </cell>
          <cell r="AJ66">
            <v>0.13999999999999999</v>
          </cell>
          <cell r="AK66">
            <v>0.13999999999999999</v>
          </cell>
          <cell r="AL66">
            <v>0.13999999999999999</v>
          </cell>
          <cell r="AM66">
            <v>0.13999999999999999</v>
          </cell>
          <cell r="AN66">
            <v>0.13999999999999999</v>
          </cell>
          <cell r="AO66">
            <v>0.13999999999999999</v>
          </cell>
          <cell r="AP66">
            <v>0.13999999999999999</v>
          </cell>
          <cell r="AQ66">
            <v>0.13999999999999999</v>
          </cell>
          <cell r="AR66">
            <v>0.13999999999999999</v>
          </cell>
          <cell r="AS66">
            <v>0.13999999999999999</v>
          </cell>
          <cell r="AT66">
            <v>0.13999999999999999</v>
          </cell>
          <cell r="AU66">
            <v>0.13999999999999999</v>
          </cell>
          <cell r="AV66">
            <v>0.13999999999999999</v>
          </cell>
          <cell r="AW66">
            <v>0.13999999999999999</v>
          </cell>
          <cell r="AX66">
            <v>0.13999999999999999</v>
          </cell>
          <cell r="AY66">
            <v>0.13999999999999999</v>
          </cell>
          <cell r="AZ66">
            <v>0.13999999999999999</v>
          </cell>
          <cell r="BA66">
            <v>0.13999999999999999</v>
          </cell>
          <cell r="BB66">
            <v>0.13999999999999999</v>
          </cell>
          <cell r="BC66">
            <v>0.13999999999999999</v>
          </cell>
          <cell r="BD66">
            <v>0.13999999999999999</v>
          </cell>
          <cell r="BE66">
            <v>0.13999999999999999</v>
          </cell>
          <cell r="BF66">
            <v>0.13999999999999999</v>
          </cell>
          <cell r="BG66">
            <v>0.13999999999999999</v>
          </cell>
          <cell r="BH66">
            <v>0.13999999999999999</v>
          </cell>
          <cell r="BI66">
            <v>0.13999999999999999</v>
          </cell>
          <cell r="BJ66">
            <v>0.13999999999999999</v>
          </cell>
          <cell r="BK66">
            <v>0.13999999999999999</v>
          </cell>
          <cell r="BL66">
            <v>0.13999999999999999</v>
          </cell>
          <cell r="BM66">
            <v>0.13999999999999999</v>
          </cell>
          <cell r="BN66">
            <v>0.13999999999999999</v>
          </cell>
          <cell r="BO66">
            <v>0.13999999999999999</v>
          </cell>
          <cell r="BP66">
            <v>0.13999999999999999</v>
          </cell>
          <cell r="BQ66">
            <v>0.13999999999999999</v>
          </cell>
          <cell r="BR66">
            <v>0.13999999999999999</v>
          </cell>
          <cell r="BS66">
            <v>0.13999999999999999</v>
          </cell>
          <cell r="BT66">
            <v>0.13999999999999999</v>
          </cell>
          <cell r="BU66">
            <v>0.13999999999999999</v>
          </cell>
          <cell r="BV66">
            <v>0.13999999999999999</v>
          </cell>
          <cell r="BW66">
            <v>0.13999999999999999</v>
          </cell>
          <cell r="BX66">
            <v>0.13999999999999999</v>
          </cell>
          <cell r="BY66">
            <v>0.13999999999999999</v>
          </cell>
        </row>
        <row r="67">
          <cell r="A67" t="str">
            <v>Collectibles</v>
          </cell>
          <cell r="F67">
            <v>7.0000000000000007E-2</v>
          </cell>
          <cell r="G67">
            <v>7.0000000000000007E-2</v>
          </cell>
          <cell r="H67">
            <v>7.0000000000000007E-2</v>
          </cell>
          <cell r="I67">
            <v>7.0000000000000007E-2</v>
          </cell>
          <cell r="J67">
            <v>7.0000000000000007E-2</v>
          </cell>
          <cell r="K67">
            <v>7.0000000000000007E-2</v>
          </cell>
          <cell r="L67">
            <v>7.0000000000000007E-2</v>
          </cell>
          <cell r="M67">
            <v>7.0000000000000007E-2</v>
          </cell>
          <cell r="N67">
            <v>7.0000000000000007E-2</v>
          </cell>
          <cell r="O67">
            <v>7.0000000000000007E-2</v>
          </cell>
          <cell r="P67">
            <v>0.05</v>
          </cell>
          <cell r="Q67">
            <v>6.2236503856041139E-2</v>
          </cell>
          <cell r="R67">
            <v>7.0000000000000007E-2</v>
          </cell>
          <cell r="S67">
            <v>7.0000000000000007E-2</v>
          </cell>
          <cell r="T67">
            <v>7.0000000000000007E-2</v>
          </cell>
          <cell r="U67">
            <v>7.0000000000000007E-2</v>
          </cell>
          <cell r="V67">
            <v>6.9999999999999993E-2</v>
          </cell>
          <cell r="W67">
            <v>7.0000000000000007E-2</v>
          </cell>
          <cell r="X67">
            <v>7.0000000000000007E-2</v>
          </cell>
          <cell r="Y67">
            <v>7.0000000000000007E-2</v>
          </cell>
          <cell r="Z67">
            <v>7.0000000000000007E-2</v>
          </cell>
          <cell r="AA67">
            <v>6.9999999999999993E-2</v>
          </cell>
          <cell r="AB67">
            <v>6.9999999999999993E-2</v>
          </cell>
          <cell r="AC67">
            <v>6.9999999999999993E-2</v>
          </cell>
          <cell r="AD67">
            <v>6.9999999999999993E-2</v>
          </cell>
          <cell r="AE67">
            <v>6.9999999999999993E-2</v>
          </cell>
          <cell r="AF67">
            <v>6.9999999999999993E-2</v>
          </cell>
          <cell r="AG67">
            <v>6.9999999999999993E-2</v>
          </cell>
          <cell r="AH67">
            <v>6.9999999999999993E-2</v>
          </cell>
          <cell r="AI67">
            <v>6.9999999999999993E-2</v>
          </cell>
          <cell r="AJ67">
            <v>6.9999999999999993E-2</v>
          </cell>
          <cell r="AK67">
            <v>6.9999999999999993E-2</v>
          </cell>
          <cell r="AL67">
            <v>6.9999999999999993E-2</v>
          </cell>
          <cell r="AM67">
            <v>6.9999999999999993E-2</v>
          </cell>
          <cell r="AN67">
            <v>6.9999999999999993E-2</v>
          </cell>
          <cell r="AO67">
            <v>6.9999999999999993E-2</v>
          </cell>
          <cell r="AP67">
            <v>6.9999999999999993E-2</v>
          </cell>
          <cell r="AQ67">
            <v>6.9999999999999993E-2</v>
          </cell>
          <cell r="AR67">
            <v>6.9999999999999993E-2</v>
          </cell>
          <cell r="AS67">
            <v>6.9999999999999993E-2</v>
          </cell>
          <cell r="AT67">
            <v>6.9999999999999993E-2</v>
          </cell>
          <cell r="AU67">
            <v>6.9999999999999993E-2</v>
          </cell>
          <cell r="AV67">
            <v>6.9999999999999993E-2</v>
          </cell>
          <cell r="AW67">
            <v>6.9999999999999993E-2</v>
          </cell>
          <cell r="AX67">
            <v>6.9999999999999993E-2</v>
          </cell>
          <cell r="AY67">
            <v>6.9999999999999993E-2</v>
          </cell>
          <cell r="AZ67">
            <v>6.9999999999999993E-2</v>
          </cell>
          <cell r="BA67">
            <v>6.9999999999999993E-2</v>
          </cell>
          <cell r="BB67">
            <v>6.9999999999999993E-2</v>
          </cell>
          <cell r="BC67">
            <v>6.9999999999999993E-2</v>
          </cell>
          <cell r="BD67">
            <v>6.9999999999999993E-2</v>
          </cell>
          <cell r="BE67">
            <v>6.9999999999999993E-2</v>
          </cell>
          <cell r="BF67">
            <v>6.9999999999999993E-2</v>
          </cell>
          <cell r="BG67">
            <v>6.9999999999999993E-2</v>
          </cell>
          <cell r="BH67">
            <v>6.9999999999999993E-2</v>
          </cell>
          <cell r="BI67">
            <v>6.9999999999999993E-2</v>
          </cell>
          <cell r="BJ67">
            <v>6.9999999999999993E-2</v>
          </cell>
          <cell r="BK67">
            <v>6.9999999999999993E-2</v>
          </cell>
          <cell r="BL67">
            <v>6.9999999999999993E-2</v>
          </cell>
          <cell r="BM67">
            <v>6.9999999999999993E-2</v>
          </cell>
          <cell r="BN67">
            <v>6.9999999999999993E-2</v>
          </cell>
          <cell r="BO67">
            <v>6.9999999999999993E-2</v>
          </cell>
          <cell r="BP67">
            <v>6.9999999999999993E-2</v>
          </cell>
          <cell r="BQ67">
            <v>6.9999999999999993E-2</v>
          </cell>
          <cell r="BR67">
            <v>6.9999999999999993E-2</v>
          </cell>
          <cell r="BS67">
            <v>6.9999999999999993E-2</v>
          </cell>
          <cell r="BT67">
            <v>6.9999999999999993E-2</v>
          </cell>
          <cell r="BU67">
            <v>6.9999999999999993E-2</v>
          </cell>
          <cell r="BV67">
            <v>6.9999999999999993E-2</v>
          </cell>
          <cell r="BW67">
            <v>6.9999999999999993E-2</v>
          </cell>
          <cell r="BX67">
            <v>6.9999999999999993E-2</v>
          </cell>
          <cell r="BY67">
            <v>6.9999999999999993E-2</v>
          </cell>
        </row>
        <row r="68">
          <cell r="A68" t="str">
            <v>Other</v>
          </cell>
          <cell r="F68">
            <v>0.05</v>
          </cell>
          <cell r="G68">
            <v>5.0000000000000044E-2</v>
          </cell>
          <cell r="H68">
            <v>0.05</v>
          </cell>
          <cell r="I68">
            <v>0.05</v>
          </cell>
          <cell r="J68">
            <v>0.05</v>
          </cell>
          <cell r="K68">
            <v>0.05</v>
          </cell>
          <cell r="L68">
            <v>5.0000000000000024E-2</v>
          </cell>
          <cell r="M68">
            <v>0.05</v>
          </cell>
          <cell r="N68">
            <v>0.05</v>
          </cell>
          <cell r="O68">
            <v>0.05</v>
          </cell>
          <cell r="P68">
            <v>0.05</v>
          </cell>
          <cell r="Q68">
            <v>0.16645244215938307</v>
          </cell>
          <cell r="R68">
            <v>0.03</v>
          </cell>
          <cell r="S68">
            <v>0.03</v>
          </cell>
          <cell r="T68">
            <v>0.03</v>
          </cell>
          <cell r="U68">
            <v>0.03</v>
          </cell>
          <cell r="V68">
            <v>2.999999999999995E-2</v>
          </cell>
          <cell r="W68">
            <v>0.03</v>
          </cell>
          <cell r="X68">
            <v>0.03</v>
          </cell>
          <cell r="Y68">
            <v>0.03</v>
          </cell>
          <cell r="Z68">
            <v>0.03</v>
          </cell>
          <cell r="AA68">
            <v>2.999999999999995E-2</v>
          </cell>
          <cell r="AB68">
            <v>2.999999999999995E-2</v>
          </cell>
          <cell r="AC68">
            <v>2.999999999999995E-2</v>
          </cell>
          <cell r="AD68">
            <v>2.999999999999995E-2</v>
          </cell>
          <cell r="AE68">
            <v>2.999999999999995E-2</v>
          </cell>
          <cell r="AF68">
            <v>2.999999999999995E-2</v>
          </cell>
          <cell r="AG68">
            <v>2.999999999999995E-2</v>
          </cell>
          <cell r="AH68">
            <v>2.999999999999995E-2</v>
          </cell>
          <cell r="AI68">
            <v>2.999999999999995E-2</v>
          </cell>
          <cell r="AJ68">
            <v>2.999999999999995E-2</v>
          </cell>
          <cell r="AK68">
            <v>2.999999999999995E-2</v>
          </cell>
          <cell r="AL68">
            <v>2.999999999999995E-2</v>
          </cell>
          <cell r="AM68">
            <v>2.999999999999995E-2</v>
          </cell>
          <cell r="AN68">
            <v>2.999999999999995E-2</v>
          </cell>
          <cell r="AO68">
            <v>2.999999999999995E-2</v>
          </cell>
          <cell r="AP68">
            <v>2.999999999999995E-2</v>
          </cell>
          <cell r="AQ68">
            <v>2.999999999999995E-2</v>
          </cell>
          <cell r="AR68">
            <v>2.999999999999995E-2</v>
          </cell>
          <cell r="AS68">
            <v>2.999999999999995E-2</v>
          </cell>
          <cell r="AT68">
            <v>2.999999999999995E-2</v>
          </cell>
          <cell r="AU68">
            <v>2.999999999999995E-2</v>
          </cell>
          <cell r="AV68">
            <v>2.999999999999995E-2</v>
          </cell>
          <cell r="AW68">
            <v>2.999999999999995E-2</v>
          </cell>
          <cell r="AX68">
            <v>2.999999999999995E-2</v>
          </cell>
          <cell r="AY68">
            <v>3.0000000000000377E-2</v>
          </cell>
          <cell r="AZ68">
            <v>2.999999999999995E-2</v>
          </cell>
          <cell r="BA68">
            <v>2.999999999999995E-2</v>
          </cell>
          <cell r="BB68">
            <v>2.999999999999995E-2</v>
          </cell>
          <cell r="BC68">
            <v>2.999999999999995E-2</v>
          </cell>
          <cell r="BD68">
            <v>3.0000000000000377E-2</v>
          </cell>
          <cell r="BE68">
            <v>2.999999999999995E-2</v>
          </cell>
          <cell r="BF68">
            <v>2.999999999999995E-2</v>
          </cell>
          <cell r="BG68">
            <v>2.999999999999995E-2</v>
          </cell>
          <cell r="BH68">
            <v>2.999999999999995E-2</v>
          </cell>
          <cell r="BI68">
            <v>3.0000000000000377E-2</v>
          </cell>
          <cell r="BJ68">
            <v>2.999999999999995E-2</v>
          </cell>
          <cell r="BK68">
            <v>2.999999999999995E-2</v>
          </cell>
          <cell r="BL68">
            <v>2.999999999999995E-2</v>
          </cell>
          <cell r="BM68">
            <v>2.999999999999995E-2</v>
          </cell>
          <cell r="BN68">
            <v>3.0000000000000377E-2</v>
          </cell>
          <cell r="BO68">
            <v>2.999999999999995E-2</v>
          </cell>
          <cell r="BP68">
            <v>2.999999999999995E-2</v>
          </cell>
          <cell r="BQ68">
            <v>2.999999999999995E-2</v>
          </cell>
          <cell r="BR68">
            <v>2.999999999999995E-2</v>
          </cell>
          <cell r="BS68">
            <v>2.999999999999995E-2</v>
          </cell>
          <cell r="BT68">
            <v>2.999999999999995E-2</v>
          </cell>
          <cell r="BU68">
            <v>2.999999999999995E-2</v>
          </cell>
          <cell r="BV68">
            <v>2.999999999999995E-2</v>
          </cell>
          <cell r="BW68">
            <v>2.999999999999995E-2</v>
          </cell>
          <cell r="BX68">
            <v>2.999999999999995E-2</v>
          </cell>
          <cell r="BY68">
            <v>2.999999999999995E-2</v>
          </cell>
        </row>
        <row r="69">
          <cell r="A69" t="str">
            <v xml:space="preserve">   Total Revenues</v>
          </cell>
          <cell r="F69">
            <v>1</v>
          </cell>
          <cell r="G69">
            <v>1</v>
          </cell>
          <cell r="H69">
            <v>1</v>
          </cell>
          <cell r="I69">
            <v>1</v>
          </cell>
          <cell r="J69">
            <v>1</v>
          </cell>
          <cell r="K69">
            <v>1</v>
          </cell>
          <cell r="L69">
            <v>1</v>
          </cell>
          <cell r="M69">
            <v>1</v>
          </cell>
          <cell r="N69">
            <v>1</v>
          </cell>
          <cell r="O69">
            <v>1</v>
          </cell>
          <cell r="P69">
            <v>0.70000000000000018</v>
          </cell>
          <cell r="Q69">
            <v>1</v>
          </cell>
          <cell r="R69">
            <v>1</v>
          </cell>
          <cell r="S69">
            <v>1</v>
          </cell>
          <cell r="T69">
            <v>1</v>
          </cell>
          <cell r="U69">
            <v>1</v>
          </cell>
          <cell r="V69">
            <v>0.99999999999999989</v>
          </cell>
          <cell r="W69">
            <v>1</v>
          </cell>
          <cell r="X69">
            <v>1</v>
          </cell>
          <cell r="Y69">
            <v>1</v>
          </cell>
          <cell r="Z69">
            <v>1</v>
          </cell>
          <cell r="AA69">
            <v>0.99999999999999989</v>
          </cell>
          <cell r="AB69">
            <v>0.99999999999999989</v>
          </cell>
          <cell r="AC69">
            <v>0.99999999999999989</v>
          </cell>
          <cell r="AD69">
            <v>0.99999999999999989</v>
          </cell>
          <cell r="AE69">
            <v>0.99999999999999989</v>
          </cell>
          <cell r="AF69">
            <v>0.99999999999999989</v>
          </cell>
          <cell r="AG69">
            <v>0.99999999999999989</v>
          </cell>
          <cell r="AH69">
            <v>0.99999999999999989</v>
          </cell>
          <cell r="AI69">
            <v>0.99999999999999989</v>
          </cell>
          <cell r="AJ69">
            <v>0.99999999999999989</v>
          </cell>
          <cell r="AK69">
            <v>0.99999999999999989</v>
          </cell>
          <cell r="AL69">
            <v>0.99999999999999989</v>
          </cell>
          <cell r="AM69">
            <v>0.99999999999999989</v>
          </cell>
          <cell r="AN69">
            <v>0.99999999999999989</v>
          </cell>
          <cell r="AO69">
            <v>0.99999999999999989</v>
          </cell>
          <cell r="AP69">
            <v>0.99999999999999989</v>
          </cell>
          <cell r="AQ69">
            <v>0.99999999999999989</v>
          </cell>
          <cell r="AR69">
            <v>0.99999999999999989</v>
          </cell>
          <cell r="AS69">
            <v>0.99999999999999989</v>
          </cell>
          <cell r="AT69">
            <v>0.99999999999999989</v>
          </cell>
          <cell r="AU69">
            <v>0.99999999999999989</v>
          </cell>
          <cell r="AV69">
            <v>0.99999999999999989</v>
          </cell>
          <cell r="AW69">
            <v>0.99999999999999989</v>
          </cell>
          <cell r="AX69">
            <v>0.99999999999999989</v>
          </cell>
          <cell r="AY69">
            <v>1.0000000000000004</v>
          </cell>
          <cell r="AZ69">
            <v>0.99999999999999989</v>
          </cell>
          <cell r="BA69">
            <v>0.99999999999999989</v>
          </cell>
          <cell r="BB69">
            <v>0.99999999999999989</v>
          </cell>
          <cell r="BC69">
            <v>0.99999999999999989</v>
          </cell>
          <cell r="BD69">
            <v>1.0000000000000004</v>
          </cell>
          <cell r="BE69">
            <v>0.99999999999999989</v>
          </cell>
          <cell r="BF69">
            <v>0.99999999999999989</v>
          </cell>
          <cell r="BG69">
            <v>0.99999999999999989</v>
          </cell>
          <cell r="BH69">
            <v>0.99999999999999989</v>
          </cell>
          <cell r="BI69">
            <v>1.0000000000000004</v>
          </cell>
          <cell r="BJ69">
            <v>0.99999999999999989</v>
          </cell>
          <cell r="BK69">
            <v>0.99999999999999989</v>
          </cell>
          <cell r="BL69">
            <v>0.99999999999999989</v>
          </cell>
          <cell r="BM69">
            <v>0.99999999999999989</v>
          </cell>
          <cell r="BN69">
            <v>1.0000000000000004</v>
          </cell>
          <cell r="BO69">
            <v>0.99999999999999989</v>
          </cell>
          <cell r="BP69">
            <v>0.99999999999999989</v>
          </cell>
          <cell r="BQ69">
            <v>0.99999999999999989</v>
          </cell>
          <cell r="BR69">
            <v>0.99999999999999989</v>
          </cell>
          <cell r="BS69">
            <v>0.99999999999999989</v>
          </cell>
          <cell r="BT69">
            <v>0.99999999999999989</v>
          </cell>
          <cell r="BU69">
            <v>0.99999999999999989</v>
          </cell>
          <cell r="BV69">
            <v>0.99999999999999989</v>
          </cell>
          <cell r="BW69">
            <v>0.99999999999999989</v>
          </cell>
          <cell r="BX69">
            <v>0.99999999999999989</v>
          </cell>
          <cell r="BY69">
            <v>0.99999999999999989</v>
          </cell>
        </row>
        <row r="71">
          <cell r="A71" t="str">
            <v>Revenue % Change</v>
          </cell>
        </row>
        <row r="72">
          <cell r="A72" t="str">
            <v>Jewelry</v>
          </cell>
          <cell r="K72">
            <v>11.4</v>
          </cell>
          <cell r="L72">
            <v>22.478000000000002</v>
          </cell>
          <cell r="M72">
            <v>7.4275480000435969</v>
          </cell>
          <cell r="N72">
            <v>3.5160484759456478</v>
          </cell>
          <cell r="O72">
            <v>2.5312472298555084</v>
          </cell>
          <cell r="P72">
            <v>0.39023731610181533</v>
          </cell>
          <cell r="Q72">
            <v>1.9180733734863162</v>
          </cell>
          <cell r="R72">
            <v>1.5</v>
          </cell>
          <cell r="S72">
            <v>1.5</v>
          </cell>
          <cell r="T72">
            <v>1.5</v>
          </cell>
          <cell r="U72">
            <v>1.5</v>
          </cell>
          <cell r="V72">
            <v>1.5</v>
          </cell>
          <cell r="W72">
            <v>0.1</v>
          </cell>
          <cell r="X72">
            <v>0.1</v>
          </cell>
          <cell r="Y72">
            <v>0.1</v>
          </cell>
          <cell r="Z72">
            <v>0.1</v>
          </cell>
          <cell r="AA72">
            <v>0.1</v>
          </cell>
          <cell r="AB72">
            <v>0.1</v>
          </cell>
          <cell r="AC72">
            <v>0.1</v>
          </cell>
          <cell r="AD72">
            <v>0.1</v>
          </cell>
          <cell r="AE72">
            <v>0.1</v>
          </cell>
          <cell r="AF72">
            <v>0.05</v>
          </cell>
          <cell r="AG72">
            <v>0.05</v>
          </cell>
          <cell r="AH72">
            <v>0.05</v>
          </cell>
          <cell r="AI72">
            <v>0.05</v>
          </cell>
          <cell r="AJ72">
            <v>0.05</v>
          </cell>
          <cell r="AK72">
            <v>2.5000000000000001E-2</v>
          </cell>
          <cell r="AP72">
            <v>1.2500000000000001E-2</v>
          </cell>
          <cell r="AU72">
            <v>6.2500000000000003E-3</v>
          </cell>
          <cell r="AZ72">
            <v>3.1250000000000002E-3</v>
          </cell>
          <cell r="BE72">
            <v>3.1250000000000002E-3</v>
          </cell>
          <cell r="BJ72">
            <v>3.1250000000000002E-3</v>
          </cell>
          <cell r="BO72">
            <v>3.1250000000000002E-3</v>
          </cell>
          <cell r="BP72">
            <v>3.1250000000000002E-3</v>
          </cell>
          <cell r="BQ72">
            <v>3.1250000000000002E-3</v>
          </cell>
          <cell r="BR72">
            <v>3.1250000000000002E-3</v>
          </cell>
          <cell r="BS72">
            <v>3.1250000000000002E-3</v>
          </cell>
          <cell r="BT72">
            <v>3.1250000000000002E-3</v>
          </cell>
          <cell r="BU72">
            <v>3.1250000000000002E-3</v>
          </cell>
          <cell r="BV72">
            <v>3.1250000000000002E-3</v>
          </cell>
          <cell r="BW72">
            <v>3.1250000000000002E-3</v>
          </cell>
          <cell r="BX72">
            <v>3.1250000000000002E-3</v>
          </cell>
          <cell r="BY72">
            <v>3.1250000000000002E-3</v>
          </cell>
        </row>
        <row r="73">
          <cell r="A73" t="str">
            <v>Apparel &amp; Accessories</v>
          </cell>
          <cell r="K73">
            <v>11.400000000000002</v>
          </cell>
          <cell r="L73">
            <v>22.478000000000002</v>
          </cell>
          <cell r="M73">
            <v>7.9211615257604375</v>
          </cell>
          <cell r="N73">
            <v>3.5160484759456478</v>
          </cell>
          <cell r="O73">
            <v>2.5312472298555089</v>
          </cell>
          <cell r="P73">
            <v>1.7109627663985396</v>
          </cell>
          <cell r="Q73">
            <v>2.6530014096224406</v>
          </cell>
          <cell r="R73">
            <v>1.5</v>
          </cell>
          <cell r="S73">
            <v>1.5</v>
          </cell>
          <cell r="T73">
            <v>1.5</v>
          </cell>
          <cell r="U73">
            <v>1.5</v>
          </cell>
          <cell r="V73">
            <v>1.5</v>
          </cell>
          <cell r="W73">
            <v>0.52499999999999991</v>
          </cell>
          <cell r="X73">
            <v>0.52499999999999991</v>
          </cell>
          <cell r="Y73">
            <v>0.52499999999999991</v>
          </cell>
          <cell r="Z73">
            <v>0.52499999999999991</v>
          </cell>
          <cell r="AA73">
            <v>0.52499999999999991</v>
          </cell>
          <cell r="AB73">
            <v>0.52499999999999991</v>
          </cell>
          <cell r="AC73">
            <v>0.52499999999999991</v>
          </cell>
          <cell r="AD73">
            <v>0.52499999999999991</v>
          </cell>
          <cell r="AE73">
            <v>0.52499999999999991</v>
          </cell>
          <cell r="AF73">
            <v>0.26249999999999996</v>
          </cell>
          <cell r="AG73">
            <v>0.26249999999999996</v>
          </cell>
          <cell r="AH73">
            <v>0.26249999999999996</v>
          </cell>
          <cell r="AI73">
            <v>0.26249999999999996</v>
          </cell>
          <cell r="AJ73">
            <v>0.26249999999999996</v>
          </cell>
          <cell r="AK73">
            <v>0.13124999999999998</v>
          </cell>
          <cell r="AP73">
            <v>6.5624999999999989E-2</v>
          </cell>
          <cell r="AU73">
            <v>3.2812499999999994E-2</v>
          </cell>
          <cell r="AZ73">
            <v>1.6406249999999997E-2</v>
          </cell>
          <cell r="BE73">
            <v>1.6406249999999997E-2</v>
          </cell>
          <cell r="BJ73">
            <v>1.6406249999999997E-2</v>
          </cell>
          <cell r="BO73">
            <v>1.6406249999999997E-2</v>
          </cell>
          <cell r="BP73">
            <v>1.6406249999999997E-2</v>
          </cell>
          <cell r="BQ73">
            <v>1.6406249999999997E-2</v>
          </cell>
          <cell r="BR73">
            <v>1.6406249999999997E-2</v>
          </cell>
          <cell r="BS73">
            <v>1.6406249999999997E-2</v>
          </cell>
          <cell r="BT73">
            <v>1.6406249999999997E-2</v>
          </cell>
          <cell r="BU73">
            <v>1.6406249999999997E-2</v>
          </cell>
          <cell r="BV73">
            <v>1.6406249999999997E-2</v>
          </cell>
          <cell r="BW73">
            <v>1.6406249999999997E-2</v>
          </cell>
          <cell r="BX73">
            <v>1.6406249999999997E-2</v>
          </cell>
          <cell r="BY73">
            <v>1.6406249999999997E-2</v>
          </cell>
        </row>
        <row r="74">
          <cell r="A74" t="str">
            <v>Housewares</v>
          </cell>
          <cell r="K74">
            <v>11.4</v>
          </cell>
          <cell r="L74">
            <v>22.477999999999998</v>
          </cell>
          <cell r="M74">
            <v>10.861932222617758</v>
          </cell>
          <cell r="N74">
            <v>3.5160484759456478</v>
          </cell>
          <cell r="O74">
            <v>2.5312472298555084</v>
          </cell>
          <cell r="P74">
            <v>1.1402337629462167</v>
          </cell>
          <cell r="Q74">
            <v>2.5742745443103838</v>
          </cell>
          <cell r="R74">
            <v>1.5</v>
          </cell>
          <cell r="S74">
            <v>1.5</v>
          </cell>
          <cell r="T74">
            <v>1.5</v>
          </cell>
          <cell r="U74">
            <v>1.5</v>
          </cell>
          <cell r="V74">
            <v>1.5</v>
          </cell>
          <cell r="W74">
            <v>0.52499999999999991</v>
          </cell>
          <cell r="X74">
            <v>0.52499999999999991</v>
          </cell>
          <cell r="Y74">
            <v>0.52499999999999991</v>
          </cell>
          <cell r="Z74">
            <v>0.52499999999999991</v>
          </cell>
          <cell r="AA74">
            <v>0.52499999999999991</v>
          </cell>
          <cell r="AB74">
            <v>0.52499999999999991</v>
          </cell>
          <cell r="AC74">
            <v>0.52499999999999991</v>
          </cell>
          <cell r="AD74">
            <v>0.52499999999999991</v>
          </cell>
          <cell r="AE74">
            <v>0.52499999999999991</v>
          </cell>
          <cell r="AF74">
            <v>0.26249999999999996</v>
          </cell>
          <cell r="AG74">
            <v>0.26249999999999996</v>
          </cell>
          <cell r="AH74">
            <v>0.26249999999999996</v>
          </cell>
          <cell r="AI74">
            <v>0.26249999999999996</v>
          </cell>
          <cell r="AJ74">
            <v>0.26249999999999996</v>
          </cell>
          <cell r="AK74">
            <v>0.13124999999999998</v>
          </cell>
          <cell r="AP74">
            <v>6.5624999999999989E-2</v>
          </cell>
          <cell r="AU74">
            <v>3.2812499999999994E-2</v>
          </cell>
          <cell r="AZ74">
            <v>1.6406249999999997E-2</v>
          </cell>
          <cell r="BE74">
            <v>1.6406249999999997E-2</v>
          </cell>
          <cell r="BJ74">
            <v>1.6406249999999997E-2</v>
          </cell>
          <cell r="BO74">
            <v>1.6406249999999997E-2</v>
          </cell>
          <cell r="BP74">
            <v>1.6406249999999997E-2</v>
          </cell>
          <cell r="BQ74">
            <v>1.6406249999999997E-2</v>
          </cell>
          <cell r="BR74">
            <v>1.6406249999999997E-2</v>
          </cell>
          <cell r="BS74">
            <v>1.6406249999999997E-2</v>
          </cell>
          <cell r="BT74">
            <v>1.6406249999999997E-2</v>
          </cell>
          <cell r="BU74">
            <v>1.6406249999999997E-2</v>
          </cell>
          <cell r="BV74">
            <v>1.6406249999999997E-2</v>
          </cell>
          <cell r="BW74">
            <v>1.6406249999999997E-2</v>
          </cell>
          <cell r="BX74">
            <v>1.6406249999999997E-2</v>
          </cell>
          <cell r="BY74">
            <v>1.6406249999999997E-2</v>
          </cell>
        </row>
        <row r="75">
          <cell r="A75" t="str">
            <v>Electronics</v>
          </cell>
          <cell r="K75">
            <v>11.400000000000002</v>
          </cell>
          <cell r="L75">
            <v>22.478000000000002</v>
          </cell>
          <cell r="M75">
            <v>8.3906963429057235</v>
          </cell>
          <cell r="N75">
            <v>3.5160484759456478</v>
          </cell>
          <cell r="O75">
            <v>2.5312472298555089</v>
          </cell>
          <cell r="P75">
            <v>0.35548138319926981</v>
          </cell>
          <cell r="Q75">
            <v>1.9726565656499293</v>
          </cell>
          <cell r="R75">
            <v>1.5</v>
          </cell>
          <cell r="S75">
            <v>1.5</v>
          </cell>
          <cell r="T75">
            <v>1.5</v>
          </cell>
          <cell r="U75">
            <v>1.5</v>
          </cell>
          <cell r="V75">
            <v>1.5</v>
          </cell>
          <cell r="W75">
            <v>0.52499999999999991</v>
          </cell>
          <cell r="X75">
            <v>0.52499999999999991</v>
          </cell>
          <cell r="Y75">
            <v>0.52499999999999991</v>
          </cell>
          <cell r="Z75">
            <v>0.52499999999999991</v>
          </cell>
          <cell r="AA75">
            <v>0.52499999999999991</v>
          </cell>
          <cell r="AB75">
            <v>0.52499999999999991</v>
          </cell>
          <cell r="AC75">
            <v>0.52499999999999991</v>
          </cell>
          <cell r="AD75">
            <v>0.52499999999999991</v>
          </cell>
          <cell r="AE75">
            <v>0.52499999999999991</v>
          </cell>
          <cell r="AF75">
            <v>0.26249999999999996</v>
          </cell>
          <cell r="AG75">
            <v>0.26249999999999996</v>
          </cell>
          <cell r="AH75">
            <v>0.26249999999999996</v>
          </cell>
          <cell r="AI75">
            <v>0.26249999999999996</v>
          </cell>
          <cell r="AJ75">
            <v>0.26249999999999996</v>
          </cell>
          <cell r="AK75">
            <v>0.13124999999999998</v>
          </cell>
          <cell r="AP75">
            <v>6.5624999999999989E-2</v>
          </cell>
          <cell r="AU75">
            <v>3.2812499999999994E-2</v>
          </cell>
          <cell r="AZ75">
            <v>1.6406249999999997E-2</v>
          </cell>
          <cell r="BE75">
            <v>1.6406249999999997E-2</v>
          </cell>
          <cell r="BJ75">
            <v>1.6406249999999997E-2</v>
          </cell>
          <cell r="BO75">
            <v>1.6406249999999997E-2</v>
          </cell>
          <cell r="BP75">
            <v>1.6406249999999997E-2</v>
          </cell>
          <cell r="BQ75">
            <v>1.6406249999999997E-2</v>
          </cell>
          <cell r="BR75">
            <v>1.6406249999999997E-2</v>
          </cell>
          <cell r="BS75">
            <v>1.6406249999999997E-2</v>
          </cell>
          <cell r="BT75">
            <v>1.6406249999999997E-2</v>
          </cell>
          <cell r="BU75">
            <v>1.6406249999999997E-2</v>
          </cell>
          <cell r="BV75">
            <v>1.6406249999999997E-2</v>
          </cell>
          <cell r="BW75">
            <v>1.6406249999999997E-2</v>
          </cell>
          <cell r="BX75">
            <v>1.6406249999999997E-2</v>
          </cell>
          <cell r="BY75">
            <v>1.6406249999999997E-2</v>
          </cell>
        </row>
        <row r="76">
          <cell r="A76" t="str">
            <v>Collectibles</v>
          </cell>
          <cell r="K76">
            <v>11.4</v>
          </cell>
          <cell r="L76">
            <v>22.478000000000002</v>
          </cell>
          <cell r="M76">
            <v>8.3906963429057253</v>
          </cell>
          <cell r="N76">
            <v>3.5160484759456478</v>
          </cell>
          <cell r="O76">
            <v>2.5312472298555084</v>
          </cell>
          <cell r="P76">
            <v>0.93640197599895703</v>
          </cell>
          <cell r="Q76">
            <v>2.279472110019813</v>
          </cell>
          <cell r="R76">
            <v>1.5</v>
          </cell>
          <cell r="S76">
            <v>1.5</v>
          </cell>
          <cell r="T76">
            <v>1.5</v>
          </cell>
          <cell r="U76">
            <v>1.5</v>
          </cell>
          <cell r="V76">
            <v>1.5</v>
          </cell>
          <cell r="W76">
            <v>0.52499999999999991</v>
          </cell>
          <cell r="X76">
            <v>0.52499999999999991</v>
          </cell>
          <cell r="Y76">
            <v>0.52499999999999991</v>
          </cell>
          <cell r="Z76">
            <v>0.52499999999999991</v>
          </cell>
          <cell r="AA76">
            <v>0.52499999999999991</v>
          </cell>
          <cell r="AB76">
            <v>0.52499999999999991</v>
          </cell>
          <cell r="AC76">
            <v>0.52499999999999991</v>
          </cell>
          <cell r="AD76">
            <v>0.52499999999999991</v>
          </cell>
          <cell r="AE76">
            <v>0.52499999999999991</v>
          </cell>
          <cell r="AF76">
            <v>0.26249999999999996</v>
          </cell>
          <cell r="AG76">
            <v>0.26249999999999996</v>
          </cell>
          <cell r="AH76">
            <v>0.26249999999999996</v>
          </cell>
          <cell r="AI76">
            <v>0.26249999999999996</v>
          </cell>
          <cell r="AJ76">
            <v>0.26249999999999996</v>
          </cell>
          <cell r="AK76">
            <v>0.13124999999999998</v>
          </cell>
          <cell r="AP76">
            <v>6.5624999999999989E-2</v>
          </cell>
          <cell r="AU76">
            <v>3.2812499999999994E-2</v>
          </cell>
          <cell r="AZ76">
            <v>1.6406249999999997E-2</v>
          </cell>
          <cell r="BE76">
            <v>1.6406249999999997E-2</v>
          </cell>
          <cell r="BJ76">
            <v>1.6406249999999997E-2</v>
          </cell>
          <cell r="BO76">
            <v>1.6406249999999997E-2</v>
          </cell>
          <cell r="BP76">
            <v>1.6406249999999997E-2</v>
          </cell>
          <cell r="BQ76">
            <v>1.6406249999999997E-2</v>
          </cell>
          <cell r="BR76">
            <v>1.6406249999999997E-2</v>
          </cell>
          <cell r="BS76">
            <v>1.6406249999999997E-2</v>
          </cell>
          <cell r="BT76">
            <v>1.6406249999999997E-2</v>
          </cell>
          <cell r="BU76">
            <v>1.6406249999999997E-2</v>
          </cell>
          <cell r="BV76">
            <v>1.6406249999999997E-2</v>
          </cell>
          <cell r="BW76">
            <v>1.6406249999999997E-2</v>
          </cell>
          <cell r="BX76">
            <v>1.6406249999999997E-2</v>
          </cell>
          <cell r="BY76">
            <v>1.6406249999999997E-2</v>
          </cell>
        </row>
        <row r="77">
          <cell r="A77" t="str">
            <v>Other</v>
          </cell>
          <cell r="K77">
            <v>11.399999999999974</v>
          </cell>
          <cell r="L77">
            <v>22.477999999999991</v>
          </cell>
          <cell r="M77">
            <v>8.390696342905704</v>
          </cell>
          <cell r="N77">
            <v>3.5160484759456496</v>
          </cell>
          <cell r="O77">
            <v>2.5312472298554991</v>
          </cell>
          <cell r="P77">
            <v>17.976739364789807</v>
          </cell>
          <cell r="Q77">
            <v>11.279394744869721</v>
          </cell>
          <cell r="R77">
            <v>1.5</v>
          </cell>
          <cell r="S77">
            <v>1.5</v>
          </cell>
          <cell r="T77">
            <v>1.5</v>
          </cell>
          <cell r="U77">
            <v>1.5</v>
          </cell>
          <cell r="V77">
            <v>1.5</v>
          </cell>
          <cell r="W77">
            <v>0.3</v>
          </cell>
          <cell r="X77">
            <v>0.3</v>
          </cell>
          <cell r="Y77">
            <v>0.3</v>
          </cell>
          <cell r="Z77">
            <v>0.3</v>
          </cell>
          <cell r="AA77">
            <v>0.3</v>
          </cell>
          <cell r="AB77">
            <v>0.3</v>
          </cell>
          <cell r="AC77">
            <v>0.3</v>
          </cell>
          <cell r="AD77">
            <v>0.3</v>
          </cell>
          <cell r="AE77">
            <v>0.3</v>
          </cell>
          <cell r="AF77">
            <v>0.15</v>
          </cell>
          <cell r="AG77">
            <v>0.15</v>
          </cell>
          <cell r="AH77">
            <v>0.15</v>
          </cell>
          <cell r="AI77">
            <v>0.15</v>
          </cell>
          <cell r="AJ77">
            <v>0.15</v>
          </cell>
          <cell r="AK77">
            <v>7.4999999999999997E-2</v>
          </cell>
          <cell r="AP77">
            <v>3.7499999999999999E-2</v>
          </cell>
          <cell r="AU77">
            <v>1.8749999999999999E-2</v>
          </cell>
          <cell r="AZ77">
            <v>9.3749999999999997E-3</v>
          </cell>
          <cell r="BE77">
            <v>9.3749999999999997E-3</v>
          </cell>
          <cell r="BJ77">
            <v>9.3749999999999997E-3</v>
          </cell>
          <cell r="BO77">
            <v>9.3749999999999997E-3</v>
          </cell>
          <cell r="BP77">
            <v>9.3749999999999997E-3</v>
          </cell>
          <cell r="BQ77">
            <v>9.3749999999999997E-3</v>
          </cell>
          <cell r="BR77">
            <v>9.3749999999999997E-3</v>
          </cell>
          <cell r="BS77">
            <v>9.3749999999999997E-3</v>
          </cell>
          <cell r="BT77">
            <v>9.3749999999999997E-3</v>
          </cell>
          <cell r="BU77">
            <v>9.3749999999999997E-3</v>
          </cell>
          <cell r="BV77">
            <v>9.3749999999999997E-3</v>
          </cell>
          <cell r="BW77">
            <v>9.3749999999999997E-3</v>
          </cell>
          <cell r="BX77">
            <v>9.3749999999999997E-3</v>
          </cell>
          <cell r="BY77">
            <v>9.3749999999999997E-3</v>
          </cell>
        </row>
        <row r="78">
          <cell r="A78" t="str">
            <v xml:space="preserve">   Total Revenues</v>
          </cell>
          <cell r="K78">
            <v>11.4</v>
          </cell>
          <cell r="L78">
            <v>22.478000000000002</v>
          </cell>
          <cell r="M78">
            <v>8.3906963429057235</v>
          </cell>
          <cell r="N78">
            <v>3.5160484759456478</v>
          </cell>
          <cell r="O78">
            <v>2.5312472298555084</v>
          </cell>
          <cell r="P78">
            <v>1.7109627663985401</v>
          </cell>
          <cell r="Q78">
            <v>2.6885595025129905</v>
          </cell>
          <cell r="R78">
            <v>1.35796766743649</v>
          </cell>
          <cell r="S78">
            <v>1.35796766743649</v>
          </cell>
          <cell r="T78">
            <v>1.35796766743649</v>
          </cell>
          <cell r="U78">
            <v>1.35796766743649</v>
          </cell>
          <cell r="V78">
            <v>1.35796766743649</v>
          </cell>
          <cell r="W78">
            <v>0.34769833496571967</v>
          </cell>
          <cell r="X78">
            <v>0.34769833496571967</v>
          </cell>
          <cell r="Y78">
            <v>0.34769833496571967</v>
          </cell>
          <cell r="Z78">
            <v>0.34769833496571967</v>
          </cell>
          <cell r="AA78">
            <v>0.34769833496571967</v>
          </cell>
          <cell r="AB78">
            <v>0.34769833496571967</v>
          </cell>
          <cell r="AC78">
            <v>0.34769833496571967</v>
          </cell>
          <cell r="AD78">
            <v>0.34769833496571967</v>
          </cell>
          <cell r="AE78">
            <v>0.34769833496571967</v>
          </cell>
          <cell r="AF78">
            <v>0.4375</v>
          </cell>
          <cell r="AG78">
            <v>0.4375</v>
          </cell>
          <cell r="AH78">
            <v>0.4375</v>
          </cell>
          <cell r="AI78">
            <v>0.4375</v>
          </cell>
          <cell r="AJ78">
            <v>0.4375</v>
          </cell>
          <cell r="AK78">
            <v>0.39282103134479285</v>
          </cell>
          <cell r="AP78">
            <v>0.55716878402903802</v>
          </cell>
          <cell r="AU78">
            <v>0.49883449883449882</v>
          </cell>
          <cell r="AZ78">
            <v>0.21461897356143078</v>
          </cell>
          <cell r="BE78">
            <v>8.578745198463511E-2</v>
          </cell>
          <cell r="BJ78">
            <v>2.5943396226415061E-2</v>
          </cell>
          <cell r="BO78">
            <v>0.12894810882548113</v>
          </cell>
          <cell r="BP78">
            <v>-0.13514603960396054</v>
          </cell>
          <cell r="BQ78">
            <v>1.5000000000000124E-2</v>
          </cell>
          <cell r="BR78">
            <v>1.499999999999968E-2</v>
          </cell>
          <cell r="BS78">
            <v>1.4999999999999902E-2</v>
          </cell>
          <cell r="BT78">
            <v>1.4999999999999902E-2</v>
          </cell>
          <cell r="BU78">
            <v>1.4999999999999902E-2</v>
          </cell>
          <cell r="BV78">
            <v>1.4999999999999902E-2</v>
          </cell>
          <cell r="BW78">
            <v>1.4999999999999902E-2</v>
          </cell>
          <cell r="BX78">
            <v>1.4999999999999902E-2</v>
          </cell>
          <cell r="BY78">
            <v>1.4999999999999902E-2</v>
          </cell>
        </row>
        <row r="81">
          <cell r="M81" t="str">
            <v>Previous 1998 Results</v>
          </cell>
        </row>
        <row r="82">
          <cell r="M82" t="str">
            <v>Q1</v>
          </cell>
          <cell r="N82" t="str">
            <v>Q2</v>
          </cell>
          <cell r="O82" t="str">
            <v>Q3</v>
          </cell>
          <cell r="P82" t="str">
            <v>Q4</v>
          </cell>
          <cell r="Q82">
            <v>1998</v>
          </cell>
        </row>
        <row r="83">
          <cell r="M83">
            <v>7.5</v>
          </cell>
          <cell r="N83">
            <v>7.1</v>
          </cell>
          <cell r="O83">
            <v>9.1999999999999993</v>
          </cell>
          <cell r="P83">
            <v>15.1</v>
          </cell>
          <cell r="Q83">
            <v>38.9</v>
          </cell>
        </row>
        <row r="84">
          <cell r="M84">
            <v>0.19280205655526994</v>
          </cell>
          <cell r="N84">
            <v>0.18251928020565553</v>
          </cell>
          <cell r="O84">
            <v>0.23650385604113108</v>
          </cell>
          <cell r="P84">
            <v>0.38817480719794345</v>
          </cell>
          <cell r="Q84">
            <v>1</v>
          </cell>
        </row>
        <row r="87">
          <cell r="A87" t="str">
            <v>Scenario Analysis</v>
          </cell>
          <cell r="BJ87">
            <v>1</v>
          </cell>
        </row>
        <row r="89">
          <cell r="A89" t="str">
            <v>Sales per FTE Growth</v>
          </cell>
          <cell r="BO89">
            <v>0.12</v>
          </cell>
          <cell r="BP89">
            <v>-0.15</v>
          </cell>
          <cell r="BQ89">
            <v>0</v>
          </cell>
          <cell r="BR89">
            <v>0</v>
          </cell>
          <cell r="BS89">
            <v>0</v>
          </cell>
          <cell r="BT89">
            <v>0</v>
          </cell>
          <cell r="BU89">
            <v>0</v>
          </cell>
          <cell r="BV89">
            <v>0</v>
          </cell>
          <cell r="BW89">
            <v>0</v>
          </cell>
          <cell r="BX89">
            <v>0</v>
          </cell>
          <cell r="BY89">
            <v>0</v>
          </cell>
        </row>
        <row r="90">
          <cell r="A90" t="str">
            <v>Base Case</v>
          </cell>
          <cell r="BO90">
            <v>0.12</v>
          </cell>
          <cell r="BP90">
            <v>-0.15</v>
          </cell>
          <cell r="BQ90">
            <v>0</v>
          </cell>
          <cell r="BR90">
            <v>0</v>
          </cell>
          <cell r="BS90">
            <v>0</v>
          </cell>
          <cell r="BT90">
            <v>0</v>
          </cell>
          <cell r="BU90">
            <v>0</v>
          </cell>
          <cell r="BV90">
            <v>0</v>
          </cell>
          <cell r="BW90">
            <v>0</v>
          </cell>
          <cell r="BX90">
            <v>0</v>
          </cell>
          <cell r="BY90">
            <v>0</v>
          </cell>
        </row>
        <row r="91">
          <cell r="A91" t="str">
            <v>Bear Case</v>
          </cell>
          <cell r="BO91">
            <v>0.12</v>
          </cell>
          <cell r="BP91">
            <v>-0.18</v>
          </cell>
          <cell r="BQ91">
            <v>-0.03</v>
          </cell>
          <cell r="BR91">
            <v>-0.03</v>
          </cell>
          <cell r="BS91">
            <v>-0.03</v>
          </cell>
          <cell r="BT91">
            <v>-0.03</v>
          </cell>
          <cell r="BU91">
            <v>-0.03</v>
          </cell>
          <cell r="BV91">
            <v>-0.03</v>
          </cell>
          <cell r="BW91">
            <v>-0.03</v>
          </cell>
          <cell r="BX91">
            <v>-0.03</v>
          </cell>
          <cell r="BY91">
            <v>-0.03</v>
          </cell>
        </row>
        <row r="92">
          <cell r="A92" t="str">
            <v>5.0x Leverage Case</v>
          </cell>
          <cell r="BO92">
            <v>0.12</v>
          </cell>
          <cell r="BP92">
            <v>-0.15</v>
          </cell>
          <cell r="BQ92">
            <v>0</v>
          </cell>
          <cell r="BR92">
            <v>0</v>
          </cell>
          <cell r="BS92">
            <v>0</v>
          </cell>
          <cell r="BT92">
            <v>0</v>
          </cell>
          <cell r="BU92">
            <v>0</v>
          </cell>
          <cell r="BV92">
            <v>0</v>
          </cell>
          <cell r="BW92">
            <v>0</v>
          </cell>
          <cell r="BX92">
            <v>0</v>
          </cell>
          <cell r="BY92">
            <v>0</v>
          </cell>
        </row>
        <row r="93">
          <cell r="A93" t="str">
            <v>Historical Growth</v>
          </cell>
          <cell r="BO93">
            <v>0.12</v>
          </cell>
          <cell r="BP93">
            <v>-0.15</v>
          </cell>
          <cell r="BQ93">
            <v>0</v>
          </cell>
          <cell r="BR93">
            <v>0</v>
          </cell>
          <cell r="BS93">
            <v>0</v>
          </cell>
          <cell r="BT93">
            <v>0</v>
          </cell>
          <cell r="BU93">
            <v>0</v>
          </cell>
          <cell r="BV93">
            <v>0</v>
          </cell>
          <cell r="BW93">
            <v>0</v>
          </cell>
          <cell r="BX93">
            <v>0</v>
          </cell>
          <cell r="BY93">
            <v>0</v>
          </cell>
        </row>
        <row r="95">
          <cell r="A95" t="str">
            <v>Gross Margin</v>
          </cell>
          <cell r="BO95">
            <v>0.35499999999999998</v>
          </cell>
          <cell r="BP95">
            <v>0.35499999999999998</v>
          </cell>
          <cell r="BQ95">
            <v>0.36</v>
          </cell>
          <cell r="BR95">
            <v>0.36</v>
          </cell>
          <cell r="BS95">
            <v>0.36</v>
          </cell>
          <cell r="BT95">
            <v>0.36</v>
          </cell>
          <cell r="BU95">
            <v>0.36</v>
          </cell>
          <cell r="BV95">
            <v>0.36</v>
          </cell>
          <cell r="BW95">
            <v>0.36</v>
          </cell>
          <cell r="BX95">
            <v>0.36</v>
          </cell>
          <cell r="BY95">
            <v>0.36</v>
          </cell>
        </row>
        <row r="96">
          <cell r="A96" t="str">
            <v>Base Case</v>
          </cell>
          <cell r="BO96">
            <v>0.35499999999999998</v>
          </cell>
          <cell r="BP96">
            <v>0.35499999999999998</v>
          </cell>
          <cell r="BQ96">
            <v>0.36</v>
          </cell>
          <cell r="BR96">
            <v>0.36</v>
          </cell>
          <cell r="BS96">
            <v>0.36</v>
          </cell>
          <cell r="BT96">
            <v>0.36</v>
          </cell>
          <cell r="BU96">
            <v>0.36</v>
          </cell>
          <cell r="BV96">
            <v>0.36</v>
          </cell>
          <cell r="BW96">
            <v>0.36</v>
          </cell>
          <cell r="BX96">
            <v>0.36</v>
          </cell>
          <cell r="BY96">
            <v>0.36</v>
          </cell>
        </row>
        <row r="97">
          <cell r="A97" t="str">
            <v>Bear Case</v>
          </cell>
          <cell r="BO97">
            <v>0.35499999999999998</v>
          </cell>
          <cell r="BP97">
            <v>0.32499999999999996</v>
          </cell>
          <cell r="BQ97">
            <v>0.34499999999999997</v>
          </cell>
          <cell r="BR97">
            <v>0.36</v>
          </cell>
          <cell r="BS97">
            <v>0.36</v>
          </cell>
          <cell r="BT97">
            <v>0.36</v>
          </cell>
          <cell r="BU97">
            <v>0.36</v>
          </cell>
          <cell r="BV97">
            <v>0.36</v>
          </cell>
          <cell r="BW97">
            <v>0.36</v>
          </cell>
          <cell r="BX97">
            <v>0.36</v>
          </cell>
          <cell r="BY97">
            <v>0.36</v>
          </cell>
        </row>
        <row r="98">
          <cell r="A98" t="str">
            <v>5.0x Leverage Case</v>
          </cell>
          <cell r="BO98">
            <v>0.35499999999999998</v>
          </cell>
          <cell r="BP98">
            <v>0.35499999999999998</v>
          </cell>
          <cell r="BQ98">
            <v>0.36</v>
          </cell>
          <cell r="BR98">
            <v>0.36</v>
          </cell>
          <cell r="BS98">
            <v>0.36</v>
          </cell>
          <cell r="BT98">
            <v>0.36</v>
          </cell>
          <cell r="BU98">
            <v>0.36</v>
          </cell>
          <cell r="BV98">
            <v>0.36</v>
          </cell>
          <cell r="BW98">
            <v>0.36</v>
          </cell>
          <cell r="BX98">
            <v>0.36</v>
          </cell>
          <cell r="BY98">
            <v>0.36</v>
          </cell>
        </row>
        <row r="99">
          <cell r="A99" t="str">
            <v>Historical Growth</v>
          </cell>
          <cell r="BO99">
            <v>0.35499999999999998</v>
          </cell>
          <cell r="BP99">
            <v>0.35499999999999998</v>
          </cell>
          <cell r="BQ99">
            <v>0.36</v>
          </cell>
          <cell r="BR99">
            <v>0.36</v>
          </cell>
          <cell r="BS99">
            <v>0.36</v>
          </cell>
          <cell r="BT99">
            <v>0.36</v>
          </cell>
          <cell r="BU99">
            <v>0.36</v>
          </cell>
          <cell r="BV99">
            <v>0.36</v>
          </cell>
          <cell r="BW99">
            <v>0.36</v>
          </cell>
          <cell r="BX99">
            <v>0.36</v>
          </cell>
          <cell r="BY99">
            <v>0.36</v>
          </cell>
        </row>
      </sheetData>
      <sheetData sheetId="17" refreshError="1"/>
      <sheetData sheetId="18" refreshError="1">
        <row r="2">
          <cell r="A2" t="str">
            <v>QVC - Japan</v>
          </cell>
        </row>
        <row r="3">
          <cell r="A3" t="str">
            <v>($ Millions)</v>
          </cell>
        </row>
        <row r="4">
          <cell r="B4" t="str">
            <v>2002</v>
          </cell>
          <cell r="G4" t="str">
            <v>2003</v>
          </cell>
          <cell r="L4" t="str">
            <v>2004</v>
          </cell>
          <cell r="Q4" t="str">
            <v>2005</v>
          </cell>
          <cell r="V4">
            <v>2006</v>
          </cell>
          <cell r="AA4">
            <v>2007</v>
          </cell>
          <cell r="AF4" t="str">
            <v>2008E</v>
          </cell>
        </row>
        <row r="5">
          <cell r="B5" t="str">
            <v>Q1</v>
          </cell>
          <cell r="C5" t="str">
            <v>Q2</v>
          </cell>
          <cell r="D5" t="str">
            <v>Q3</v>
          </cell>
          <cell r="E5" t="str">
            <v>Q4</v>
          </cell>
          <cell r="F5" t="str">
            <v>2002</v>
          </cell>
          <cell r="G5" t="str">
            <v>Q1</v>
          </cell>
          <cell r="H5" t="str">
            <v>Q2</v>
          </cell>
          <cell r="I5" t="str">
            <v>Q3</v>
          </cell>
          <cell r="J5" t="str">
            <v>Q4</v>
          </cell>
          <cell r="K5" t="str">
            <v>2003</v>
          </cell>
          <cell r="L5" t="str">
            <v>Q1</v>
          </cell>
          <cell r="M5" t="str">
            <v>Q2</v>
          </cell>
          <cell r="N5" t="str">
            <v>Q3</v>
          </cell>
          <cell r="O5" t="str">
            <v>Q4</v>
          </cell>
          <cell r="P5" t="str">
            <v>2004</v>
          </cell>
          <cell r="Q5" t="str">
            <v>Q1</v>
          </cell>
          <cell r="R5" t="str">
            <v>Q2</v>
          </cell>
          <cell r="S5" t="str">
            <v>Q3</v>
          </cell>
          <cell r="T5" t="str">
            <v>Q4</v>
          </cell>
          <cell r="U5" t="str">
            <v>2005</v>
          </cell>
          <cell r="V5" t="str">
            <v>1Q</v>
          </cell>
          <cell r="W5" t="str">
            <v>2Q</v>
          </cell>
          <cell r="X5" t="str">
            <v>3Q</v>
          </cell>
          <cell r="Y5" t="str">
            <v>4Q</v>
          </cell>
          <cell r="Z5">
            <v>2006</v>
          </cell>
          <cell r="AA5" t="str">
            <v>1Q</v>
          </cell>
          <cell r="AB5" t="str">
            <v>2Q</v>
          </cell>
          <cell r="AC5" t="str">
            <v>3Q</v>
          </cell>
          <cell r="AD5" t="str">
            <v>4Q</v>
          </cell>
          <cell r="AE5">
            <v>2007</v>
          </cell>
          <cell r="AF5" t="str">
            <v>1Q</v>
          </cell>
          <cell r="AG5" t="str">
            <v>2Q</v>
          </cell>
          <cell r="AH5" t="str">
            <v>3Q</v>
          </cell>
          <cell r="AI5" t="str">
            <v>4QE</v>
          </cell>
          <cell r="AJ5" t="str">
            <v>2008E</v>
          </cell>
          <cell r="AK5" t="str">
            <v>2009E</v>
          </cell>
          <cell r="AL5" t="str">
            <v>2010E</v>
          </cell>
          <cell r="AM5" t="str">
            <v>2011E</v>
          </cell>
          <cell r="AN5" t="str">
            <v>2012E</v>
          </cell>
          <cell r="AO5" t="str">
            <v>2013E</v>
          </cell>
          <cell r="AP5" t="str">
            <v>2014E</v>
          </cell>
          <cell r="AQ5" t="str">
            <v>2015E</v>
          </cell>
          <cell r="AR5" t="str">
            <v>2016E</v>
          </cell>
          <cell r="AS5" t="str">
            <v>2017E</v>
          </cell>
          <cell r="AT5" t="str">
            <v>2018E</v>
          </cell>
        </row>
        <row r="6">
          <cell r="A6" t="str">
            <v>Jewelry</v>
          </cell>
          <cell r="B6">
            <v>3.41</v>
          </cell>
          <cell r="C6">
            <v>4.9910000000000005</v>
          </cell>
          <cell r="D6">
            <v>7.6879999999999988</v>
          </cell>
          <cell r="E6">
            <v>10.695</v>
          </cell>
          <cell r="F6">
            <v>26.783999999999999</v>
          </cell>
          <cell r="G6">
            <v>12.4</v>
          </cell>
          <cell r="H6">
            <v>17.36</v>
          </cell>
          <cell r="I6">
            <v>19.84</v>
          </cell>
          <cell r="J6">
            <v>26.35</v>
          </cell>
          <cell r="K6">
            <v>75.949999999999989</v>
          </cell>
          <cell r="L6">
            <v>26.04</v>
          </cell>
          <cell r="M6">
            <v>30.38</v>
          </cell>
          <cell r="N6">
            <v>31.93</v>
          </cell>
          <cell r="O6">
            <v>40.61</v>
          </cell>
          <cell r="P6">
            <v>128.95999999999998</v>
          </cell>
          <cell r="Q6">
            <v>35.65</v>
          </cell>
          <cell r="R6">
            <v>40.61</v>
          </cell>
          <cell r="S6">
            <v>39.99</v>
          </cell>
          <cell r="T6">
            <v>46.81</v>
          </cell>
          <cell r="U6">
            <v>163.06</v>
          </cell>
          <cell r="V6">
            <v>42.78</v>
          </cell>
          <cell r="W6">
            <v>50.53</v>
          </cell>
          <cell r="X6">
            <v>48.36</v>
          </cell>
          <cell r="Y6">
            <v>53.94</v>
          </cell>
          <cell r="Z6">
            <v>195.60999999999999</v>
          </cell>
          <cell r="AA6">
            <v>44.33</v>
          </cell>
          <cell r="AB6">
            <v>46.81</v>
          </cell>
          <cell r="AC6">
            <v>46.19</v>
          </cell>
          <cell r="AD6">
            <v>52.39</v>
          </cell>
          <cell r="AE6">
            <v>189.72</v>
          </cell>
          <cell r="AF6">
            <v>52.08</v>
          </cell>
          <cell r="AG6">
            <v>59.83</v>
          </cell>
          <cell r="AH6">
            <v>55.49</v>
          </cell>
          <cell r="AI6">
            <v>64.616753912060929</v>
          </cell>
          <cell r="AJ6">
            <v>232.01675391206092</v>
          </cell>
          <cell r="AK6">
            <v>255.7453847509048</v>
          </cell>
          <cell r="AL6">
            <v>275.73390561169924</v>
          </cell>
          <cell r="AM6">
            <v>294.08565601008792</v>
          </cell>
          <cell r="AN6">
            <v>310.68048945637139</v>
          </cell>
          <cell r="AO6">
            <v>326.00025152266829</v>
          </cell>
          <cell r="AP6">
            <v>340.57009516613959</v>
          </cell>
          <cell r="AQ6">
            <v>354.32912701085161</v>
          </cell>
          <cell r="AR6">
            <v>367.21382253851885</v>
          </cell>
          <cell r="AS6">
            <v>379.15793529266648</v>
          </cell>
          <cell r="AT6">
            <v>390.09240330526609</v>
          </cell>
        </row>
        <row r="7">
          <cell r="A7" t="str">
            <v>Apparel &amp; Accessories</v>
          </cell>
          <cell r="B7">
            <v>2.42</v>
          </cell>
          <cell r="C7">
            <v>3.5420000000000003</v>
          </cell>
          <cell r="D7">
            <v>5.4559999999999995</v>
          </cell>
          <cell r="E7">
            <v>7.59</v>
          </cell>
          <cell r="F7">
            <v>19.007999999999999</v>
          </cell>
          <cell r="G7">
            <v>8.8000000000000007</v>
          </cell>
          <cell r="H7">
            <v>12.32</v>
          </cell>
          <cell r="I7">
            <v>14.08</v>
          </cell>
          <cell r="J7">
            <v>18.7</v>
          </cell>
          <cell r="K7">
            <v>53.900000000000006</v>
          </cell>
          <cell r="L7">
            <v>18.48</v>
          </cell>
          <cell r="M7">
            <v>21.56</v>
          </cell>
          <cell r="N7">
            <v>22.66</v>
          </cell>
          <cell r="O7">
            <v>28.82</v>
          </cell>
          <cell r="P7">
            <v>91.52000000000001</v>
          </cell>
          <cell r="Q7">
            <v>25.3</v>
          </cell>
          <cell r="R7">
            <v>28.82</v>
          </cell>
          <cell r="S7">
            <v>28.38</v>
          </cell>
          <cell r="T7">
            <v>33.22</v>
          </cell>
          <cell r="U7">
            <v>115.72</v>
          </cell>
          <cell r="V7">
            <v>30.36</v>
          </cell>
          <cell r="W7">
            <v>35.86</v>
          </cell>
          <cell r="X7">
            <v>34.32</v>
          </cell>
          <cell r="Y7">
            <v>38.28</v>
          </cell>
          <cell r="Z7">
            <v>138.82</v>
          </cell>
          <cell r="AA7">
            <v>31.46</v>
          </cell>
          <cell r="AB7">
            <v>33.22</v>
          </cell>
          <cell r="AC7">
            <v>32.78</v>
          </cell>
          <cell r="AD7">
            <v>37.18</v>
          </cell>
          <cell r="AE7">
            <v>134.64000000000001</v>
          </cell>
          <cell r="AF7">
            <v>36.96</v>
          </cell>
          <cell r="AG7">
            <v>42.46</v>
          </cell>
          <cell r="AH7">
            <v>39.380000000000003</v>
          </cell>
          <cell r="AI7">
            <v>45.857051163398083</v>
          </cell>
          <cell r="AJ7">
            <v>164.65705116339808</v>
          </cell>
          <cell r="AK7">
            <v>181.49672466193246</v>
          </cell>
          <cell r="AL7">
            <v>195.6821265631414</v>
          </cell>
          <cell r="AM7">
            <v>208.705949426514</v>
          </cell>
          <cell r="AN7">
            <v>220.48292800129582</v>
          </cell>
          <cell r="AO7">
            <v>231.35501720963558</v>
          </cell>
          <cell r="AP7">
            <v>241.69490624693779</v>
          </cell>
          <cell r="AQ7">
            <v>251.45938045931402</v>
          </cell>
          <cell r="AR7">
            <v>260.6033579305618</v>
          </cell>
          <cell r="AS7">
            <v>269.07982504640847</v>
          </cell>
          <cell r="AT7">
            <v>276.8397700876082</v>
          </cell>
        </row>
        <row r="8">
          <cell r="A8" t="str">
            <v>Housewares/Home</v>
          </cell>
          <cell r="B8">
            <v>2.42</v>
          </cell>
          <cell r="C8">
            <v>3.5420000000000003</v>
          </cell>
          <cell r="D8">
            <v>5.4559999999999995</v>
          </cell>
          <cell r="E8">
            <v>7.59</v>
          </cell>
          <cell r="F8">
            <v>19.007999999999999</v>
          </cell>
          <cell r="G8">
            <v>8.8000000000000007</v>
          </cell>
          <cell r="H8">
            <v>12.32</v>
          </cell>
          <cell r="I8">
            <v>14.08</v>
          </cell>
          <cell r="J8">
            <v>18.7</v>
          </cell>
          <cell r="K8">
            <v>53.900000000000006</v>
          </cell>
          <cell r="L8">
            <v>18.48</v>
          </cell>
          <cell r="M8">
            <v>21.56</v>
          </cell>
          <cell r="N8">
            <v>22.66</v>
          </cell>
          <cell r="O8">
            <v>28.82</v>
          </cell>
          <cell r="P8">
            <v>91.52000000000001</v>
          </cell>
          <cell r="Q8">
            <v>25.3</v>
          </cell>
          <cell r="R8">
            <v>28.82</v>
          </cell>
          <cell r="S8">
            <v>28.38</v>
          </cell>
          <cell r="T8">
            <v>33.22</v>
          </cell>
          <cell r="U8">
            <v>115.72</v>
          </cell>
          <cell r="V8">
            <v>30.36</v>
          </cell>
          <cell r="W8">
            <v>35.86</v>
          </cell>
          <cell r="X8">
            <v>34.32</v>
          </cell>
          <cell r="Y8">
            <v>38.28</v>
          </cell>
          <cell r="Z8">
            <v>138.82</v>
          </cell>
          <cell r="AA8">
            <v>31.46</v>
          </cell>
          <cell r="AB8">
            <v>33.22</v>
          </cell>
          <cell r="AC8">
            <v>32.78</v>
          </cell>
          <cell r="AD8">
            <v>37.18</v>
          </cell>
          <cell r="AE8">
            <v>134.64000000000001</v>
          </cell>
          <cell r="AF8">
            <v>36.96</v>
          </cell>
          <cell r="AG8">
            <v>42.46</v>
          </cell>
          <cell r="AH8">
            <v>39.380000000000003</v>
          </cell>
          <cell r="AI8">
            <v>45.857051163398083</v>
          </cell>
          <cell r="AJ8">
            <v>164.65705116339808</v>
          </cell>
          <cell r="AK8">
            <v>181.49672466193246</v>
          </cell>
          <cell r="AL8">
            <v>195.6821265631414</v>
          </cell>
          <cell r="AM8">
            <v>208.705949426514</v>
          </cell>
          <cell r="AN8">
            <v>220.48292800129582</v>
          </cell>
          <cell r="AO8">
            <v>231.35501720963558</v>
          </cell>
          <cell r="AP8">
            <v>241.69490624693779</v>
          </cell>
          <cell r="AQ8">
            <v>251.45938045931402</v>
          </cell>
          <cell r="AR8">
            <v>260.6033579305618</v>
          </cell>
          <cell r="AS8">
            <v>269.07982504640847</v>
          </cell>
          <cell r="AT8">
            <v>276.8397700876082</v>
          </cell>
        </row>
        <row r="9">
          <cell r="A9" t="str">
            <v>Electronics</v>
          </cell>
          <cell r="B9">
            <v>1.65</v>
          </cell>
          <cell r="C9">
            <v>2.415</v>
          </cell>
          <cell r="D9">
            <v>3.7199999999999993</v>
          </cell>
          <cell r="E9">
            <v>5.1749999999999998</v>
          </cell>
          <cell r="F9">
            <v>12.959999999999997</v>
          </cell>
          <cell r="G9">
            <v>6</v>
          </cell>
          <cell r="H9">
            <v>8.4</v>
          </cell>
          <cell r="I9">
            <v>9.6</v>
          </cell>
          <cell r="J9">
            <v>12.75</v>
          </cell>
          <cell r="K9">
            <v>36.75</v>
          </cell>
          <cell r="L9">
            <v>12.6</v>
          </cell>
          <cell r="M9">
            <v>14.7</v>
          </cell>
          <cell r="N9">
            <v>15.45</v>
          </cell>
          <cell r="O9">
            <v>19.649999999999999</v>
          </cell>
          <cell r="P9">
            <v>62.4</v>
          </cell>
          <cell r="Q9">
            <v>17.25</v>
          </cell>
          <cell r="R9">
            <v>19.649999999999999</v>
          </cell>
          <cell r="S9">
            <v>19.349999999999998</v>
          </cell>
          <cell r="T9">
            <v>22.65</v>
          </cell>
          <cell r="U9">
            <v>78.900000000000006</v>
          </cell>
          <cell r="V9">
            <v>20.7</v>
          </cell>
          <cell r="W9">
            <v>24.45</v>
          </cell>
          <cell r="X9">
            <v>23.4</v>
          </cell>
          <cell r="Y9">
            <v>26.099999999999998</v>
          </cell>
          <cell r="Z9">
            <v>94.65000000000002</v>
          </cell>
          <cell r="AA9">
            <v>21.45</v>
          </cell>
          <cell r="AB9">
            <v>22.65</v>
          </cell>
          <cell r="AC9">
            <v>22.349999999999998</v>
          </cell>
          <cell r="AD9">
            <v>25.349999999999998</v>
          </cell>
          <cell r="AE9">
            <v>91.800000000000011</v>
          </cell>
          <cell r="AF9">
            <v>25.2</v>
          </cell>
          <cell r="AG9">
            <v>28.95</v>
          </cell>
          <cell r="AH9">
            <v>26.849999999999998</v>
          </cell>
          <cell r="AI9">
            <v>31.266171247771418</v>
          </cell>
          <cell r="AJ9">
            <v>112.26617124777142</v>
          </cell>
          <cell r="AK9">
            <v>123.74776681495396</v>
          </cell>
          <cell r="AL9">
            <v>133.41963174759641</v>
          </cell>
          <cell r="AM9">
            <v>142.29951097262321</v>
          </cell>
          <cell r="AN9">
            <v>150.32926909179264</v>
          </cell>
          <cell r="AO9">
            <v>157.74205718838792</v>
          </cell>
          <cell r="AP9">
            <v>164.79198153200306</v>
          </cell>
          <cell r="AQ9">
            <v>171.44957758589595</v>
          </cell>
          <cell r="AR9">
            <v>177.6841076799285</v>
          </cell>
          <cell r="AS9">
            <v>183.4635170770967</v>
          </cell>
          <cell r="AT9">
            <v>188.75438869609653</v>
          </cell>
        </row>
        <row r="10">
          <cell r="A10" t="str">
            <v>Collectibles</v>
          </cell>
          <cell r="B10">
            <v>0.77</v>
          </cell>
          <cell r="C10">
            <v>1.1270000000000002</v>
          </cell>
          <cell r="D10">
            <v>1.736</v>
          </cell>
          <cell r="E10">
            <v>2.415</v>
          </cell>
          <cell r="F10">
            <v>6.048</v>
          </cell>
          <cell r="G10">
            <v>2.8000000000000003</v>
          </cell>
          <cell r="H10">
            <v>3.9200000000000004</v>
          </cell>
          <cell r="I10">
            <v>4.4800000000000004</v>
          </cell>
          <cell r="J10">
            <v>5.95</v>
          </cell>
          <cell r="K10">
            <v>17.150000000000002</v>
          </cell>
          <cell r="L10">
            <v>5.8800000000000008</v>
          </cell>
          <cell r="M10">
            <v>6.86</v>
          </cell>
          <cell r="N10">
            <v>7.2100000000000009</v>
          </cell>
          <cell r="O10">
            <v>9.1700000000000017</v>
          </cell>
          <cell r="P10">
            <v>29.120000000000005</v>
          </cell>
          <cell r="Q10">
            <v>8.0500000000000007</v>
          </cell>
          <cell r="R10">
            <v>9.1700000000000017</v>
          </cell>
          <cell r="S10">
            <v>9.0300000000000011</v>
          </cell>
          <cell r="T10">
            <v>10.57</v>
          </cell>
          <cell r="U10">
            <v>36.820000000000007</v>
          </cell>
          <cell r="V10">
            <v>9.66</v>
          </cell>
          <cell r="W10">
            <v>11.410000000000002</v>
          </cell>
          <cell r="X10">
            <v>10.920000000000002</v>
          </cell>
          <cell r="Y10">
            <v>12.180000000000001</v>
          </cell>
          <cell r="Z10">
            <v>44.170000000000016</v>
          </cell>
          <cell r="AA10">
            <v>10.010000000000002</v>
          </cell>
          <cell r="AB10">
            <v>10.57</v>
          </cell>
          <cell r="AC10">
            <v>10.430000000000001</v>
          </cell>
          <cell r="AD10">
            <v>11.830000000000002</v>
          </cell>
          <cell r="AE10">
            <v>42.840000000000011</v>
          </cell>
          <cell r="AF10">
            <v>11.760000000000002</v>
          </cell>
          <cell r="AG10">
            <v>13.510000000000002</v>
          </cell>
          <cell r="AH10">
            <v>12.530000000000001</v>
          </cell>
          <cell r="AI10">
            <v>14.590879915626664</v>
          </cell>
          <cell r="AJ10">
            <v>52.390879915626677</v>
          </cell>
          <cell r="AK10">
            <v>57.748957846978527</v>
          </cell>
          <cell r="AL10">
            <v>62.262494815545011</v>
          </cell>
          <cell r="AM10">
            <v>66.406438453890829</v>
          </cell>
          <cell r="AN10">
            <v>70.153658909503235</v>
          </cell>
          <cell r="AO10">
            <v>73.612960021247702</v>
          </cell>
          <cell r="AP10">
            <v>76.90292471493477</v>
          </cell>
          <cell r="AQ10">
            <v>80.009802873418124</v>
          </cell>
          <cell r="AR10">
            <v>82.919250250633311</v>
          </cell>
          <cell r="AS10">
            <v>85.616307969311805</v>
          </cell>
          <cell r="AT10">
            <v>88.085381391511717</v>
          </cell>
        </row>
        <row r="11">
          <cell r="A11" t="str">
            <v>Other</v>
          </cell>
          <cell r="B11">
            <v>0.33000000000000007</v>
          </cell>
          <cell r="C11">
            <v>0.48299999999999876</v>
          </cell>
          <cell r="D11">
            <v>0.74399999999999977</v>
          </cell>
          <cell r="E11">
            <v>1.0349999999999966</v>
          </cell>
          <cell r="F11">
            <v>2.5919999999999952</v>
          </cell>
          <cell r="G11">
            <v>1.2000000000000028</v>
          </cell>
          <cell r="H11">
            <v>1.6799999999999997</v>
          </cell>
          <cell r="I11">
            <v>1.9200000000000017</v>
          </cell>
          <cell r="J11">
            <v>2.5499999999999972</v>
          </cell>
          <cell r="K11">
            <v>7.3500000000000014</v>
          </cell>
          <cell r="L11">
            <v>2.5200000000000102</v>
          </cell>
          <cell r="M11">
            <v>2.9399999999999977</v>
          </cell>
          <cell r="N11">
            <v>3.0900000000000034</v>
          </cell>
          <cell r="O11">
            <v>3.9299999999999926</v>
          </cell>
          <cell r="P11">
            <v>12.480000000000004</v>
          </cell>
          <cell r="Q11">
            <v>3.4500000000000028</v>
          </cell>
          <cell r="R11">
            <v>3.9299999999999926</v>
          </cell>
          <cell r="S11">
            <v>3.8700000000000045</v>
          </cell>
          <cell r="T11">
            <v>4.5300000000000011</v>
          </cell>
          <cell r="U11">
            <v>15.780000000000001</v>
          </cell>
          <cell r="V11">
            <v>4.1399999999999864</v>
          </cell>
          <cell r="W11">
            <v>4.8900000000000148</v>
          </cell>
          <cell r="X11">
            <v>4.6800000000000068</v>
          </cell>
          <cell r="Y11">
            <v>5.2199999999999989</v>
          </cell>
          <cell r="Z11">
            <v>18.930000000000064</v>
          </cell>
          <cell r="AA11">
            <v>4.2900000000000205</v>
          </cell>
          <cell r="AB11">
            <v>4.5300000000000011</v>
          </cell>
          <cell r="AC11">
            <v>4.4699999999999989</v>
          </cell>
          <cell r="AD11">
            <v>5.0699999999999932</v>
          </cell>
          <cell r="AE11">
            <v>18.360000000000014</v>
          </cell>
          <cell r="AF11">
            <v>5.0400000000000205</v>
          </cell>
          <cell r="AG11">
            <v>5.7900000000000205</v>
          </cell>
          <cell r="AH11">
            <v>5.3700000000000045</v>
          </cell>
          <cell r="AI11">
            <v>6.2532342495542821</v>
          </cell>
          <cell r="AJ11">
            <v>22.453234249554271</v>
          </cell>
          <cell r="AK11">
            <v>24.749553362990696</v>
          </cell>
          <cell r="AL11">
            <v>26.683926349519197</v>
          </cell>
          <cell r="AM11">
            <v>28.459902194524489</v>
          </cell>
          <cell r="AN11">
            <v>30.065853818358505</v>
          </cell>
          <cell r="AO11">
            <v>31.548411437677601</v>
          </cell>
          <cell r="AP11">
            <v>32.958396306400573</v>
          </cell>
          <cell r="AQ11">
            <v>34.289915517179224</v>
          </cell>
          <cell r="AR11">
            <v>35.536821535985609</v>
          </cell>
          <cell r="AS11">
            <v>36.692703415419373</v>
          </cell>
          <cell r="AT11">
            <v>37.75087773921905</v>
          </cell>
        </row>
        <row r="12">
          <cell r="A12" t="str">
            <v>Total Revenues</v>
          </cell>
          <cell r="B12">
            <v>11</v>
          </cell>
          <cell r="C12">
            <v>16.100000000000001</v>
          </cell>
          <cell r="D12">
            <v>24.799999999999997</v>
          </cell>
          <cell r="E12">
            <v>34.5</v>
          </cell>
          <cell r="F12">
            <v>86.399999999999991</v>
          </cell>
          <cell r="G12">
            <v>40</v>
          </cell>
          <cell r="H12">
            <v>56</v>
          </cell>
          <cell r="I12">
            <v>64</v>
          </cell>
          <cell r="J12">
            <v>85</v>
          </cell>
          <cell r="K12">
            <v>245</v>
          </cell>
          <cell r="L12">
            <v>84</v>
          </cell>
          <cell r="M12">
            <v>98</v>
          </cell>
          <cell r="N12">
            <v>103</v>
          </cell>
          <cell r="O12">
            <v>131</v>
          </cell>
          <cell r="P12">
            <v>416</v>
          </cell>
          <cell r="Q12">
            <v>115</v>
          </cell>
          <cell r="R12">
            <v>131</v>
          </cell>
          <cell r="S12">
            <v>129</v>
          </cell>
          <cell r="T12">
            <v>151</v>
          </cell>
          <cell r="U12">
            <v>526</v>
          </cell>
          <cell r="V12">
            <v>138</v>
          </cell>
          <cell r="W12">
            <v>163</v>
          </cell>
          <cell r="X12">
            <v>156</v>
          </cell>
          <cell r="Y12">
            <v>174</v>
          </cell>
          <cell r="Z12">
            <v>631</v>
          </cell>
          <cell r="AA12">
            <v>143</v>
          </cell>
          <cell r="AB12">
            <v>151</v>
          </cell>
          <cell r="AC12">
            <v>149</v>
          </cell>
          <cell r="AD12">
            <v>169</v>
          </cell>
          <cell r="AE12">
            <v>612</v>
          </cell>
          <cell r="AF12">
            <v>168</v>
          </cell>
          <cell r="AG12">
            <v>193</v>
          </cell>
          <cell r="AH12">
            <v>179</v>
          </cell>
          <cell r="AI12">
            <v>208.44114165180946</v>
          </cell>
          <cell r="AJ12">
            <v>748.4411416518094</v>
          </cell>
          <cell r="AK12">
            <v>824.98511209969297</v>
          </cell>
          <cell r="AL12">
            <v>889.46421165064271</v>
          </cell>
          <cell r="AM12">
            <v>948.66340648415451</v>
          </cell>
          <cell r="AN12">
            <v>1002.1951272786174</v>
          </cell>
          <cell r="AO12">
            <v>1051.6137145892526</v>
          </cell>
          <cell r="AP12">
            <v>1098.6132102133536</v>
          </cell>
          <cell r="AQ12">
            <v>1142.9971839059729</v>
          </cell>
          <cell r="AR12">
            <v>1184.5607178661899</v>
          </cell>
          <cell r="AS12">
            <v>1223.0901138473112</v>
          </cell>
          <cell r="AT12">
            <v>1258.3625913073099</v>
          </cell>
        </row>
        <row r="13">
          <cell r="A13" t="str">
            <v>% Change</v>
          </cell>
          <cell r="G13">
            <v>2.6363636363636362</v>
          </cell>
          <cell r="H13">
            <v>2.4782608695652173</v>
          </cell>
          <cell r="I13">
            <v>1.580645161290323</v>
          </cell>
          <cell r="J13">
            <v>1.4637681159420288</v>
          </cell>
          <cell r="K13">
            <v>1.8356481481481484</v>
          </cell>
          <cell r="L13">
            <v>1.1000000000000001</v>
          </cell>
          <cell r="M13">
            <v>0.75</v>
          </cell>
          <cell r="N13">
            <v>0.609375</v>
          </cell>
          <cell r="O13">
            <v>0.54117647058823537</v>
          </cell>
          <cell r="P13">
            <v>0.69795918367346932</v>
          </cell>
          <cell r="Q13">
            <v>0.36904761904761907</v>
          </cell>
          <cell r="R13">
            <v>0.33673469387755106</v>
          </cell>
          <cell r="S13">
            <v>0.25242718446601953</v>
          </cell>
          <cell r="T13">
            <v>0.15267175572519087</v>
          </cell>
          <cell r="U13">
            <v>0.26442307692307687</v>
          </cell>
          <cell r="V13">
            <v>0.19999999999999996</v>
          </cell>
          <cell r="W13">
            <v>0.24427480916030531</v>
          </cell>
          <cell r="X13">
            <v>0.20930232558139528</v>
          </cell>
          <cell r="Y13">
            <v>0.15231788079470188</v>
          </cell>
          <cell r="Z13">
            <v>0.19961977186311786</v>
          </cell>
          <cell r="AA13">
            <v>3.6231884057970953E-2</v>
          </cell>
          <cell r="AB13">
            <v>-7.361963190184051E-2</v>
          </cell>
          <cell r="AC13">
            <v>-4.4871794871794823E-2</v>
          </cell>
          <cell r="AD13">
            <v>-2.8735632183908066E-2</v>
          </cell>
          <cell r="AE13">
            <v>-3.0110935023771823E-2</v>
          </cell>
          <cell r="AF13">
            <v>0.17482517482517479</v>
          </cell>
          <cell r="AG13">
            <v>0.2781456953642385</v>
          </cell>
          <cell r="AH13">
            <v>0.20134228187919456</v>
          </cell>
          <cell r="AI13">
            <v>0.23337953640123943</v>
          </cell>
          <cell r="AJ13">
            <v>0.22294304191472114</v>
          </cell>
          <cell r="AK13">
            <v>0.10227119567338461</v>
          </cell>
          <cell r="AL13">
            <v>7.8157894736842204E-2</v>
          </cell>
          <cell r="AM13">
            <v>6.6556016597510537E-2</v>
          </cell>
          <cell r="AN13">
            <v>5.6428571428571273E-2</v>
          </cell>
          <cell r="AO13">
            <v>4.9310344827586228E-2</v>
          </cell>
          <cell r="AP13">
            <v>4.4692737430167773E-2</v>
          </cell>
          <cell r="AQ13">
            <v>4.0399999999999769E-2</v>
          </cell>
          <cell r="AR13">
            <v>3.6363636363636154E-2</v>
          </cell>
          <cell r="AS13">
            <v>3.2526315789473736E-2</v>
          </cell>
          <cell r="AT13">
            <v>2.8838821490468014E-2</v>
          </cell>
        </row>
        <row r="14">
          <cell r="A14" t="str">
            <v>Cost of Goods Sold</v>
          </cell>
          <cell r="B14">
            <v>6.9055</v>
          </cell>
          <cell r="C14">
            <v>9.6028000000000002</v>
          </cell>
          <cell r="D14">
            <v>13.723699999999997</v>
          </cell>
          <cell r="E14">
            <v>20.840999999999998</v>
          </cell>
          <cell r="F14">
            <v>51.072999999999993</v>
          </cell>
          <cell r="G14">
            <v>25.555000000000007</v>
          </cell>
          <cell r="H14">
            <v>34.970999999999997</v>
          </cell>
          <cell r="I14">
            <v>40.05899999999999</v>
          </cell>
          <cell r="J14">
            <v>52.05699999999996</v>
          </cell>
          <cell r="K14">
            <v>152.64199999999994</v>
          </cell>
          <cell r="L14">
            <v>51.471999999999966</v>
          </cell>
          <cell r="M14">
            <v>59.438000000000017</v>
          </cell>
          <cell r="N14">
            <v>63.065999999999995</v>
          </cell>
          <cell r="O14">
            <v>79.835999999999956</v>
          </cell>
          <cell r="P14">
            <v>253.81199999999993</v>
          </cell>
          <cell r="Q14">
            <v>66.554999999999978</v>
          </cell>
          <cell r="R14">
            <v>78.670000000000016</v>
          </cell>
          <cell r="S14">
            <v>83.33</v>
          </cell>
          <cell r="T14">
            <v>94.435999999999936</v>
          </cell>
          <cell r="U14">
            <v>322.99099999999993</v>
          </cell>
          <cell r="V14">
            <v>72.405999999999992</v>
          </cell>
          <cell r="W14">
            <v>89.779999999999987</v>
          </cell>
          <cell r="X14">
            <v>95.45</v>
          </cell>
          <cell r="Y14">
            <v>105.04199999999999</v>
          </cell>
          <cell r="Z14">
            <v>362.67799999999994</v>
          </cell>
          <cell r="AA14">
            <v>79.481999999999971</v>
          </cell>
          <cell r="AB14">
            <v>86.484000000000023</v>
          </cell>
          <cell r="AC14">
            <v>90.518999999999977</v>
          </cell>
          <cell r="AD14">
            <v>110.61399999999995</v>
          </cell>
          <cell r="AE14">
            <v>367.09899999999993</v>
          </cell>
          <cell r="AF14">
            <v>98.413999999999945</v>
          </cell>
          <cell r="AG14">
            <v>110.17999999999999</v>
          </cell>
          <cell r="AH14">
            <v>96.179999999999993</v>
          </cell>
          <cell r="AI14">
            <v>151.77509640760383</v>
          </cell>
          <cell r="AJ14">
            <v>456.54909640760371</v>
          </cell>
          <cell r="AK14">
            <v>503.24091838081267</v>
          </cell>
          <cell r="AL14">
            <v>542.57316910689201</v>
          </cell>
          <cell r="AM14">
            <v>578.68467795533422</v>
          </cell>
          <cell r="AN14">
            <v>611.33902763995661</v>
          </cell>
          <cell r="AO14">
            <v>641.48436589944413</v>
          </cell>
          <cell r="AP14">
            <v>670.15405823014567</v>
          </cell>
          <cell r="AQ14">
            <v>697.2282821826434</v>
          </cell>
          <cell r="AR14">
            <v>722.5820378983758</v>
          </cell>
          <cell r="AS14">
            <v>746.08496944685976</v>
          </cell>
          <cell r="AT14">
            <v>767.60118069745909</v>
          </cell>
        </row>
        <row r="15">
          <cell r="A15" t="str">
            <v>Gross Profit</v>
          </cell>
          <cell r="B15">
            <v>4.0945</v>
          </cell>
          <cell r="C15">
            <v>6.4972000000000012</v>
          </cell>
          <cell r="D15">
            <v>11.0763</v>
          </cell>
          <cell r="E15">
            <v>13.659000000000002</v>
          </cell>
          <cell r="F15">
            <v>35.326999999999998</v>
          </cell>
          <cell r="G15">
            <v>14.444999999999993</v>
          </cell>
          <cell r="H15">
            <v>21.029000000000003</v>
          </cell>
          <cell r="I15">
            <v>23.94100000000001</v>
          </cell>
          <cell r="J15">
            <v>32.94300000000004</v>
          </cell>
          <cell r="K15">
            <v>92.358000000000047</v>
          </cell>
          <cell r="L15">
            <v>32.528000000000034</v>
          </cell>
          <cell r="M15">
            <v>38.561999999999983</v>
          </cell>
          <cell r="N15">
            <v>39.934000000000005</v>
          </cell>
          <cell r="O15">
            <v>51.164000000000044</v>
          </cell>
          <cell r="P15">
            <v>162.18800000000007</v>
          </cell>
          <cell r="Q15">
            <v>48.445000000000022</v>
          </cell>
          <cell r="R15">
            <v>52.329999999999984</v>
          </cell>
          <cell r="S15">
            <v>45.67</v>
          </cell>
          <cell r="T15">
            <v>56.564000000000064</v>
          </cell>
          <cell r="U15">
            <v>203.00900000000007</v>
          </cell>
          <cell r="V15">
            <v>65.594000000000008</v>
          </cell>
          <cell r="W15">
            <v>73.220000000000013</v>
          </cell>
          <cell r="X15">
            <v>60.55</v>
          </cell>
          <cell r="Y15">
            <v>68.958000000000013</v>
          </cell>
          <cell r="Z15">
            <v>268.32200000000006</v>
          </cell>
          <cell r="AA15">
            <v>63.518000000000029</v>
          </cell>
          <cell r="AB15">
            <v>64.515999999999977</v>
          </cell>
          <cell r="AC15">
            <v>58.481000000000023</v>
          </cell>
          <cell r="AD15">
            <v>58.386000000000053</v>
          </cell>
          <cell r="AE15">
            <v>244.90100000000007</v>
          </cell>
          <cell r="AF15">
            <v>69.586000000000055</v>
          </cell>
          <cell r="AG15">
            <v>82.820000000000007</v>
          </cell>
          <cell r="AH15">
            <v>82.820000000000007</v>
          </cell>
          <cell r="AI15">
            <v>56.666045244205634</v>
          </cell>
          <cell r="AJ15">
            <v>291.89204524420569</v>
          </cell>
          <cell r="AK15">
            <v>321.7441937188803</v>
          </cell>
          <cell r="AL15">
            <v>346.89104254375064</v>
          </cell>
          <cell r="AM15">
            <v>369.97872852882028</v>
          </cell>
          <cell r="AN15">
            <v>390.85609963866079</v>
          </cell>
          <cell r="AO15">
            <v>410.12934868980852</v>
          </cell>
          <cell r="AP15">
            <v>428.4591519832079</v>
          </cell>
          <cell r="AQ15">
            <v>445.76890172332941</v>
          </cell>
          <cell r="AR15">
            <v>461.97867996781406</v>
          </cell>
          <cell r="AS15">
            <v>477.00514440045134</v>
          </cell>
          <cell r="AT15">
            <v>490.76141060985088</v>
          </cell>
        </row>
        <row r="16">
          <cell r="A16" t="str">
            <v>Gross Margin</v>
          </cell>
          <cell r="B16">
            <v>0.37222727272727274</v>
          </cell>
          <cell r="C16">
            <v>0.40355279503105596</v>
          </cell>
          <cell r="D16">
            <v>0.44662500000000005</v>
          </cell>
          <cell r="E16">
            <v>0.39591304347826095</v>
          </cell>
          <cell r="F16">
            <v>0.40887731481481482</v>
          </cell>
          <cell r="G16">
            <v>0.36112499999999981</v>
          </cell>
          <cell r="H16">
            <v>0.37551785714285718</v>
          </cell>
          <cell r="I16">
            <v>0.37407812500000015</v>
          </cell>
          <cell r="J16">
            <v>0.38756470588235342</v>
          </cell>
          <cell r="K16">
            <v>0.37697142857142873</v>
          </cell>
          <cell r="L16">
            <v>0.38723809523809566</v>
          </cell>
          <cell r="M16">
            <v>0.39348979591836719</v>
          </cell>
          <cell r="N16">
            <v>0.38770873786407772</v>
          </cell>
          <cell r="O16">
            <v>0.39056488549618357</v>
          </cell>
          <cell r="P16">
            <v>0.38987500000000019</v>
          </cell>
          <cell r="Q16">
            <v>0.42126086956521758</v>
          </cell>
          <cell r="R16">
            <v>0.39946564885496172</v>
          </cell>
          <cell r="S16">
            <v>0.35403100775193802</v>
          </cell>
          <cell r="T16">
            <v>0.37459602649006662</v>
          </cell>
          <cell r="U16">
            <v>0.38594866920152104</v>
          </cell>
          <cell r="V16">
            <v>0.47531884057971019</v>
          </cell>
          <cell r="W16">
            <v>0.44920245398773012</v>
          </cell>
          <cell r="X16">
            <v>0.38814102564102565</v>
          </cell>
          <cell r="Y16">
            <v>0.39631034482758626</v>
          </cell>
          <cell r="Z16">
            <v>0.42523296354992085</v>
          </cell>
          <cell r="AA16">
            <v>0.4441818181818184</v>
          </cell>
          <cell r="AB16">
            <v>0.42725827814569523</v>
          </cell>
          <cell r="AC16">
            <v>0.39248993288590617</v>
          </cell>
          <cell r="AD16">
            <v>0.34547928994082872</v>
          </cell>
          <cell r="AE16">
            <v>0.40016503267973869</v>
          </cell>
          <cell r="AF16">
            <v>0.41420238095238127</v>
          </cell>
          <cell r="AG16">
            <v>0.42911917098445601</v>
          </cell>
          <cell r="AH16">
            <v>0.46268156424581008</v>
          </cell>
          <cell r="AI16">
            <v>0.27185633697431688</v>
          </cell>
          <cell r="AJ16">
            <v>0.39</v>
          </cell>
          <cell r="AK16">
            <v>0.39</v>
          </cell>
          <cell r="AL16">
            <v>0.39</v>
          </cell>
          <cell r="AM16">
            <v>0.39</v>
          </cell>
          <cell r="AN16">
            <v>0.39</v>
          </cell>
          <cell r="AO16">
            <v>0.39</v>
          </cell>
          <cell r="AP16">
            <v>0.39</v>
          </cell>
          <cell r="AQ16">
            <v>0.39</v>
          </cell>
          <cell r="AR16">
            <v>0.39</v>
          </cell>
          <cell r="AS16">
            <v>0.39</v>
          </cell>
          <cell r="AT16">
            <v>0.39</v>
          </cell>
        </row>
        <row r="18">
          <cell r="A18" t="str">
            <v>JPY  per US$</v>
          </cell>
          <cell r="B18">
            <v>132.46</v>
          </cell>
          <cell r="C18">
            <v>126.88</v>
          </cell>
          <cell r="D18">
            <v>119.25</v>
          </cell>
          <cell r="E18">
            <v>122.44</v>
          </cell>
          <cell r="F18">
            <v>123.62740740740742</v>
          </cell>
          <cell r="G18">
            <v>118.97</v>
          </cell>
          <cell r="H18">
            <v>118.52</v>
          </cell>
          <cell r="I18">
            <v>117.41</v>
          </cell>
          <cell r="J18">
            <v>108.78</v>
          </cell>
          <cell r="K18">
            <v>114.92432653061225</v>
          </cell>
          <cell r="L18">
            <v>107.25</v>
          </cell>
          <cell r="M18">
            <v>109.65</v>
          </cell>
          <cell r="N18">
            <v>109.94</v>
          </cell>
          <cell r="O18">
            <v>105.69</v>
          </cell>
          <cell r="P18">
            <v>107.99016826923078</v>
          </cell>
          <cell r="Q18">
            <v>104.55</v>
          </cell>
          <cell r="R18">
            <v>107.55</v>
          </cell>
          <cell r="S18">
            <v>111.23</v>
          </cell>
          <cell r="T18">
            <v>117.21</v>
          </cell>
          <cell r="U18">
            <v>110.51623486692016</v>
          </cell>
          <cell r="V18">
            <v>116.92</v>
          </cell>
          <cell r="W18">
            <v>114.45699999999999</v>
          </cell>
          <cell r="X18">
            <v>116.2</v>
          </cell>
          <cell r="Y18">
            <v>117.4</v>
          </cell>
          <cell r="Z18">
            <v>116.23811568938194</v>
          </cell>
          <cell r="AA18">
            <v>119.36401404545455</v>
          </cell>
          <cell r="AB18">
            <v>120.74257451515149</v>
          </cell>
          <cell r="AC18">
            <v>117.89507606060604</v>
          </cell>
          <cell r="AD18">
            <v>113.19731377611943</v>
          </cell>
          <cell r="AE18">
            <v>117.64361947954632</v>
          </cell>
          <cell r="AF18">
            <v>105.41568133333334</v>
          </cell>
          <cell r="AG18">
            <v>104.00625028571426</v>
          </cell>
          <cell r="AH18">
            <v>107.54507423880601</v>
          </cell>
          <cell r="AI18">
            <v>100</v>
          </cell>
          <cell r="AJ18">
            <v>104.05323663954918</v>
          </cell>
          <cell r="AK18">
            <v>97.5</v>
          </cell>
          <cell r="AL18">
            <v>97.5</v>
          </cell>
          <cell r="AM18">
            <v>97.5</v>
          </cell>
          <cell r="AN18">
            <v>97.5</v>
          </cell>
          <cell r="AO18">
            <v>97.5</v>
          </cell>
          <cell r="AP18">
            <v>97.5</v>
          </cell>
          <cell r="AQ18">
            <v>97.5</v>
          </cell>
          <cell r="AR18">
            <v>97.5</v>
          </cell>
          <cell r="AS18">
            <v>97.5</v>
          </cell>
          <cell r="AT18">
            <v>97.5</v>
          </cell>
        </row>
        <row r="19">
          <cell r="A19" t="str">
            <v>Sales JPY</v>
          </cell>
          <cell r="B19">
            <v>1457.0600000000002</v>
          </cell>
          <cell r="C19">
            <v>2042.768</v>
          </cell>
          <cell r="D19">
            <v>2957.3999999999996</v>
          </cell>
          <cell r="E19">
            <v>4224.18</v>
          </cell>
          <cell r="F19">
            <v>10681.407999999999</v>
          </cell>
          <cell r="G19">
            <v>4758.8</v>
          </cell>
          <cell r="H19">
            <v>6637.12</v>
          </cell>
          <cell r="I19">
            <v>7514.24</v>
          </cell>
          <cell r="J19">
            <v>9246.2999999999993</v>
          </cell>
          <cell r="K19">
            <v>28156.46</v>
          </cell>
          <cell r="L19">
            <v>9009</v>
          </cell>
          <cell r="M19">
            <v>10745.7</v>
          </cell>
          <cell r="N19">
            <v>11323.82</v>
          </cell>
          <cell r="O19">
            <v>13845.39</v>
          </cell>
          <cell r="P19">
            <v>44923.91</v>
          </cell>
          <cell r="Q19">
            <v>12023.25</v>
          </cell>
          <cell r="R19">
            <v>14089.05</v>
          </cell>
          <cell r="S19">
            <v>14348.67</v>
          </cell>
          <cell r="T19">
            <v>17670.569540000004</v>
          </cell>
          <cell r="U19">
            <v>58131.539540000005</v>
          </cell>
          <cell r="V19">
            <v>16134.960000000001</v>
          </cell>
          <cell r="W19">
            <v>18656.490999999998</v>
          </cell>
          <cell r="X19">
            <v>18127.2</v>
          </cell>
          <cell r="Y19">
            <v>20427.600000000002</v>
          </cell>
          <cell r="Z19">
            <v>73346.251000000004</v>
          </cell>
          <cell r="AA19">
            <v>17069.054008499999</v>
          </cell>
          <cell r="AB19">
            <v>18232.128751787874</v>
          </cell>
          <cell r="AC19">
            <v>17566.366333030299</v>
          </cell>
          <cell r="AD19">
            <v>19130.346028164182</v>
          </cell>
          <cell r="AE19">
            <v>71997.895121482346</v>
          </cell>
          <cell r="AF19">
            <v>17709.834464</v>
          </cell>
          <cell r="AG19">
            <v>20073.206305142852</v>
          </cell>
          <cell r="AH19">
            <v>19250.568288746275</v>
          </cell>
          <cell r="AI19">
            <v>20844.114165180945</v>
          </cell>
          <cell r="AJ19">
            <v>77877.723223070076</v>
          </cell>
          <cell r="AK19">
            <v>80436.04842972006</v>
          </cell>
          <cell r="AL19">
            <v>86722.760635937666</v>
          </cell>
          <cell r="AM19">
            <v>92494.682132205067</v>
          </cell>
          <cell r="AN19">
            <v>97714.024909665197</v>
          </cell>
          <cell r="AO19">
            <v>102532.33717245213</v>
          </cell>
          <cell r="AP19">
            <v>107114.78799580196</v>
          </cell>
          <cell r="AQ19">
            <v>111442.22543083235</v>
          </cell>
          <cell r="AR19">
            <v>115494.66999195352</v>
          </cell>
          <cell r="AS19">
            <v>119251.28610011285</v>
          </cell>
          <cell r="AT19">
            <v>122690.35265246272</v>
          </cell>
        </row>
        <row r="20">
          <cell r="A20" t="str">
            <v>% Change JPY</v>
          </cell>
          <cell r="G20">
            <v>2.266028852621031</v>
          </cell>
          <cell r="H20">
            <v>2.249081638247711</v>
          </cell>
          <cell r="I20">
            <v>1.5408264015689461</v>
          </cell>
          <cell r="J20">
            <v>1.18889820036078</v>
          </cell>
          <cell r="K20">
            <v>1.6360251382589261</v>
          </cell>
          <cell r="L20">
            <v>0.89312431705471962</v>
          </cell>
          <cell r="M20">
            <v>0.61903054336820795</v>
          </cell>
          <cell r="N20">
            <v>0.50698141129375696</v>
          </cell>
          <cell r="O20">
            <v>0.49739787807014713</v>
          </cell>
          <cell r="P20">
            <v>0.59550987588638638</v>
          </cell>
          <cell r="Q20">
            <v>0.3345820845820846</v>
          </cell>
          <cell r="R20">
            <v>0.31113375582791236</v>
          </cell>
          <cell r="S20">
            <v>0.2671227553952642</v>
          </cell>
          <cell r="T20">
            <v>0.27627820812559301</v>
          </cell>
          <cell r="U20">
            <v>0.29400000000000004</v>
          </cell>
          <cell r="V20">
            <v>0.34197991391678628</v>
          </cell>
          <cell r="W20">
            <v>0.32418374553287821</v>
          </cell>
          <cell r="X20">
            <v>0.26333660192895936</v>
          </cell>
          <cell r="Y20">
            <v>0.15602385954561582</v>
          </cell>
          <cell r="Z20">
            <v>0.26172903006518244</v>
          </cell>
          <cell r="AA20">
            <v>5.7892551856341568E-2</v>
          </cell>
          <cell r="AB20">
            <v>-2.2746091331543816E-2</v>
          </cell>
          <cell r="AC20">
            <v>-3.0938791813942657E-2</v>
          </cell>
          <cell r="AD20">
            <v>-6.3504962493676209E-2</v>
          </cell>
          <cell r="AE20">
            <v>-1.8383432829002455E-2</v>
          </cell>
          <cell r="AF20">
            <v>3.7540478528037102E-2</v>
          </cell>
          <cell r="AG20">
            <v>0.10097984598613796</v>
          </cell>
          <cell r="AH20">
            <v>9.5876513320181989E-2</v>
          </cell>
          <cell r="AI20">
            <v>8.9583750053120248E-2</v>
          </cell>
          <cell r="AJ20">
            <v>8.1666666666666776E-2</v>
          </cell>
          <cell r="AK20">
            <v>3.2850539291217062E-2</v>
          </cell>
          <cell r="AL20">
            <v>7.8157894736842204E-2</v>
          </cell>
          <cell r="AM20">
            <v>6.6556016597510537E-2</v>
          </cell>
          <cell r="AN20">
            <v>5.6428571428571273E-2</v>
          </cell>
          <cell r="AO20">
            <v>4.9310344827586228E-2</v>
          </cell>
          <cell r="AP20">
            <v>4.4692737430167773E-2</v>
          </cell>
          <cell r="AQ20">
            <v>4.0399999999999769E-2</v>
          </cell>
          <cell r="AR20">
            <v>3.6363636363636376E-2</v>
          </cell>
          <cell r="AS20">
            <v>3.2526315789473736E-2</v>
          </cell>
          <cell r="AT20">
            <v>2.8838821490468014E-2</v>
          </cell>
        </row>
        <row r="21">
          <cell r="A21" t="str">
            <v>Sales JPY per FTE</v>
          </cell>
          <cell r="B21">
            <v>123.47966101694917</v>
          </cell>
          <cell r="C21">
            <v>173.11593220338983</v>
          </cell>
          <cell r="D21">
            <v>250.62711864406776</v>
          </cell>
          <cell r="E21">
            <v>357.98135593220343</v>
          </cell>
          <cell r="F21">
            <v>905.20406779661016</v>
          </cell>
          <cell r="G21">
            <v>403.28813559322032</v>
          </cell>
          <cell r="H21">
            <v>562.46779661016944</v>
          </cell>
          <cell r="I21">
            <v>636.79999999999995</v>
          </cell>
          <cell r="J21">
            <v>783.58474576271192</v>
          </cell>
          <cell r="K21">
            <v>2386.1406779661015</v>
          </cell>
          <cell r="L21">
            <v>744.5454545454545</v>
          </cell>
          <cell r="M21">
            <v>823.42528735632186</v>
          </cell>
          <cell r="N21">
            <v>808.84428571428566</v>
          </cell>
          <cell r="O21">
            <v>954.85448275862063</v>
          </cell>
          <cell r="P21">
            <v>3349.4061509785647</v>
          </cell>
          <cell r="Q21">
            <v>804.23076923076928</v>
          </cell>
          <cell r="R21">
            <v>914.87337662337666</v>
          </cell>
          <cell r="S21">
            <v>905.27886435331231</v>
          </cell>
          <cell r="T21">
            <v>1077.4737524390246</v>
          </cell>
          <cell r="U21">
            <v>3714.4753699680514</v>
          </cell>
          <cell r="V21">
            <v>951.91504424778759</v>
          </cell>
          <cell r="W21">
            <v>1066.0852</v>
          </cell>
          <cell r="X21">
            <v>1007.0666666666667</v>
          </cell>
          <cell r="Y21">
            <v>1107.186991869919</v>
          </cell>
          <cell r="Z21">
            <v>4080.4590264255912</v>
          </cell>
          <cell r="AA21">
            <v>891.33441297650131</v>
          </cell>
          <cell r="AB21">
            <v>923.14575958419607</v>
          </cell>
          <cell r="AC21">
            <v>876.12799665986529</v>
          </cell>
          <cell r="AD21">
            <v>926.40900862780541</v>
          </cell>
          <cell r="AE21">
            <v>3599.8947560741171</v>
          </cell>
          <cell r="AF21">
            <v>843.32545066666671</v>
          </cell>
          <cell r="AG21">
            <v>951.33679171293136</v>
          </cell>
          <cell r="AH21">
            <v>895.37526924401288</v>
          </cell>
          <cell r="AI21">
            <v>926.40507400804211</v>
          </cell>
          <cell r="AJ21">
            <v>3599.8947560741171</v>
          </cell>
          <cell r="AK21">
            <v>3527.8968609526346</v>
          </cell>
          <cell r="AL21">
            <v>3598.4547981716873</v>
          </cell>
          <cell r="AM21">
            <v>3670.4238941351214</v>
          </cell>
          <cell r="AN21">
            <v>3743.8323720178237</v>
          </cell>
          <cell r="AO21">
            <v>3818.7090194581801</v>
          </cell>
          <cell r="AP21">
            <v>3895.0831998473436</v>
          </cell>
          <cell r="AQ21">
            <v>3972.9848638442904</v>
          </cell>
          <cell r="AR21">
            <v>4052.4445611211763</v>
          </cell>
          <cell r="AS21">
            <v>4133.4934523435995</v>
          </cell>
          <cell r="AT21">
            <v>4216.1633213904715</v>
          </cell>
        </row>
        <row r="22">
          <cell r="A22" t="str">
            <v>% Change JPY</v>
          </cell>
          <cell r="G22">
            <v>2.266028852621031</v>
          </cell>
          <cell r="H22">
            <v>2.2490816382477106</v>
          </cell>
          <cell r="I22">
            <v>1.5408264015689457</v>
          </cell>
          <cell r="J22">
            <v>1.18889820036078</v>
          </cell>
          <cell r="K22">
            <v>1.6360251382589261</v>
          </cell>
          <cell r="L22">
            <v>0.846187350516173</v>
          </cell>
          <cell r="M22">
            <v>0.46395098940573609</v>
          </cell>
          <cell r="N22">
            <v>0.27017004666188082</v>
          </cell>
          <cell r="O22">
            <v>0.21857206629156778</v>
          </cell>
          <cell r="P22">
            <v>0.40369181997833059</v>
          </cell>
          <cell r="Q22">
            <v>8.0163426317272579E-2</v>
          </cell>
          <cell r="R22">
            <v>0.11105815023079613</v>
          </cell>
          <cell r="S22">
            <v>0.11922514672136897</v>
          </cell>
          <cell r="T22">
            <v>0.12841670840372554</v>
          </cell>
          <cell r="U22">
            <v>0.10899520766773163</v>
          </cell>
          <cell r="V22">
            <v>0.18363420136023323</v>
          </cell>
          <cell r="W22">
            <v>0.16528169606893295</v>
          </cell>
          <cell r="X22">
            <v>0.11243806336522244</v>
          </cell>
          <cell r="Y22">
            <v>2.7576764040547541E-2</v>
          </cell>
          <cell r="Z22">
            <v>9.8529030348823543E-2</v>
          </cell>
          <cell r="AA22">
            <v>-6.364079613759821E-2</v>
          </cell>
          <cell r="AB22">
            <v>-0.13407881510389974</v>
          </cell>
          <cell r="AC22">
            <v>-0.13001986297511059</v>
          </cell>
          <cell r="AD22">
            <v>-0.16327683089628708</v>
          </cell>
          <cell r="AE22">
            <v>-0.11777211025506606</v>
          </cell>
          <cell r="AF22">
            <v>-5.3861896961337585E-2</v>
          </cell>
          <cell r="AG22">
            <v>3.0538007498873254E-2</v>
          </cell>
          <cell r="AH22">
            <v>2.1968562421844195E-2</v>
          </cell>
          <cell r="AI22">
            <v>-4.2471734694737862E-6</v>
          </cell>
          <cell r="AJ22">
            <v>0</v>
          </cell>
          <cell r="AK22">
            <v>-0.02</v>
          </cell>
          <cell r="AL22">
            <v>0.02</v>
          </cell>
          <cell r="AM22">
            <v>0.02</v>
          </cell>
          <cell r="AN22">
            <v>0.02</v>
          </cell>
          <cell r="AO22">
            <v>0.02</v>
          </cell>
          <cell r="AP22">
            <v>0.02</v>
          </cell>
          <cell r="AQ22">
            <v>0.02</v>
          </cell>
          <cell r="AR22">
            <v>0.02</v>
          </cell>
          <cell r="AS22">
            <v>0.02</v>
          </cell>
          <cell r="AT22">
            <v>0.02</v>
          </cell>
        </row>
        <row r="24">
          <cell r="A24" t="str">
            <v>Total Variable Costs</v>
          </cell>
          <cell r="B24">
            <v>1.98</v>
          </cell>
          <cell r="C24">
            <v>2.8980000000000001</v>
          </cell>
          <cell r="D24">
            <v>4.4639999999999995</v>
          </cell>
          <cell r="E24">
            <v>6.21</v>
          </cell>
          <cell r="F24">
            <v>15.552</v>
          </cell>
          <cell r="G24">
            <v>7.3000000000000114</v>
          </cell>
          <cell r="H24">
            <v>6.5249999999999915</v>
          </cell>
          <cell r="I24">
            <v>8.7349999999999994</v>
          </cell>
          <cell r="J24">
            <v>4.789999999999992</v>
          </cell>
          <cell r="K24">
            <v>27.349999999999994</v>
          </cell>
          <cell r="L24">
            <v>7.6500000000000057</v>
          </cell>
          <cell r="M24">
            <v>8.4199999999999875</v>
          </cell>
          <cell r="N24">
            <v>8.0900000000000034</v>
          </cell>
          <cell r="O24">
            <v>11.920999999999992</v>
          </cell>
          <cell r="P24">
            <v>36.080999999999989</v>
          </cell>
          <cell r="Q24">
            <v>10.129000000000019</v>
          </cell>
          <cell r="R24">
            <v>11.100000000000009</v>
          </cell>
          <cell r="S24">
            <v>10.198000000000008</v>
          </cell>
          <cell r="T24">
            <v>10.867999999999995</v>
          </cell>
          <cell r="U24">
            <v>42.29500000000003</v>
          </cell>
          <cell r="V24">
            <v>10.353000000000009</v>
          </cell>
          <cell r="W24">
            <v>12.987000000000009</v>
          </cell>
          <cell r="X24">
            <v>11.644099999999995</v>
          </cell>
          <cell r="Y24">
            <v>17.591999999999985</v>
          </cell>
          <cell r="Z24">
            <v>52.576099999999997</v>
          </cell>
          <cell r="AA24">
            <v>9.1870000000000118</v>
          </cell>
          <cell r="AB24">
            <v>12.152000000000015</v>
          </cell>
          <cell r="AC24">
            <v>12.784400000000005</v>
          </cell>
          <cell r="AD24">
            <v>5.2856000000000449</v>
          </cell>
          <cell r="AE24">
            <v>39.409000000000077</v>
          </cell>
          <cell r="AF24">
            <v>16.064999999999998</v>
          </cell>
          <cell r="AG24">
            <v>21.95750000000001</v>
          </cell>
          <cell r="AH24">
            <v>19.833440268456386</v>
          </cell>
          <cell r="AI24">
            <v>9.0500506116561894</v>
          </cell>
          <cell r="AJ24">
            <v>66.905990880112583</v>
          </cell>
          <cell r="AK24">
            <v>76.635994457483193</v>
          </cell>
          <cell r="AL24">
            <v>85.73882718612164</v>
          </cell>
          <cell r="AM24">
            <v>94.765583914066781</v>
          </cell>
          <cell r="AN24">
            <v>100.11307043493196</v>
          </cell>
          <cell r="AO24">
            <v>105.04968045982687</v>
          </cell>
          <cell r="AP24">
            <v>109.74463824574096</v>
          </cell>
          <cell r="AQ24">
            <v>114.17832163086887</v>
          </cell>
          <cell r="AR24">
            <v>118.33026059926408</v>
          </cell>
          <cell r="AS24">
            <v>122.17910802296646</v>
          </cell>
          <cell r="AT24">
            <v>125.70260950910539</v>
          </cell>
        </row>
        <row r="25">
          <cell r="A25" t="str">
            <v>As % of Revenues</v>
          </cell>
          <cell r="B25">
            <v>0.18</v>
          </cell>
          <cell r="C25">
            <v>0.18</v>
          </cell>
          <cell r="D25">
            <v>0.18</v>
          </cell>
          <cell r="E25">
            <v>0.18</v>
          </cell>
          <cell r="F25">
            <v>0.18000000000000002</v>
          </cell>
          <cell r="G25">
            <v>0.18250000000000027</v>
          </cell>
          <cell r="H25">
            <v>0.11651785714285699</v>
          </cell>
          <cell r="I25">
            <v>0.13648437499999999</v>
          </cell>
          <cell r="J25">
            <v>5.6352941176470495E-2</v>
          </cell>
          <cell r="K25">
            <v>0.11163265306122447</v>
          </cell>
          <cell r="L25">
            <v>9.1071428571428636E-2</v>
          </cell>
          <cell r="M25">
            <v>8.5918367346938654E-2</v>
          </cell>
          <cell r="N25">
            <v>7.8543689320388382E-2</v>
          </cell>
          <cell r="O25">
            <v>9.0999999999999942E-2</v>
          </cell>
          <cell r="P25">
            <v>8.6733173076923048E-2</v>
          </cell>
          <cell r="Q25">
            <v>8.8078260869565383E-2</v>
          </cell>
          <cell r="R25">
            <v>8.4732824427480979E-2</v>
          </cell>
          <cell r="S25">
            <v>7.9054263565891528E-2</v>
          </cell>
          <cell r="T25">
            <v>7.1973509933774799E-2</v>
          </cell>
          <cell r="U25">
            <v>8.0408745247148347E-2</v>
          </cell>
          <cell r="V25">
            <v>7.5021739130434847E-2</v>
          </cell>
          <cell r="W25">
            <v>7.9674846625766932E-2</v>
          </cell>
          <cell r="X25">
            <v>7.4641666666666634E-2</v>
          </cell>
          <cell r="Y25">
            <v>0.10110344827586198</v>
          </cell>
          <cell r="Z25">
            <v>8.3321870047543573E-2</v>
          </cell>
          <cell r="AA25">
            <v>6.4244755244755328E-2</v>
          </cell>
          <cell r="AB25">
            <v>8.0476821192053086E-2</v>
          </cell>
          <cell r="AC25">
            <v>8.5801342281879231E-2</v>
          </cell>
          <cell r="AD25">
            <v>3.1275739644970678E-2</v>
          </cell>
          <cell r="AE25">
            <v>6.4393790849673324E-2</v>
          </cell>
          <cell r="AF25">
            <v>9.5624999999999988E-2</v>
          </cell>
          <cell r="AG25">
            <v>0.11376943005181353</v>
          </cell>
          <cell r="AH25">
            <v>0.11080134228187924</v>
          </cell>
          <cell r="AI25">
            <v>4.3417775108782738E-2</v>
          </cell>
          <cell r="AJ25">
            <v>8.9393790849673332E-2</v>
          </cell>
          <cell r="AK25">
            <v>9.2893790849673336E-2</v>
          </cell>
          <cell r="AL25">
            <v>9.6393790849673339E-2</v>
          </cell>
          <cell r="AM25">
            <v>9.9893790849673342E-2</v>
          </cell>
          <cell r="AN25">
            <v>9.9893790849673342E-2</v>
          </cell>
          <cell r="AO25">
            <v>9.9893790849673342E-2</v>
          </cell>
          <cell r="AP25">
            <v>9.9893790849673342E-2</v>
          </cell>
          <cell r="AQ25">
            <v>9.9893790849673342E-2</v>
          </cell>
          <cell r="AR25">
            <v>9.9893790849673342E-2</v>
          </cell>
          <cell r="AS25">
            <v>9.9893790849673342E-2</v>
          </cell>
          <cell r="AT25">
            <v>9.9893790849673342E-2</v>
          </cell>
        </row>
        <row r="27">
          <cell r="A27" t="str">
            <v>Total General and Admin. Expenses</v>
          </cell>
          <cell r="B27">
            <v>8</v>
          </cell>
          <cell r="C27">
            <v>8</v>
          </cell>
          <cell r="D27">
            <v>8.1123000000000012</v>
          </cell>
          <cell r="E27">
            <v>8</v>
          </cell>
          <cell r="F27">
            <v>32.112300000000005</v>
          </cell>
          <cell r="G27">
            <v>2.144999999999996</v>
          </cell>
          <cell r="H27">
            <v>6.5040000000000191</v>
          </cell>
          <cell r="I27">
            <v>11.087000000000018</v>
          </cell>
          <cell r="J27">
            <v>15.001000000000033</v>
          </cell>
          <cell r="K27">
            <v>34.737000000000066</v>
          </cell>
          <cell r="L27">
            <v>8.1080000000000325</v>
          </cell>
          <cell r="M27">
            <v>12.301999999999992</v>
          </cell>
          <cell r="N27">
            <v>10.903999999999996</v>
          </cell>
          <cell r="O27">
            <v>12.41100000000003</v>
          </cell>
          <cell r="P27">
            <v>43.725000000000051</v>
          </cell>
          <cell r="Q27">
            <v>15.950000000000003</v>
          </cell>
          <cell r="R27">
            <v>16.173999999999978</v>
          </cell>
          <cell r="S27">
            <v>9.3139999999999787</v>
          </cell>
          <cell r="T27">
            <v>5.2860000000000582</v>
          </cell>
          <cell r="U27">
            <v>46.724000000000018</v>
          </cell>
          <cell r="V27">
            <v>13.310000000000002</v>
          </cell>
          <cell r="W27">
            <v>18.019999999999982</v>
          </cell>
          <cell r="X27">
            <v>15.001899999999992</v>
          </cell>
          <cell r="Y27">
            <v>22.06400000000005</v>
          </cell>
          <cell r="Z27">
            <v>68.395900000000026</v>
          </cell>
          <cell r="AA27">
            <v>14.756000000000014</v>
          </cell>
          <cell r="AB27">
            <v>19.403999999999968</v>
          </cell>
          <cell r="AC27">
            <v>20.866600000000034</v>
          </cell>
          <cell r="AD27">
            <v>26.941400000000002</v>
          </cell>
          <cell r="AE27">
            <v>81.968000000000018</v>
          </cell>
          <cell r="AF27">
            <v>15.63250000000005</v>
          </cell>
          <cell r="AG27">
            <v>19.671500000000037</v>
          </cell>
          <cell r="AH27">
            <v>33.00305973154363</v>
          </cell>
          <cell r="AI27">
            <v>17.759340268456299</v>
          </cell>
          <cell r="AJ27">
            <v>86.066400000000016</v>
          </cell>
          <cell r="AK27">
            <v>92.521380000000008</v>
          </cell>
          <cell r="AL27">
            <v>94.371807600000011</v>
          </cell>
          <cell r="AM27">
            <v>96.259243752000017</v>
          </cell>
          <cell r="AN27">
            <v>98.18442862704002</v>
          </cell>
          <cell r="AO27">
            <v>100.14811719958082</v>
          </cell>
          <cell r="AP27">
            <v>102.15107954357244</v>
          </cell>
          <cell r="AQ27">
            <v>104.19410113444388</v>
          </cell>
          <cell r="AR27">
            <v>106.27798315713277</v>
          </cell>
          <cell r="AS27">
            <v>108.40354282027542</v>
          </cell>
          <cell r="AT27">
            <v>110.57161367668093</v>
          </cell>
        </row>
        <row r="28">
          <cell r="A28" t="str">
            <v>As % of Revenues</v>
          </cell>
          <cell r="B28">
            <v>0.72727272727272729</v>
          </cell>
          <cell r="C28">
            <v>0.49689440993788814</v>
          </cell>
          <cell r="D28">
            <v>0.32710887096774199</v>
          </cell>
          <cell r="E28">
            <v>0.2318840579710145</v>
          </cell>
          <cell r="F28">
            <v>0.371670138888889</v>
          </cell>
          <cell r="G28">
            <v>5.3624999999999902E-2</v>
          </cell>
          <cell r="H28">
            <v>0.11614285714285748</v>
          </cell>
          <cell r="I28">
            <v>0.17323437500000027</v>
          </cell>
          <cell r="J28">
            <v>0.17648235294117687</v>
          </cell>
          <cell r="K28">
            <v>0.14178367346938803</v>
          </cell>
          <cell r="L28">
            <v>9.6523809523809914E-2</v>
          </cell>
          <cell r="M28">
            <v>0.12553061224489789</v>
          </cell>
          <cell r="N28">
            <v>0.10586407766990288</v>
          </cell>
          <cell r="O28">
            <v>9.4740458015267398E-2</v>
          </cell>
          <cell r="P28">
            <v>0.1051081730769232</v>
          </cell>
          <cell r="Q28">
            <v>0.13869565217391308</v>
          </cell>
          <cell r="R28">
            <v>0.12346564885496167</v>
          </cell>
          <cell r="S28">
            <v>7.2201550387596736E-2</v>
          </cell>
          <cell r="T28">
            <v>3.5006622516556674E-2</v>
          </cell>
          <cell r="U28">
            <v>8.8828897338403073E-2</v>
          </cell>
          <cell r="V28">
            <v>9.6449275362318856E-2</v>
          </cell>
          <cell r="W28">
            <v>0.1105521472392637</v>
          </cell>
          <cell r="X28">
            <v>9.6166025641025596E-2</v>
          </cell>
          <cell r="Y28">
            <v>0.12680459770114971</v>
          </cell>
          <cell r="Z28">
            <v>0.10839286846275757</v>
          </cell>
          <cell r="AA28">
            <v>0.10318881118881129</v>
          </cell>
          <cell r="AB28">
            <v>0.12850331125827794</v>
          </cell>
          <cell r="AC28">
            <v>0.14004429530201365</v>
          </cell>
          <cell r="AD28">
            <v>0.15941656804733728</v>
          </cell>
          <cell r="AE28">
            <v>0.13393464052287585</v>
          </cell>
          <cell r="AF28">
            <v>9.3050595238095529E-2</v>
          </cell>
          <cell r="AG28">
            <v>0.10192487046632144</v>
          </cell>
          <cell r="AH28">
            <v>0.18437463537175211</v>
          </cell>
          <cell r="AI28">
            <v>8.5200743613860985E-2</v>
          </cell>
          <cell r="AJ28">
            <v>0.11499421291840196</v>
          </cell>
          <cell r="AK28">
            <v>0.11214915110955302</v>
          </cell>
          <cell r="AL28">
            <v>0.10609961183808335</v>
          </cell>
          <cell r="AM28">
            <v>0.10146827957530986</v>
          </cell>
          <cell r="AN28">
            <v>9.796937338305782E-2</v>
          </cell>
          <cell r="AO28">
            <v>9.5232798707553412E-2</v>
          </cell>
          <cell r="AP28">
            <v>9.2981841647193031E-2</v>
          </cell>
          <cell r="AQ28">
            <v>9.1158668281561814E-2</v>
          </cell>
          <cell r="AR28">
            <v>8.9719320887642437E-2</v>
          </cell>
          <cell r="AS28">
            <v>8.8630871587445731E-2</v>
          </cell>
          <cell r="AT28">
            <v>8.786943798274259E-2</v>
          </cell>
        </row>
        <row r="30">
          <cell r="A30" t="str">
            <v>Total Variable and G &amp; A Costs</v>
          </cell>
          <cell r="B30">
            <v>9.98</v>
          </cell>
          <cell r="C30">
            <v>10.898</v>
          </cell>
          <cell r="D30">
            <v>12.5763</v>
          </cell>
          <cell r="E30">
            <v>14.21</v>
          </cell>
          <cell r="F30">
            <v>47.664300000000004</v>
          </cell>
          <cell r="G30">
            <v>9.4450000000000074</v>
          </cell>
          <cell r="H30">
            <v>13.029000000000011</v>
          </cell>
          <cell r="I30">
            <v>19.822000000000017</v>
          </cell>
          <cell r="J30">
            <v>19.791000000000025</v>
          </cell>
          <cell r="K30">
            <v>62.08700000000006</v>
          </cell>
          <cell r="L30">
            <v>15.758000000000038</v>
          </cell>
          <cell r="M30">
            <v>20.72199999999998</v>
          </cell>
          <cell r="N30">
            <v>18.994</v>
          </cell>
          <cell r="O30">
            <v>24.332000000000022</v>
          </cell>
          <cell r="P30">
            <v>79.80600000000004</v>
          </cell>
          <cell r="Q30">
            <v>26.079000000000022</v>
          </cell>
          <cell r="R30">
            <v>27.273999999999987</v>
          </cell>
          <cell r="S30">
            <v>19.511999999999986</v>
          </cell>
          <cell r="T30">
            <v>16.154000000000053</v>
          </cell>
          <cell r="U30">
            <v>89.019000000000048</v>
          </cell>
          <cell r="V30">
            <v>23.663000000000011</v>
          </cell>
          <cell r="W30">
            <v>31.006999999999991</v>
          </cell>
          <cell r="X30">
            <v>26.645999999999987</v>
          </cell>
          <cell r="Y30">
            <v>39.656000000000034</v>
          </cell>
          <cell r="Z30">
            <v>120.97200000000002</v>
          </cell>
          <cell r="AA30">
            <v>23.943000000000026</v>
          </cell>
          <cell r="AB30">
            <v>31.555999999999983</v>
          </cell>
          <cell r="AC30">
            <v>33.651000000000039</v>
          </cell>
          <cell r="AD30">
            <v>32.227000000000046</v>
          </cell>
          <cell r="AE30">
            <v>121.37700000000009</v>
          </cell>
          <cell r="AF30">
            <v>31.697500000000048</v>
          </cell>
          <cell r="AG30">
            <v>41.629000000000048</v>
          </cell>
          <cell r="AH30">
            <v>52.836500000000015</v>
          </cell>
          <cell r="AI30">
            <v>26.809390880112488</v>
          </cell>
          <cell r="AJ30">
            <v>152.97239088011258</v>
          </cell>
          <cell r="AK30">
            <v>169.1573744574832</v>
          </cell>
          <cell r="AL30">
            <v>180.11063478612164</v>
          </cell>
          <cell r="AM30">
            <v>191.02482766606681</v>
          </cell>
          <cell r="AN30">
            <v>198.29749906197196</v>
          </cell>
          <cell r="AO30">
            <v>205.19779765940768</v>
          </cell>
          <cell r="AP30">
            <v>211.89571778931338</v>
          </cell>
          <cell r="AQ30">
            <v>218.37242276531276</v>
          </cell>
          <cell r="AR30">
            <v>224.60824375639686</v>
          </cell>
          <cell r="AS30">
            <v>230.58265084324188</v>
          </cell>
          <cell r="AT30">
            <v>236.2742231857863</v>
          </cell>
        </row>
        <row r="31">
          <cell r="A31" t="str">
            <v>As % of Revenues</v>
          </cell>
          <cell r="B31">
            <v>0.90727272727272734</v>
          </cell>
          <cell r="C31">
            <v>0.67689440993788808</v>
          </cell>
          <cell r="D31">
            <v>0.50710887096774193</v>
          </cell>
          <cell r="E31">
            <v>0.41188405797101452</v>
          </cell>
          <cell r="F31">
            <v>0.55167013888888894</v>
          </cell>
          <cell r="G31">
            <v>0.2361250000000002</v>
          </cell>
          <cell r="H31">
            <v>0.23266071428571447</v>
          </cell>
          <cell r="I31">
            <v>0.30971875000000026</v>
          </cell>
          <cell r="J31">
            <v>0.23283529411764736</v>
          </cell>
          <cell r="K31">
            <v>0.25341632653061247</v>
          </cell>
          <cell r="L31">
            <v>0.18759523809523854</v>
          </cell>
          <cell r="M31">
            <v>0.21144897959183653</v>
          </cell>
          <cell r="N31">
            <v>0.18440776699029127</v>
          </cell>
          <cell r="O31">
            <v>0.18574045801526734</v>
          </cell>
          <cell r="P31">
            <v>0.19184134615384624</v>
          </cell>
          <cell r="Q31">
            <v>0.22677391304347846</v>
          </cell>
          <cell r="R31">
            <v>0.20819847328244265</v>
          </cell>
          <cell r="S31">
            <v>0.15125581395348828</v>
          </cell>
          <cell r="T31">
            <v>0.10698013245033147</v>
          </cell>
          <cell r="U31">
            <v>0.16923764258555143</v>
          </cell>
          <cell r="V31">
            <v>0.1714710144927537</v>
          </cell>
          <cell r="W31">
            <v>0.19022699386503061</v>
          </cell>
          <cell r="X31">
            <v>0.17080769230769222</v>
          </cell>
          <cell r="Y31">
            <v>0.2279080459770117</v>
          </cell>
          <cell r="Z31">
            <v>0.19171473851030116</v>
          </cell>
          <cell r="AA31">
            <v>0.16743356643356661</v>
          </cell>
          <cell r="AB31">
            <v>0.20898013245033101</v>
          </cell>
          <cell r="AC31">
            <v>0.22584563758389287</v>
          </cell>
          <cell r="AD31">
            <v>0.19069230769230797</v>
          </cell>
          <cell r="AE31">
            <v>0.19832843137254919</v>
          </cell>
          <cell r="AF31">
            <v>0.18867559523809552</v>
          </cell>
          <cell r="AG31">
            <v>0.21569430051813496</v>
          </cell>
          <cell r="AH31">
            <v>0.29517597765363135</v>
          </cell>
          <cell r="AI31">
            <v>0.12861851872264374</v>
          </cell>
          <cell r="AJ31">
            <v>0.20438800376807528</v>
          </cell>
          <cell r="AK31">
            <v>0.20504294195922637</v>
          </cell>
          <cell r="AL31">
            <v>0.20249340268775667</v>
          </cell>
          <cell r="AM31">
            <v>0.20136207042498322</v>
          </cell>
          <cell r="AN31">
            <v>0.19786316423273115</v>
          </cell>
          <cell r="AO31">
            <v>0.19512658955722675</v>
          </cell>
          <cell r="AP31">
            <v>0.19287563249686637</v>
          </cell>
          <cell r="AQ31">
            <v>0.19105245913123517</v>
          </cell>
          <cell r="AR31">
            <v>0.18961311173731579</v>
          </cell>
          <cell r="AS31">
            <v>0.18852466243711907</v>
          </cell>
          <cell r="AT31">
            <v>0.18776322883241592</v>
          </cell>
        </row>
        <row r="32">
          <cell r="A32" t="str">
            <v>EBITDA</v>
          </cell>
          <cell r="B32">
            <v>-5.8855000000000004</v>
          </cell>
          <cell r="C32">
            <v>-4.4007999999999985</v>
          </cell>
          <cell r="D32">
            <v>-1.5</v>
          </cell>
          <cell r="E32">
            <v>-0.55099999999999838</v>
          </cell>
          <cell r="F32">
            <v>-12.337300000000006</v>
          </cell>
          <cell r="G32">
            <v>4.9999999999999858</v>
          </cell>
          <cell r="H32">
            <v>7.9999999999999929</v>
          </cell>
          <cell r="I32">
            <v>4.1189999999999927</v>
          </cell>
          <cell r="J32">
            <v>13.152000000000015</v>
          </cell>
          <cell r="K32">
            <v>30.270999999999987</v>
          </cell>
          <cell r="L32">
            <v>16.769999999999996</v>
          </cell>
          <cell r="M32">
            <v>17.840000000000003</v>
          </cell>
          <cell r="N32">
            <v>20.940000000000005</v>
          </cell>
          <cell r="O32">
            <v>26.832000000000022</v>
          </cell>
          <cell r="P32">
            <v>82.382000000000033</v>
          </cell>
          <cell r="Q32">
            <v>22.366</v>
          </cell>
          <cell r="R32">
            <v>25.055999999999997</v>
          </cell>
          <cell r="S32">
            <v>26.158000000000015</v>
          </cell>
          <cell r="T32">
            <v>40.410000000000011</v>
          </cell>
          <cell r="U32">
            <v>113.99000000000002</v>
          </cell>
          <cell r="V32">
            <v>41.930999999999997</v>
          </cell>
          <cell r="W32">
            <v>42.213000000000022</v>
          </cell>
          <cell r="X32">
            <v>33.904000000000011</v>
          </cell>
          <cell r="Y32">
            <v>29.301999999999978</v>
          </cell>
          <cell r="Z32">
            <v>147.35000000000002</v>
          </cell>
          <cell r="AA32">
            <v>39.575000000000003</v>
          </cell>
          <cell r="AB32">
            <v>32.959999999999994</v>
          </cell>
          <cell r="AC32">
            <v>24.829999999999984</v>
          </cell>
          <cell r="AD32">
            <v>26.159000000000006</v>
          </cell>
          <cell r="AE32">
            <v>123.52399999999997</v>
          </cell>
          <cell r="AF32">
            <v>37.888500000000008</v>
          </cell>
          <cell r="AG32">
            <v>41.19099999999996</v>
          </cell>
          <cell r="AH32">
            <v>29.983499999999992</v>
          </cell>
          <cell r="AI32">
            <v>29.856654364093146</v>
          </cell>
          <cell r="AJ32">
            <v>138.91965436409311</v>
          </cell>
          <cell r="AK32">
            <v>152.5868192613971</v>
          </cell>
          <cell r="AL32">
            <v>166.78040775762901</v>
          </cell>
          <cell r="AM32">
            <v>178.95390086275347</v>
          </cell>
          <cell r="AN32">
            <v>192.55860057668883</v>
          </cell>
          <cell r="AO32">
            <v>204.93155103040084</v>
          </cell>
          <cell r="AP32">
            <v>216.56343419389452</v>
          </cell>
          <cell r="AQ32">
            <v>227.39647895801664</v>
          </cell>
          <cell r="AR32">
            <v>237.3704362114172</v>
          </cell>
          <cell r="AS32">
            <v>246.42249355720946</v>
          </cell>
          <cell r="AT32">
            <v>254.48718742406459</v>
          </cell>
        </row>
        <row r="33">
          <cell r="A33" t="str">
            <v>EBITDA Margin</v>
          </cell>
          <cell r="B33">
            <v>-0.5350454545454546</v>
          </cell>
          <cell r="C33">
            <v>-0.27334161490683218</v>
          </cell>
          <cell r="D33">
            <v>-6.0483870967741944E-2</v>
          </cell>
          <cell r="E33">
            <v>-1.5971014492753576E-2</v>
          </cell>
          <cell r="F33">
            <v>-0.14279282407407415</v>
          </cell>
          <cell r="G33">
            <v>0.12499999999999964</v>
          </cell>
          <cell r="H33">
            <v>0.14285714285714274</v>
          </cell>
          <cell r="I33">
            <v>6.4359374999999885E-2</v>
          </cell>
          <cell r="J33">
            <v>0.15472941176470606</v>
          </cell>
          <cell r="K33">
            <v>0.12355510204081627</v>
          </cell>
          <cell r="L33">
            <v>0.19964285714285709</v>
          </cell>
          <cell r="M33">
            <v>0.18204081632653066</v>
          </cell>
          <cell r="N33">
            <v>0.20330097087378646</v>
          </cell>
          <cell r="O33">
            <v>0.2048244274809162</v>
          </cell>
          <cell r="P33">
            <v>0.19803365384615393</v>
          </cell>
          <cell r="Q33">
            <v>0.19448695652173914</v>
          </cell>
          <cell r="R33">
            <v>0.19126717557251907</v>
          </cell>
          <cell r="S33">
            <v>0.20277519379844974</v>
          </cell>
          <cell r="T33">
            <v>0.26761589403973518</v>
          </cell>
          <cell r="U33">
            <v>0.21671102661596964</v>
          </cell>
          <cell r="V33">
            <v>0.30384782608695649</v>
          </cell>
          <cell r="W33">
            <v>0.25897546012269951</v>
          </cell>
          <cell r="X33">
            <v>0.21733333333333341</v>
          </cell>
          <cell r="Y33">
            <v>0.16840229885057459</v>
          </cell>
          <cell r="Z33">
            <v>0.23351822503961969</v>
          </cell>
          <cell r="AA33">
            <v>0.27674825174825179</v>
          </cell>
          <cell r="AB33">
            <v>0.21827814569536419</v>
          </cell>
          <cell r="AC33">
            <v>0.16664429530201333</v>
          </cell>
          <cell r="AD33">
            <v>0.15478698224852075</v>
          </cell>
          <cell r="AE33">
            <v>0.2018366013071895</v>
          </cell>
          <cell r="AF33">
            <v>0.22552678571428575</v>
          </cell>
          <cell r="AG33">
            <v>0.21342487046632103</v>
          </cell>
          <cell r="AH33">
            <v>0.16750558659217873</v>
          </cell>
          <cell r="AI33">
            <v>0.14323781825167317</v>
          </cell>
          <cell r="AJ33">
            <v>0.18561199623192476</v>
          </cell>
          <cell r="AK33">
            <v>0.18495705804077367</v>
          </cell>
          <cell r="AL33">
            <v>0.18750659731224331</v>
          </cell>
          <cell r="AM33">
            <v>0.18863792957501679</v>
          </cell>
          <cell r="AN33">
            <v>0.19213683576726887</v>
          </cell>
          <cell r="AO33">
            <v>0.19487341044277326</v>
          </cell>
          <cell r="AP33">
            <v>0.19712436750313364</v>
          </cell>
          <cell r="AQ33">
            <v>0.19894754086876482</v>
          </cell>
          <cell r="AR33">
            <v>0.20038688826268422</v>
          </cell>
          <cell r="AS33">
            <v>0.20147533756288091</v>
          </cell>
          <cell r="AT33">
            <v>0.2022367711675841</v>
          </cell>
        </row>
        <row r="34">
          <cell r="A34" t="str">
            <v>% Change</v>
          </cell>
          <cell r="G34">
            <v>-1.8495454931611564</v>
          </cell>
          <cell r="H34">
            <v>-2.8178512997636784</v>
          </cell>
          <cell r="I34">
            <v>-3.7459999999999951</v>
          </cell>
          <cell r="J34">
            <v>-24.869328493648009</v>
          </cell>
          <cell r="K34">
            <v>-3.4536162693620138</v>
          </cell>
          <cell r="L34">
            <v>2.3540000000000085</v>
          </cell>
          <cell r="M34">
            <v>1.2300000000000022</v>
          </cell>
          <cell r="N34">
            <v>4.0837581937363536</v>
          </cell>
          <cell r="O34">
            <v>1.040145985401459</v>
          </cell>
          <cell r="P34">
            <v>1.7214826071157234</v>
          </cell>
          <cell r="Q34">
            <v>0.33369111508646432</v>
          </cell>
          <cell r="R34">
            <v>0.40448430493273491</v>
          </cell>
          <cell r="S34">
            <v>0.24918815663801386</v>
          </cell>
          <cell r="T34">
            <v>0.50603756708407777</v>
          </cell>
          <cell r="U34">
            <v>0.38367604573814651</v>
          </cell>
          <cell r="V34">
            <v>0.87476526871143689</v>
          </cell>
          <cell r="W34">
            <v>0.68474616858237658</v>
          </cell>
          <cell r="X34">
            <v>0.29612355684685343</v>
          </cell>
          <cell r="Y34">
            <v>-0.27488245483791218</v>
          </cell>
          <cell r="Z34">
            <v>0.29265725063602055</v>
          </cell>
          <cell r="AA34">
            <v>-5.6187546206863503E-2</v>
          </cell>
          <cell r="AB34">
            <v>-0.21919787743112362</v>
          </cell>
          <cell r="AC34">
            <v>-0.26763803680981668</v>
          </cell>
          <cell r="AD34">
            <v>-0.10726230291447592</v>
          </cell>
          <cell r="AE34">
            <v>-0.16169664065151035</v>
          </cell>
          <cell r="AF34">
            <v>-4.261528742893228E-2</v>
          </cell>
          <cell r="AG34">
            <v>0.24972694174757182</v>
          </cell>
          <cell r="AH34">
            <v>0.20755134917438633</v>
          </cell>
          <cell r="AI34">
            <v>0.14135304729130094</v>
          </cell>
          <cell r="AJ34">
            <v>0.12463694799466607</v>
          </cell>
          <cell r="AK34">
            <v>9.838179456942675E-2</v>
          </cell>
          <cell r="AL34">
            <v>9.3019754687440059E-2</v>
          </cell>
          <cell r="AM34">
            <v>7.2991146075235713E-2</v>
          </cell>
          <cell r="AN34">
            <v>7.6023487883448482E-2</v>
          </cell>
          <cell r="AO34">
            <v>6.4255506721883959E-2</v>
          </cell>
          <cell r="AP34">
            <v>5.6759845445995438E-2</v>
          </cell>
          <cell r="AQ34">
            <v>5.00225017415592E-2</v>
          </cell>
          <cell r="AR34">
            <v>4.3861528987183762E-2</v>
          </cell>
          <cell r="AS34">
            <v>3.8134729371815723E-2</v>
          </cell>
          <cell r="AT34">
            <v>3.2727101127977276E-2</v>
          </cell>
        </row>
        <row r="36">
          <cell r="A36" t="str">
            <v>Capital Expenditures</v>
          </cell>
          <cell r="B36">
            <v>2.5</v>
          </cell>
          <cell r="C36">
            <v>2.5</v>
          </cell>
          <cell r="D36">
            <v>2.5</v>
          </cell>
          <cell r="E36">
            <v>2.5</v>
          </cell>
          <cell r="F36">
            <v>10</v>
          </cell>
          <cell r="G36">
            <v>2.5</v>
          </cell>
          <cell r="H36">
            <v>2.5</v>
          </cell>
          <cell r="I36">
            <v>2.5</v>
          </cell>
          <cell r="J36">
            <v>2.5</v>
          </cell>
          <cell r="K36">
            <v>10</v>
          </cell>
          <cell r="L36">
            <v>5</v>
          </cell>
          <cell r="M36">
            <v>5</v>
          </cell>
          <cell r="N36">
            <v>5</v>
          </cell>
          <cell r="O36">
            <v>5</v>
          </cell>
          <cell r="P36">
            <v>20</v>
          </cell>
          <cell r="Q36">
            <v>6.25</v>
          </cell>
          <cell r="R36">
            <v>6.25</v>
          </cell>
          <cell r="S36">
            <v>6.25</v>
          </cell>
          <cell r="T36">
            <v>6.25</v>
          </cell>
          <cell r="U36">
            <v>25</v>
          </cell>
          <cell r="V36">
            <v>12.5</v>
          </cell>
          <cell r="W36">
            <v>12.5</v>
          </cell>
          <cell r="X36">
            <v>12.5</v>
          </cell>
          <cell r="Y36">
            <v>5.6844499999999982</v>
          </cell>
          <cell r="Z36">
            <v>43.184449999999998</v>
          </cell>
          <cell r="AA36">
            <v>10</v>
          </cell>
          <cell r="AB36">
            <v>10</v>
          </cell>
          <cell r="AC36">
            <v>10</v>
          </cell>
          <cell r="AD36">
            <v>8.6971764064434183</v>
          </cell>
          <cell r="AE36">
            <v>38.697176406443418</v>
          </cell>
          <cell r="AF36">
            <v>5</v>
          </cell>
          <cell r="AG36">
            <v>5</v>
          </cell>
          <cell r="AH36">
            <v>5</v>
          </cell>
          <cell r="AI36">
            <v>5</v>
          </cell>
          <cell r="AJ36">
            <v>20</v>
          </cell>
          <cell r="AK36">
            <v>21</v>
          </cell>
          <cell r="AL36">
            <v>22.05</v>
          </cell>
          <cell r="AM36">
            <v>23.152500000000003</v>
          </cell>
          <cell r="AN36">
            <v>24.310125000000003</v>
          </cell>
          <cell r="AO36">
            <v>25.525631250000004</v>
          </cell>
          <cell r="AP36">
            <v>26.801912812500007</v>
          </cell>
          <cell r="AQ36">
            <v>28.142008453125008</v>
          </cell>
          <cell r="AR36">
            <v>29.549108875781261</v>
          </cell>
          <cell r="AS36">
            <v>31.026564319570326</v>
          </cell>
          <cell r="AT36">
            <v>32.577892535548841</v>
          </cell>
        </row>
        <row r="37">
          <cell r="A37" t="str">
            <v>Free Cash Flow</v>
          </cell>
          <cell r="B37">
            <v>-8.3855000000000004</v>
          </cell>
          <cell r="C37">
            <v>-6.9007999999999985</v>
          </cell>
          <cell r="D37">
            <v>-4</v>
          </cell>
          <cell r="E37">
            <v>-3.0509999999999984</v>
          </cell>
          <cell r="F37">
            <v>-22.337300000000006</v>
          </cell>
          <cell r="G37">
            <v>2.4999999999999858</v>
          </cell>
          <cell r="H37">
            <v>5.4999999999999929</v>
          </cell>
          <cell r="I37">
            <v>1.6189999999999927</v>
          </cell>
          <cell r="J37">
            <v>10.652000000000015</v>
          </cell>
          <cell r="K37">
            <v>20.270999999999987</v>
          </cell>
          <cell r="L37">
            <v>11.769999999999996</v>
          </cell>
          <cell r="M37">
            <v>12.840000000000003</v>
          </cell>
          <cell r="N37">
            <v>15.940000000000005</v>
          </cell>
          <cell r="O37">
            <v>21.832000000000022</v>
          </cell>
          <cell r="P37">
            <v>62.382000000000033</v>
          </cell>
          <cell r="Q37">
            <v>16.116</v>
          </cell>
          <cell r="R37">
            <v>18.805999999999997</v>
          </cell>
          <cell r="S37">
            <v>19.908000000000015</v>
          </cell>
          <cell r="T37">
            <v>34.160000000000011</v>
          </cell>
          <cell r="U37">
            <v>88.990000000000023</v>
          </cell>
          <cell r="V37">
            <v>29.430999999999997</v>
          </cell>
          <cell r="W37">
            <v>29.713000000000022</v>
          </cell>
          <cell r="X37">
            <v>21.404000000000011</v>
          </cell>
          <cell r="Y37">
            <v>23.61754999999998</v>
          </cell>
          <cell r="Z37">
            <v>104.16555000000002</v>
          </cell>
          <cell r="AA37">
            <v>29.575000000000003</v>
          </cell>
          <cell r="AB37">
            <v>22.959999999999994</v>
          </cell>
          <cell r="AC37">
            <v>14.829999999999984</v>
          </cell>
          <cell r="AD37">
            <v>17.461823593556588</v>
          </cell>
          <cell r="AE37">
            <v>84.826823593556554</v>
          </cell>
          <cell r="AF37">
            <v>32.888500000000008</v>
          </cell>
          <cell r="AG37">
            <v>36.19099999999996</v>
          </cell>
          <cell r="AH37">
            <v>24.983499999999992</v>
          </cell>
          <cell r="AI37">
            <v>24.856654364093146</v>
          </cell>
          <cell r="AJ37">
            <v>118.91965436409311</v>
          </cell>
          <cell r="AK37">
            <v>131.5868192613971</v>
          </cell>
          <cell r="AL37">
            <v>144.730407757629</v>
          </cell>
          <cell r="AM37">
            <v>155.80140086275347</v>
          </cell>
          <cell r="AN37">
            <v>168.24847557668883</v>
          </cell>
          <cell r="AO37">
            <v>179.40591978040084</v>
          </cell>
          <cell r="AP37">
            <v>189.76152138139452</v>
          </cell>
          <cell r="AQ37">
            <v>199.25447050489163</v>
          </cell>
          <cell r="AR37">
            <v>207.82132733563594</v>
          </cell>
          <cell r="AS37">
            <v>215.39592923763914</v>
          </cell>
          <cell r="AT37">
            <v>221.90929488851575</v>
          </cell>
        </row>
        <row r="40">
          <cell r="A40" t="str">
            <v>FULL TIME EQUIVALENT (FTE) ANALYSIS</v>
          </cell>
        </row>
        <row r="41">
          <cell r="A41" t="str">
            <v>Full Time Equivalent(FTE) Subscriber</v>
          </cell>
          <cell r="B41">
            <v>11800</v>
          </cell>
          <cell r="C41">
            <v>11800</v>
          </cell>
          <cell r="D41">
            <v>11800</v>
          </cell>
          <cell r="E41">
            <v>11800</v>
          </cell>
          <cell r="F41">
            <v>11800</v>
          </cell>
          <cell r="G41">
            <v>11800</v>
          </cell>
          <cell r="H41">
            <v>11800</v>
          </cell>
          <cell r="I41">
            <v>11800</v>
          </cell>
          <cell r="J41">
            <v>11800</v>
          </cell>
          <cell r="K41">
            <v>11800</v>
          </cell>
          <cell r="L41">
            <v>12400</v>
          </cell>
          <cell r="M41">
            <v>13700</v>
          </cell>
          <cell r="N41">
            <v>14300</v>
          </cell>
          <cell r="O41">
            <v>14700</v>
          </cell>
          <cell r="P41">
            <v>14700</v>
          </cell>
          <cell r="Q41">
            <v>15200</v>
          </cell>
          <cell r="R41">
            <v>15600</v>
          </cell>
          <cell r="S41">
            <v>16100.000000000002</v>
          </cell>
          <cell r="T41">
            <v>16700</v>
          </cell>
          <cell r="U41">
            <v>16700</v>
          </cell>
          <cell r="V41">
            <v>17200</v>
          </cell>
          <cell r="W41">
            <v>17800</v>
          </cell>
          <cell r="X41">
            <v>18200</v>
          </cell>
          <cell r="Y41">
            <v>18700</v>
          </cell>
          <cell r="Z41">
            <v>18700</v>
          </cell>
          <cell r="AA41">
            <v>19600.000000000004</v>
          </cell>
          <cell r="AB41">
            <v>19900</v>
          </cell>
          <cell r="AC41">
            <v>20200</v>
          </cell>
          <cell r="AD41">
            <v>21100</v>
          </cell>
          <cell r="AE41">
            <v>20500</v>
          </cell>
          <cell r="AF41">
            <v>20900</v>
          </cell>
          <cell r="AG41">
            <v>21300</v>
          </cell>
          <cell r="AH41">
            <v>21700</v>
          </cell>
          <cell r="AI41">
            <v>23300</v>
          </cell>
          <cell r="AJ41">
            <v>22100</v>
          </cell>
          <cell r="AK41">
            <v>23500</v>
          </cell>
          <cell r="AL41">
            <v>24700</v>
          </cell>
          <cell r="AM41">
            <v>25700</v>
          </cell>
          <cell r="AN41">
            <v>26500</v>
          </cell>
          <cell r="AO41">
            <v>27200</v>
          </cell>
          <cell r="AP41">
            <v>27800</v>
          </cell>
          <cell r="AQ41">
            <v>28300</v>
          </cell>
          <cell r="AR41">
            <v>28700</v>
          </cell>
          <cell r="AS41">
            <v>29000</v>
          </cell>
          <cell r="AT41">
            <v>29200</v>
          </cell>
        </row>
        <row r="42">
          <cell r="A42" t="str">
            <v xml:space="preserve">% Change   </v>
          </cell>
          <cell r="K42">
            <v>0</v>
          </cell>
          <cell r="L42">
            <v>5.0847457627118731E-2</v>
          </cell>
          <cell r="M42">
            <v>0.16101694915254239</v>
          </cell>
          <cell r="N42">
            <v>0.21186440677966112</v>
          </cell>
          <cell r="O42">
            <v>0.24576271186440679</v>
          </cell>
          <cell r="P42">
            <v>0.24576271186440679</v>
          </cell>
          <cell r="Q42">
            <v>0.22580645161290325</v>
          </cell>
          <cell r="R42">
            <v>0.13868613138686126</v>
          </cell>
          <cell r="S42">
            <v>0.12587412587412605</v>
          </cell>
          <cell r="T42">
            <v>0.13605442176870741</v>
          </cell>
          <cell r="U42">
            <v>0.13605442176870741</v>
          </cell>
          <cell r="V42">
            <v>0.13157894736842102</v>
          </cell>
          <cell r="W42">
            <v>0.14102564102564097</v>
          </cell>
          <cell r="X42">
            <v>0.13043478260869557</v>
          </cell>
          <cell r="Y42">
            <v>0.11976047904191622</v>
          </cell>
          <cell r="Z42">
            <v>0.11976047904191622</v>
          </cell>
          <cell r="AA42">
            <v>0.13953488372093048</v>
          </cell>
          <cell r="AB42">
            <v>0.1179775280898876</v>
          </cell>
          <cell r="AC42">
            <v>0.10989010989010994</v>
          </cell>
          <cell r="AD42">
            <v>0.12834224598930488</v>
          </cell>
          <cell r="AE42">
            <v>9.625668449197855E-2</v>
          </cell>
          <cell r="AF42">
            <v>6.6326530612244694E-2</v>
          </cell>
          <cell r="AG42">
            <v>7.0351758793969932E-2</v>
          </cell>
          <cell r="AH42">
            <v>7.4257425742574323E-2</v>
          </cell>
          <cell r="AI42">
            <v>0.10426540284360186</v>
          </cell>
          <cell r="AJ42">
            <v>7.8048780487804947E-2</v>
          </cell>
          <cell r="AK42">
            <v>6.3348416289592757E-2</v>
          </cell>
          <cell r="AL42">
            <v>5.1063829787234116E-2</v>
          </cell>
          <cell r="AM42">
            <v>4.0485829959514108E-2</v>
          </cell>
          <cell r="AN42">
            <v>3.112840466926059E-2</v>
          </cell>
          <cell r="AO42">
            <v>2.6415094339622636E-2</v>
          </cell>
          <cell r="AP42">
            <v>2.2058823529411686E-2</v>
          </cell>
          <cell r="AQ42">
            <v>1.7985611510791477E-2</v>
          </cell>
          <cell r="AR42">
            <v>1.4134275618374659E-2</v>
          </cell>
          <cell r="AS42">
            <v>1.0452961672473782E-2</v>
          </cell>
          <cell r="AT42">
            <v>6.8965517241379448E-3</v>
          </cell>
        </row>
        <row r="43">
          <cell r="A43" t="str">
            <v>Avg. Full Time Equiv.(FTE) Subscriber</v>
          </cell>
          <cell r="B43">
            <v>11800</v>
          </cell>
          <cell r="C43">
            <v>11800</v>
          </cell>
          <cell r="D43">
            <v>11800</v>
          </cell>
          <cell r="E43">
            <v>11800</v>
          </cell>
          <cell r="F43">
            <v>11800</v>
          </cell>
          <cell r="G43">
            <v>11800</v>
          </cell>
          <cell r="H43">
            <v>11800</v>
          </cell>
          <cell r="I43">
            <v>11800</v>
          </cell>
          <cell r="J43">
            <v>11800</v>
          </cell>
          <cell r="K43">
            <v>11800</v>
          </cell>
          <cell r="L43">
            <v>12100</v>
          </cell>
          <cell r="M43">
            <v>13050</v>
          </cell>
          <cell r="N43">
            <v>14000</v>
          </cell>
          <cell r="O43">
            <v>14500</v>
          </cell>
          <cell r="P43">
            <v>13412.5</v>
          </cell>
          <cell r="Q43">
            <v>14950</v>
          </cell>
          <cell r="R43">
            <v>15400</v>
          </cell>
          <cell r="S43">
            <v>15850</v>
          </cell>
          <cell r="T43">
            <v>16400</v>
          </cell>
          <cell r="U43">
            <v>15650</v>
          </cell>
          <cell r="V43">
            <v>16950</v>
          </cell>
          <cell r="W43">
            <v>17500</v>
          </cell>
          <cell r="X43">
            <v>18000</v>
          </cell>
          <cell r="Y43">
            <v>18450</v>
          </cell>
          <cell r="Z43">
            <v>17975</v>
          </cell>
          <cell r="AA43">
            <v>19150</v>
          </cell>
          <cell r="AB43">
            <v>19750</v>
          </cell>
          <cell r="AC43">
            <v>20050</v>
          </cell>
          <cell r="AD43">
            <v>20650</v>
          </cell>
          <cell r="AE43">
            <v>20000</v>
          </cell>
          <cell r="AF43">
            <v>21000</v>
          </cell>
          <cell r="AG43">
            <v>21100</v>
          </cell>
          <cell r="AH43">
            <v>21500</v>
          </cell>
          <cell r="AI43">
            <v>22500</v>
          </cell>
          <cell r="AJ43">
            <v>21633.333333333332</v>
          </cell>
          <cell r="AK43">
            <v>22800</v>
          </cell>
          <cell r="AL43">
            <v>24100</v>
          </cell>
          <cell r="AM43">
            <v>25200</v>
          </cell>
          <cell r="AN43">
            <v>26100</v>
          </cell>
          <cell r="AO43">
            <v>26850</v>
          </cell>
          <cell r="AP43">
            <v>27500</v>
          </cell>
          <cell r="AQ43">
            <v>28050</v>
          </cell>
          <cell r="AR43">
            <v>28500</v>
          </cell>
          <cell r="AS43">
            <v>28850</v>
          </cell>
          <cell r="AT43">
            <v>29100</v>
          </cell>
        </row>
        <row r="44">
          <cell r="A44" t="str">
            <v>Total Sales per Avg. FTE</v>
          </cell>
          <cell r="B44">
            <v>0.93220338983050843</v>
          </cell>
          <cell r="C44">
            <v>1.3644067796610171</v>
          </cell>
          <cell r="D44">
            <v>2.101694915254237</v>
          </cell>
          <cell r="E44">
            <v>2.9237288135593222</v>
          </cell>
          <cell r="F44">
            <v>7.3220338983050839</v>
          </cell>
          <cell r="G44">
            <v>3.3898305084745761</v>
          </cell>
          <cell r="H44">
            <v>4.7457627118644066</v>
          </cell>
          <cell r="I44">
            <v>5.4237288135593218</v>
          </cell>
          <cell r="J44">
            <v>7.2033898305084749</v>
          </cell>
          <cell r="K44">
            <v>20.762711864406779</v>
          </cell>
          <cell r="L44">
            <v>6.9421487603305785</v>
          </cell>
          <cell r="M44">
            <v>7.509578544061303</v>
          </cell>
          <cell r="N44">
            <v>7.3571428571428568</v>
          </cell>
          <cell r="O44">
            <v>9.0344827586206904</v>
          </cell>
          <cell r="P44">
            <v>31.015843429636533</v>
          </cell>
          <cell r="Q44">
            <v>7.6923076923076925</v>
          </cell>
          <cell r="R44">
            <v>8.5064935064935057</v>
          </cell>
          <cell r="S44">
            <v>8.1388012618296521</v>
          </cell>
          <cell r="T44">
            <v>9.2073170731707314</v>
          </cell>
          <cell r="U44">
            <v>33.610223642172521</v>
          </cell>
          <cell r="V44">
            <v>8.1415929203539825</v>
          </cell>
          <cell r="W44">
            <v>9.3142857142857149</v>
          </cell>
          <cell r="X44">
            <v>8.6666666666666661</v>
          </cell>
          <cell r="Y44">
            <v>9.4308943089430901</v>
          </cell>
          <cell r="Z44">
            <v>35.104311543810852</v>
          </cell>
          <cell r="AA44">
            <v>7.4673629242819839</v>
          </cell>
          <cell r="AB44">
            <v>7.6455696202531644</v>
          </cell>
          <cell r="AC44">
            <v>7.4314214463840402</v>
          </cell>
          <cell r="AD44">
            <v>8.1840193704600477</v>
          </cell>
          <cell r="AE44">
            <v>30.6</v>
          </cell>
          <cell r="AF44">
            <v>8</v>
          </cell>
          <cell r="AG44">
            <v>9.1469194312796205</v>
          </cell>
          <cell r="AH44">
            <v>8.3255813953488378</v>
          </cell>
          <cell r="AI44">
            <v>9.2640507400804211</v>
          </cell>
          <cell r="AJ44">
            <v>34.596662942302444</v>
          </cell>
          <cell r="AK44">
            <v>36.183557548232145</v>
          </cell>
          <cell r="AL44">
            <v>36.907228699196793</v>
          </cell>
          <cell r="AM44">
            <v>37.645373273180731</v>
          </cell>
          <cell r="AN44">
            <v>38.398280738644345</v>
          </cell>
          <cell r="AO44">
            <v>39.166246353417229</v>
          </cell>
          <cell r="AP44">
            <v>39.949571280485586</v>
          </cell>
          <cell r="AQ44">
            <v>40.748562706095292</v>
          </cell>
          <cell r="AR44">
            <v>41.563533960217192</v>
          </cell>
          <cell r="AS44">
            <v>42.394804639421537</v>
          </cell>
          <cell r="AT44">
            <v>43.242700732209961</v>
          </cell>
        </row>
        <row r="45">
          <cell r="A45" t="str">
            <v>% Change - Sales per FTE</v>
          </cell>
          <cell r="G45">
            <v>2.6363636363636362</v>
          </cell>
          <cell r="H45">
            <v>2.4782608695652169</v>
          </cell>
          <cell r="I45">
            <v>1.580645161290323</v>
          </cell>
          <cell r="J45">
            <v>1.4637681159420288</v>
          </cell>
          <cell r="K45">
            <v>1.8356481481481484</v>
          </cell>
          <cell r="L45">
            <v>1.0479338842975205</v>
          </cell>
          <cell r="M45">
            <v>0.58237547892720309</v>
          </cell>
          <cell r="N45">
            <v>0.35647321428571432</v>
          </cell>
          <cell r="O45">
            <v>0.25419878296146048</v>
          </cell>
          <cell r="P45">
            <v>0.49382429579473919</v>
          </cell>
          <cell r="Q45">
            <v>0.10805860805860812</v>
          </cell>
          <cell r="R45">
            <v>0.13275245163000249</v>
          </cell>
          <cell r="S45">
            <v>0.10624483170500132</v>
          </cell>
          <cell r="T45">
            <v>1.913051573263802E-2</v>
          </cell>
          <cell r="U45">
            <v>8.3646934136151208E-2</v>
          </cell>
          <cell r="V45">
            <v>5.8407079646017657E-2</v>
          </cell>
          <cell r="W45">
            <v>9.4961832061068785E-2</v>
          </cell>
          <cell r="X45">
            <v>6.4857881136950901E-2</v>
          </cell>
          <cell r="Y45">
            <v>2.428256070640189E-2</v>
          </cell>
          <cell r="Z45">
            <v>4.4453375780684201E-2</v>
          </cell>
          <cell r="AA45">
            <v>-8.2813032126234587E-2</v>
          </cell>
          <cell r="AB45">
            <v>-0.17915663586239039</v>
          </cell>
          <cell r="AC45">
            <v>-0.14252829464799532</v>
          </cell>
          <cell r="AD45">
            <v>-0.13221173916673634</v>
          </cell>
          <cell r="AE45">
            <v>-0.12831220285261491</v>
          </cell>
          <cell r="AF45">
            <v>7.1328671328671378E-2</v>
          </cell>
          <cell r="AG45">
            <v>0.19636860111107612</v>
          </cell>
          <cell r="AH45">
            <v>0.12032152333385371</v>
          </cell>
          <cell r="AI45">
            <v>0.13196833007491549</v>
          </cell>
          <cell r="AJ45">
            <v>0.1306099000752432</v>
          </cell>
          <cell r="AK45">
            <v>4.5868429812904177E-2</v>
          </cell>
          <cell r="AL45">
            <v>2.000000000000024E-2</v>
          </cell>
          <cell r="AM45">
            <v>2.0000000000000018E-2</v>
          </cell>
          <cell r="AN45">
            <v>2.0000000000000018E-2</v>
          </cell>
          <cell r="AO45">
            <v>2.0000000000000018E-2</v>
          </cell>
          <cell r="AP45">
            <v>2.000000000000024E-2</v>
          </cell>
          <cell r="AQ45">
            <v>1.9999999999999796E-2</v>
          </cell>
          <cell r="AR45">
            <v>1.9999999999999796E-2</v>
          </cell>
          <cell r="AS45">
            <v>2.0000000000000018E-2</v>
          </cell>
          <cell r="AT45">
            <v>1.9999999999999796E-2</v>
          </cell>
        </row>
        <row r="48">
          <cell r="A48" t="str">
            <v>Customers (min. 1 purch. per year)</v>
          </cell>
          <cell r="F48">
            <v>1652.0000000000002</v>
          </cell>
          <cell r="G48">
            <v>1652.0000000000002</v>
          </cell>
          <cell r="H48">
            <v>1652.0000000000002</v>
          </cell>
          <cell r="I48">
            <v>1652.0000000000002</v>
          </cell>
          <cell r="J48">
            <v>1652.0000000000002</v>
          </cell>
          <cell r="K48">
            <v>1652.0000000000002</v>
          </cell>
          <cell r="L48">
            <v>1694.0000000000002</v>
          </cell>
          <cell r="M48">
            <v>1785.0000000000002</v>
          </cell>
          <cell r="N48">
            <v>1827.0000000000002</v>
          </cell>
          <cell r="O48">
            <v>1855.0000000000002</v>
          </cell>
          <cell r="P48">
            <v>1855.0000000000002</v>
          </cell>
          <cell r="Q48">
            <v>1932.0000000000002</v>
          </cell>
          <cell r="R48">
            <v>2051</v>
          </cell>
          <cell r="S48">
            <v>2128</v>
          </cell>
          <cell r="T48">
            <v>2198</v>
          </cell>
          <cell r="U48">
            <v>2198</v>
          </cell>
          <cell r="V48">
            <v>2268</v>
          </cell>
          <cell r="W48">
            <v>2338</v>
          </cell>
          <cell r="X48">
            <v>2401.0000000000005</v>
          </cell>
          <cell r="Y48">
            <v>2478.0000000000005</v>
          </cell>
          <cell r="Z48">
            <v>2478.0000000000005</v>
          </cell>
          <cell r="AA48">
            <v>2576.0000000000005</v>
          </cell>
          <cell r="AB48">
            <v>2639.0000000000005</v>
          </cell>
          <cell r="AC48">
            <v>2688.0000000000005</v>
          </cell>
          <cell r="AD48">
            <v>2786.0000000000005</v>
          </cell>
          <cell r="AE48">
            <v>2744.0000000000005</v>
          </cell>
          <cell r="AF48">
            <v>2835.0000000000005</v>
          </cell>
          <cell r="AG48">
            <v>2884.0000000000005</v>
          </cell>
          <cell r="AH48">
            <v>2933.0000000000005</v>
          </cell>
          <cell r="AI48">
            <v>3108.0000000000005</v>
          </cell>
          <cell r="AJ48">
            <v>2982.0000000000005</v>
          </cell>
          <cell r="AK48">
            <v>3192.0000000000005</v>
          </cell>
          <cell r="AL48">
            <v>3374.0000000000005</v>
          </cell>
          <cell r="AM48">
            <v>3528.0000000000005</v>
          </cell>
          <cell r="AN48">
            <v>3654.0000000000005</v>
          </cell>
          <cell r="AO48">
            <v>3759.0000000000005</v>
          </cell>
          <cell r="AP48">
            <v>3850.0000000000005</v>
          </cell>
          <cell r="AQ48">
            <v>3927.0000000000005</v>
          </cell>
          <cell r="AR48">
            <v>3990.0000000000005</v>
          </cell>
          <cell r="AS48">
            <v>4039.0000000000005</v>
          </cell>
          <cell r="AT48">
            <v>4074.0000000000005</v>
          </cell>
        </row>
        <row r="49">
          <cell r="A49" t="str">
            <v>Customers as % of FTE</v>
          </cell>
          <cell r="F49">
            <v>0.14000000000000001</v>
          </cell>
          <cell r="G49">
            <v>0.14000000000000001</v>
          </cell>
          <cell r="H49">
            <v>0.14000000000000001</v>
          </cell>
          <cell r="I49">
            <v>0.14000000000000001</v>
          </cell>
          <cell r="J49">
            <v>0.14000000000000001</v>
          </cell>
          <cell r="K49">
            <v>0.14000000000000001</v>
          </cell>
          <cell r="L49">
            <v>0.13661290322580646</v>
          </cell>
          <cell r="M49">
            <v>0.13029197080291974</v>
          </cell>
          <cell r="N49">
            <v>0.12776223776223777</v>
          </cell>
          <cell r="O49">
            <v>0.12619047619047621</v>
          </cell>
          <cell r="P49">
            <v>0.12619047619047621</v>
          </cell>
          <cell r="Q49">
            <v>0.12710526315789475</v>
          </cell>
          <cell r="R49">
            <v>0.13147435897435897</v>
          </cell>
          <cell r="S49">
            <v>0.13217391304347825</v>
          </cell>
          <cell r="T49">
            <v>0.13161676646706588</v>
          </cell>
          <cell r="U49">
            <v>0.13161676646706588</v>
          </cell>
          <cell r="V49">
            <v>0.13186046511627908</v>
          </cell>
          <cell r="W49">
            <v>0.13134831460674157</v>
          </cell>
          <cell r="X49">
            <v>0.13192307692307695</v>
          </cell>
          <cell r="Y49">
            <v>0.13251336898395724</v>
          </cell>
          <cell r="Z49">
            <v>0.13251336898395724</v>
          </cell>
          <cell r="AA49">
            <v>0.13142857142857142</v>
          </cell>
          <cell r="AB49">
            <v>0.13261306532663319</v>
          </cell>
          <cell r="AC49">
            <v>0.1330693069306931</v>
          </cell>
          <cell r="AD49">
            <v>0.13203791469194315</v>
          </cell>
          <cell r="AE49">
            <v>0.1338536585365854</v>
          </cell>
          <cell r="AF49">
            <v>0.1356459330143541</v>
          </cell>
          <cell r="AG49">
            <v>0.13539906103286387</v>
          </cell>
          <cell r="AH49">
            <v>0.13516129032258067</v>
          </cell>
          <cell r="AI49">
            <v>0.13339055793991419</v>
          </cell>
          <cell r="AJ49">
            <v>0.1349321266968326</v>
          </cell>
          <cell r="AK49">
            <v>0.13582978723404257</v>
          </cell>
          <cell r="AL49">
            <v>0.13659919028340084</v>
          </cell>
          <cell r="AM49">
            <v>0.13727626459143971</v>
          </cell>
          <cell r="AN49">
            <v>0.1378867924528302</v>
          </cell>
          <cell r="AO49">
            <v>0.13819852941176472</v>
          </cell>
          <cell r="AP49">
            <v>0.13848920863309355</v>
          </cell>
          <cell r="AQ49">
            <v>0.13876325088339225</v>
          </cell>
          <cell r="AR49">
            <v>0.13902439024390245</v>
          </cell>
          <cell r="AS49">
            <v>0.13927586206896553</v>
          </cell>
          <cell r="AT49">
            <v>0.13952054794520549</v>
          </cell>
        </row>
        <row r="50">
          <cell r="A50" t="str">
            <v>Cust. as % Trail. 12 Month Avg. FTE</v>
          </cell>
          <cell r="F50">
            <v>0.14000000000000001</v>
          </cell>
          <cell r="G50">
            <v>0.14000000000000001</v>
          </cell>
          <cell r="H50">
            <v>0.14000000000000001</v>
          </cell>
          <cell r="I50">
            <v>0.14000000000000001</v>
          </cell>
          <cell r="J50">
            <v>0.14000000000000001</v>
          </cell>
          <cell r="K50">
            <v>0.14000000000000001</v>
          </cell>
          <cell r="L50">
            <v>0.14000000000000001</v>
          </cell>
          <cell r="M50">
            <v>0.14000000000000001</v>
          </cell>
          <cell r="N50">
            <v>0.14000000000000001</v>
          </cell>
          <cell r="O50">
            <v>0.14000000000000001</v>
          </cell>
          <cell r="P50">
            <v>0.14000000000000001</v>
          </cell>
          <cell r="Q50">
            <v>0.14000000000000001</v>
          </cell>
          <cell r="R50">
            <v>0.14000000000000001</v>
          </cell>
          <cell r="S50">
            <v>0.14000000000000001</v>
          </cell>
          <cell r="T50">
            <v>0.14000000000000001</v>
          </cell>
          <cell r="U50">
            <v>0.14000000000000001</v>
          </cell>
          <cell r="V50">
            <v>0.14000000000000001</v>
          </cell>
          <cell r="W50">
            <v>0.14000000000000001</v>
          </cell>
          <cell r="X50">
            <v>0.14000000000000001</v>
          </cell>
          <cell r="Y50">
            <v>0.14000000000000001</v>
          </cell>
          <cell r="Z50">
            <v>0.14000000000000001</v>
          </cell>
          <cell r="AA50">
            <v>0.14000000000000001</v>
          </cell>
          <cell r="AB50">
            <v>0.14000000000000001</v>
          </cell>
          <cell r="AC50">
            <v>0.14000000000000001</v>
          </cell>
          <cell r="AD50">
            <v>0.14000000000000001</v>
          </cell>
          <cell r="AE50">
            <v>0.14000000000000001</v>
          </cell>
          <cell r="AF50">
            <v>0.14000000000000001</v>
          </cell>
          <cell r="AG50">
            <v>0.14000000000000001</v>
          </cell>
          <cell r="AH50">
            <v>0.14000000000000001</v>
          </cell>
          <cell r="AI50">
            <v>0.14000000000000001</v>
          </cell>
          <cell r="AJ50">
            <v>0.14000000000000001</v>
          </cell>
          <cell r="AK50">
            <v>0.14000000000000001</v>
          </cell>
          <cell r="AL50">
            <v>0.14000000000000001</v>
          </cell>
          <cell r="AM50">
            <v>0.14000000000000001</v>
          </cell>
          <cell r="AN50">
            <v>0.14000000000000001</v>
          </cell>
          <cell r="AO50">
            <v>0.14000000000000001</v>
          </cell>
          <cell r="AP50">
            <v>0.14000000000000001</v>
          </cell>
          <cell r="AQ50">
            <v>0.14000000000000001</v>
          </cell>
          <cell r="AR50">
            <v>0.14000000000000001</v>
          </cell>
          <cell r="AS50">
            <v>0.14000000000000001</v>
          </cell>
          <cell r="AT50">
            <v>0.14000000000000001</v>
          </cell>
        </row>
        <row r="51">
          <cell r="A51" t="str">
            <v>Revenue per Customer</v>
          </cell>
          <cell r="F51">
            <v>52.30024213075059</v>
          </cell>
          <cell r="G51">
            <v>5.3268765133171909</v>
          </cell>
          <cell r="H51">
            <v>33.898305084745758</v>
          </cell>
          <cell r="I51">
            <v>38.740920096852292</v>
          </cell>
          <cell r="J51">
            <v>51.452784503631953</v>
          </cell>
          <cell r="K51">
            <v>148.30508474576268</v>
          </cell>
          <cell r="L51">
            <v>49.586776859504127</v>
          </cell>
          <cell r="M51">
            <v>54.901960784313715</v>
          </cell>
          <cell r="N51">
            <v>56.376573617952921</v>
          </cell>
          <cell r="O51">
            <v>70.619946091644195</v>
          </cell>
          <cell r="P51">
            <v>224.25876010781667</v>
          </cell>
          <cell r="Q51">
            <v>59.523809523809518</v>
          </cell>
          <cell r="R51">
            <v>63.871282301316434</v>
          </cell>
          <cell r="S51">
            <v>60.620300751879697</v>
          </cell>
          <cell r="T51">
            <v>68.698817106460424</v>
          </cell>
          <cell r="U51">
            <v>239.30846223839853</v>
          </cell>
          <cell r="V51">
            <v>60.846560846560848</v>
          </cell>
          <cell r="W51">
            <v>69.717707442258344</v>
          </cell>
          <cell r="X51">
            <v>64.97292794668887</v>
          </cell>
          <cell r="Y51">
            <v>70.217917675544783</v>
          </cell>
          <cell r="Z51">
            <v>254.64083938660204</v>
          </cell>
          <cell r="AA51">
            <v>55.512422360248436</v>
          </cell>
          <cell r="AB51">
            <v>57.218643425539966</v>
          </cell>
          <cell r="AC51">
            <v>55.431547619047606</v>
          </cell>
          <cell r="AD51">
            <v>60.660445082555626</v>
          </cell>
          <cell r="AE51">
            <v>223.03206997084544</v>
          </cell>
          <cell r="AF51">
            <v>59.259259259259252</v>
          </cell>
          <cell r="AG51">
            <v>66.920943134535364</v>
          </cell>
          <cell r="AH51">
            <v>61.029662461643362</v>
          </cell>
          <cell r="AI51">
            <v>67.066004392474071</v>
          </cell>
          <cell r="AJ51">
            <v>250.98629834064698</v>
          </cell>
          <cell r="AK51">
            <v>258.45398248737246</v>
          </cell>
          <cell r="AL51">
            <v>263.62306213711992</v>
          </cell>
          <cell r="AM51">
            <v>268.89552337986237</v>
          </cell>
          <cell r="AN51">
            <v>274.27343384745956</v>
          </cell>
          <cell r="AO51">
            <v>279.75890252440877</v>
          </cell>
          <cell r="AP51">
            <v>285.35408057489701</v>
          </cell>
          <cell r="AQ51">
            <v>291.06116218639494</v>
          </cell>
          <cell r="AR51">
            <v>296.88238543012278</v>
          </cell>
          <cell r="AS51">
            <v>302.82003313872519</v>
          </cell>
          <cell r="AT51">
            <v>308.87643380149967</v>
          </cell>
        </row>
        <row r="52">
          <cell r="L52">
            <v>8.3087903831705479</v>
          </cell>
          <cell r="M52">
            <v>0.61960784313725492</v>
          </cell>
          <cell r="N52">
            <v>0.45522030651341017</v>
          </cell>
          <cell r="O52">
            <v>0.37251942286348494</v>
          </cell>
          <cell r="P52">
            <v>0.51214478244127837</v>
          </cell>
          <cell r="Q52">
            <v>0.20039682539682535</v>
          </cell>
          <cell r="R52">
            <v>0.16336978477397812</v>
          </cell>
          <cell r="S52">
            <v>7.5274655084312858E-2</v>
          </cell>
          <cell r="T52">
            <v>-2.7203773034472523E-2</v>
          </cell>
          <cell r="U52">
            <v>6.7108647721705106E-2</v>
          </cell>
          <cell r="V52">
            <v>2.2222222222222365E-2</v>
          </cell>
          <cell r="W52">
            <v>9.1534488275357706E-2</v>
          </cell>
          <cell r="X52">
            <v>7.1801478066309432E-2</v>
          </cell>
          <cell r="Y52">
            <v>2.2112470535413431E-2</v>
          </cell>
          <cell r="Z52">
            <v>6.4069515155420698E-2</v>
          </cell>
          <cell r="AA52">
            <v>-8.7665406427221426E-2</v>
          </cell>
          <cell r="AB52">
            <v>-0.17928105319685628</v>
          </cell>
          <cell r="AC52">
            <v>-0.14685162927350437</v>
          </cell>
          <cell r="AD52">
            <v>-0.1361115924449835</v>
          </cell>
          <cell r="AE52">
            <v>-0.12413079336330402</v>
          </cell>
          <cell r="AF52">
            <v>6.7495467495467532E-2</v>
          </cell>
          <cell r="AG52">
            <v>0.16956535716582022</v>
          </cell>
          <cell r="AH52">
            <v>0.10099149461004964</v>
          </cell>
          <cell r="AI52">
            <v>0.10559697181912897</v>
          </cell>
          <cell r="AJ52">
            <v>0.12533725922669192</v>
          </cell>
          <cell r="AK52">
            <v>2.9753353852767228E-2</v>
          </cell>
          <cell r="AL52">
            <v>2.0000000000000018E-2</v>
          </cell>
          <cell r="AM52">
            <v>2.000000000000024E-2</v>
          </cell>
          <cell r="AN52">
            <v>1.9999999999999796E-2</v>
          </cell>
          <cell r="AO52">
            <v>2.0000000000000018E-2</v>
          </cell>
          <cell r="AP52">
            <v>2.000000000000024E-2</v>
          </cell>
          <cell r="AQ52">
            <v>2.0000000000000018E-2</v>
          </cell>
          <cell r="AR52">
            <v>1.9999999999999796E-2</v>
          </cell>
          <cell r="AS52">
            <v>1.9999999999999796E-2</v>
          </cell>
          <cell r="AT52">
            <v>2.0000000000000018E-2</v>
          </cell>
        </row>
        <row r="56">
          <cell r="A56" t="str">
            <v>Revenue Breakdown</v>
          </cell>
        </row>
        <row r="57">
          <cell r="A57" t="str">
            <v>Jewelry</v>
          </cell>
          <cell r="B57">
            <v>0.31</v>
          </cell>
          <cell r="C57">
            <v>0.31</v>
          </cell>
          <cell r="D57">
            <v>0.31</v>
          </cell>
          <cell r="E57">
            <v>0.31</v>
          </cell>
          <cell r="F57">
            <v>0.31</v>
          </cell>
          <cell r="G57">
            <v>0.31</v>
          </cell>
          <cell r="H57">
            <v>0.31</v>
          </cell>
          <cell r="I57">
            <v>0.31</v>
          </cell>
          <cell r="J57">
            <v>0.31</v>
          </cell>
          <cell r="K57">
            <v>0.30999999999999994</v>
          </cell>
          <cell r="L57">
            <v>0.31</v>
          </cell>
          <cell r="M57">
            <v>0.31</v>
          </cell>
          <cell r="N57">
            <v>0.31</v>
          </cell>
          <cell r="O57">
            <v>0.31</v>
          </cell>
          <cell r="P57">
            <v>0.30999999999999994</v>
          </cell>
          <cell r="Q57">
            <v>0.31</v>
          </cell>
          <cell r="R57">
            <v>0.31</v>
          </cell>
          <cell r="S57">
            <v>0.31</v>
          </cell>
          <cell r="T57">
            <v>0.31</v>
          </cell>
          <cell r="U57">
            <v>0.31</v>
          </cell>
          <cell r="V57">
            <v>0.31</v>
          </cell>
          <cell r="W57">
            <v>0.31</v>
          </cell>
          <cell r="X57">
            <v>0.31</v>
          </cell>
          <cell r="Y57">
            <v>0.31</v>
          </cell>
          <cell r="Z57">
            <v>0.31</v>
          </cell>
          <cell r="AA57">
            <v>0.31</v>
          </cell>
          <cell r="AB57">
            <v>0.31</v>
          </cell>
          <cell r="AC57">
            <v>0.31</v>
          </cell>
          <cell r="AD57">
            <v>0.31</v>
          </cell>
          <cell r="AE57">
            <v>0.31</v>
          </cell>
          <cell r="AF57">
            <v>0.31</v>
          </cell>
          <cell r="AG57">
            <v>0.31</v>
          </cell>
          <cell r="AH57">
            <v>0.31</v>
          </cell>
          <cell r="AI57">
            <v>0.31</v>
          </cell>
          <cell r="AJ57">
            <v>0.31</v>
          </cell>
          <cell r="AK57">
            <v>0.31</v>
          </cell>
          <cell r="AL57">
            <v>0.31</v>
          </cell>
          <cell r="AM57">
            <v>0.31</v>
          </cell>
          <cell r="AN57">
            <v>0.31</v>
          </cell>
          <cell r="AO57">
            <v>0.31</v>
          </cell>
          <cell r="AP57">
            <v>0.31</v>
          </cell>
          <cell r="AQ57">
            <v>0.31</v>
          </cell>
          <cell r="AR57">
            <v>0.31</v>
          </cell>
          <cell r="AS57">
            <v>0.31</v>
          </cell>
          <cell r="AT57">
            <v>0.31</v>
          </cell>
        </row>
        <row r="58">
          <cell r="A58" t="str">
            <v>Apparel &amp; Accessories</v>
          </cell>
          <cell r="B58">
            <v>0.22</v>
          </cell>
          <cell r="C58">
            <v>0.22</v>
          </cell>
          <cell r="D58">
            <v>0.22</v>
          </cell>
          <cell r="E58">
            <v>0.22</v>
          </cell>
          <cell r="F58">
            <v>0.22</v>
          </cell>
          <cell r="G58">
            <v>0.22</v>
          </cell>
          <cell r="H58">
            <v>0.22</v>
          </cell>
          <cell r="I58">
            <v>0.22</v>
          </cell>
          <cell r="J58">
            <v>0.22</v>
          </cell>
          <cell r="K58">
            <v>0.22000000000000003</v>
          </cell>
          <cell r="L58">
            <v>0.22</v>
          </cell>
          <cell r="M58">
            <v>0.22</v>
          </cell>
          <cell r="N58">
            <v>0.22</v>
          </cell>
          <cell r="O58">
            <v>0.22</v>
          </cell>
          <cell r="P58">
            <v>0.22000000000000003</v>
          </cell>
          <cell r="Q58">
            <v>0.22</v>
          </cell>
          <cell r="R58">
            <v>0.22</v>
          </cell>
          <cell r="S58">
            <v>0.22</v>
          </cell>
          <cell r="T58">
            <v>0.22</v>
          </cell>
          <cell r="U58">
            <v>0.22</v>
          </cell>
          <cell r="V58">
            <v>0.22</v>
          </cell>
          <cell r="W58">
            <v>0.22</v>
          </cell>
          <cell r="X58">
            <v>0.22</v>
          </cell>
          <cell r="Y58">
            <v>0.22</v>
          </cell>
          <cell r="Z58">
            <v>0.22</v>
          </cell>
          <cell r="AA58">
            <v>0.22</v>
          </cell>
          <cell r="AB58">
            <v>0.22</v>
          </cell>
          <cell r="AC58">
            <v>0.22</v>
          </cell>
          <cell r="AD58">
            <v>0.22</v>
          </cell>
          <cell r="AE58">
            <v>0.22</v>
          </cell>
          <cell r="AF58">
            <v>0.22</v>
          </cell>
          <cell r="AG58">
            <v>0.22</v>
          </cell>
          <cell r="AH58">
            <v>0.22</v>
          </cell>
          <cell r="AI58">
            <v>0.22</v>
          </cell>
          <cell r="AJ58">
            <v>0.22</v>
          </cell>
          <cell r="AK58">
            <v>0.22</v>
          </cell>
          <cell r="AL58">
            <v>0.22</v>
          </cell>
          <cell r="AM58">
            <v>0.22</v>
          </cell>
          <cell r="AN58">
            <v>0.22</v>
          </cell>
          <cell r="AO58">
            <v>0.22</v>
          </cell>
          <cell r="AP58">
            <v>0.22</v>
          </cell>
          <cell r="AQ58">
            <v>0.22</v>
          </cell>
          <cell r="AR58">
            <v>0.22</v>
          </cell>
          <cell r="AS58">
            <v>0.22</v>
          </cell>
          <cell r="AT58">
            <v>0.22</v>
          </cell>
        </row>
        <row r="59">
          <cell r="A59" t="str">
            <v>Housewares/Home</v>
          </cell>
          <cell r="B59">
            <v>0.22</v>
          </cell>
          <cell r="C59">
            <v>0.22</v>
          </cell>
          <cell r="D59">
            <v>0.22</v>
          </cell>
          <cell r="E59">
            <v>0.22</v>
          </cell>
          <cell r="F59">
            <v>0.22</v>
          </cell>
          <cell r="G59">
            <v>0.22</v>
          </cell>
          <cell r="H59">
            <v>0.22</v>
          </cell>
          <cell r="I59">
            <v>0.22</v>
          </cell>
          <cell r="J59">
            <v>0.22</v>
          </cell>
          <cell r="K59">
            <v>0.22000000000000003</v>
          </cell>
          <cell r="L59">
            <v>0.22</v>
          </cell>
          <cell r="M59">
            <v>0.22</v>
          </cell>
          <cell r="N59">
            <v>0.22</v>
          </cell>
          <cell r="O59">
            <v>0.22</v>
          </cell>
          <cell r="P59">
            <v>0.22000000000000003</v>
          </cell>
          <cell r="Q59">
            <v>0.22</v>
          </cell>
          <cell r="R59">
            <v>0.22</v>
          </cell>
          <cell r="S59">
            <v>0.22</v>
          </cell>
          <cell r="T59">
            <v>0.22</v>
          </cell>
          <cell r="U59">
            <v>0.22</v>
          </cell>
          <cell r="V59">
            <v>0.22</v>
          </cell>
          <cell r="W59">
            <v>0.22</v>
          </cell>
          <cell r="X59">
            <v>0.22</v>
          </cell>
          <cell r="Y59">
            <v>0.22</v>
          </cell>
          <cell r="Z59">
            <v>0.22</v>
          </cell>
          <cell r="AA59">
            <v>0.22</v>
          </cell>
          <cell r="AB59">
            <v>0.22</v>
          </cell>
          <cell r="AC59">
            <v>0.22</v>
          </cell>
          <cell r="AD59">
            <v>0.22</v>
          </cell>
          <cell r="AE59">
            <v>0.22</v>
          </cell>
          <cell r="AF59">
            <v>0.22</v>
          </cell>
          <cell r="AG59">
            <v>0.22</v>
          </cell>
          <cell r="AH59">
            <v>0.22</v>
          </cell>
          <cell r="AI59">
            <v>0.22</v>
          </cell>
          <cell r="AJ59">
            <v>0.22</v>
          </cell>
          <cell r="AK59">
            <v>0.22</v>
          </cell>
          <cell r="AL59">
            <v>0.22</v>
          </cell>
          <cell r="AM59">
            <v>0.22</v>
          </cell>
          <cell r="AN59">
            <v>0.22</v>
          </cell>
          <cell r="AO59">
            <v>0.22</v>
          </cell>
          <cell r="AP59">
            <v>0.22</v>
          </cell>
          <cell r="AQ59">
            <v>0.22</v>
          </cell>
          <cell r="AR59">
            <v>0.22</v>
          </cell>
          <cell r="AS59">
            <v>0.22</v>
          </cell>
          <cell r="AT59">
            <v>0.22</v>
          </cell>
        </row>
        <row r="60">
          <cell r="A60" t="str">
            <v>Electronics</v>
          </cell>
          <cell r="B60">
            <v>0.15</v>
          </cell>
          <cell r="C60">
            <v>0.15</v>
          </cell>
          <cell r="D60">
            <v>0.15</v>
          </cell>
          <cell r="E60">
            <v>0.15</v>
          </cell>
          <cell r="F60">
            <v>0.15</v>
          </cell>
          <cell r="G60">
            <v>0.15</v>
          </cell>
          <cell r="H60">
            <v>0.15</v>
          </cell>
          <cell r="I60">
            <v>0.15</v>
          </cell>
          <cell r="J60">
            <v>0.15</v>
          </cell>
          <cell r="K60">
            <v>0.15</v>
          </cell>
          <cell r="L60">
            <v>0.15</v>
          </cell>
          <cell r="M60">
            <v>0.15</v>
          </cell>
          <cell r="N60">
            <v>0.15</v>
          </cell>
          <cell r="O60">
            <v>0.15</v>
          </cell>
          <cell r="P60">
            <v>0.15</v>
          </cell>
          <cell r="Q60">
            <v>0.15</v>
          </cell>
          <cell r="R60">
            <v>0.15</v>
          </cell>
          <cell r="S60">
            <v>0.15</v>
          </cell>
          <cell r="T60">
            <v>0.15</v>
          </cell>
          <cell r="U60">
            <v>0.15000000000000002</v>
          </cell>
          <cell r="V60">
            <v>0.15</v>
          </cell>
          <cell r="W60">
            <v>0.15</v>
          </cell>
          <cell r="X60">
            <v>0.15</v>
          </cell>
          <cell r="Y60">
            <v>0.15</v>
          </cell>
          <cell r="Z60">
            <v>0.15000000000000002</v>
          </cell>
          <cell r="AA60">
            <v>0.15</v>
          </cell>
          <cell r="AB60">
            <v>0.15</v>
          </cell>
          <cell r="AC60">
            <v>0.15</v>
          </cell>
          <cell r="AD60">
            <v>0.15</v>
          </cell>
          <cell r="AE60">
            <v>0.15000000000000002</v>
          </cell>
          <cell r="AF60">
            <v>0.15</v>
          </cell>
          <cell r="AG60">
            <v>0.15</v>
          </cell>
          <cell r="AH60">
            <v>0.15</v>
          </cell>
          <cell r="AI60">
            <v>0.15</v>
          </cell>
          <cell r="AJ60">
            <v>0.15000000000000002</v>
          </cell>
          <cell r="AK60">
            <v>0.15000000000000002</v>
          </cell>
          <cell r="AL60">
            <v>0.15000000000000002</v>
          </cell>
          <cell r="AM60">
            <v>0.15000000000000002</v>
          </cell>
          <cell r="AN60">
            <v>0.15000000000000002</v>
          </cell>
          <cell r="AO60">
            <v>0.15000000000000002</v>
          </cell>
          <cell r="AP60">
            <v>0.15000000000000002</v>
          </cell>
          <cell r="AQ60">
            <v>0.15000000000000002</v>
          </cell>
          <cell r="AR60">
            <v>0.15000000000000002</v>
          </cell>
          <cell r="AS60">
            <v>0.15000000000000002</v>
          </cell>
          <cell r="AT60">
            <v>0.15000000000000002</v>
          </cell>
        </row>
        <row r="61">
          <cell r="A61" t="str">
            <v>Collectibles</v>
          </cell>
          <cell r="B61">
            <v>7.0000000000000007E-2</v>
          </cell>
          <cell r="C61">
            <v>7.0000000000000007E-2</v>
          </cell>
          <cell r="D61">
            <v>7.0000000000000007E-2</v>
          </cell>
          <cell r="E61">
            <v>7.0000000000000007E-2</v>
          </cell>
          <cell r="F61">
            <v>7.0000000000000007E-2</v>
          </cell>
          <cell r="G61">
            <v>7.0000000000000007E-2</v>
          </cell>
          <cell r="H61">
            <v>7.0000000000000007E-2</v>
          </cell>
          <cell r="I61">
            <v>7.0000000000000007E-2</v>
          </cell>
          <cell r="J61">
            <v>7.0000000000000007E-2</v>
          </cell>
          <cell r="K61">
            <v>7.0000000000000007E-2</v>
          </cell>
          <cell r="L61">
            <v>7.0000000000000007E-2</v>
          </cell>
          <cell r="M61">
            <v>7.0000000000000007E-2</v>
          </cell>
          <cell r="N61">
            <v>7.0000000000000007E-2</v>
          </cell>
          <cell r="O61">
            <v>7.0000000000000007E-2</v>
          </cell>
          <cell r="P61">
            <v>7.0000000000000007E-2</v>
          </cell>
          <cell r="Q61">
            <v>7.0000000000000007E-2</v>
          </cell>
          <cell r="R61">
            <v>7.0000000000000007E-2</v>
          </cell>
          <cell r="S61">
            <v>7.0000000000000007E-2</v>
          </cell>
          <cell r="T61">
            <v>7.0000000000000007E-2</v>
          </cell>
          <cell r="U61">
            <v>7.0000000000000021E-2</v>
          </cell>
          <cell r="V61">
            <v>7.0000000000000007E-2</v>
          </cell>
          <cell r="W61">
            <v>7.0000000000000007E-2</v>
          </cell>
          <cell r="X61">
            <v>7.0000000000000007E-2</v>
          </cell>
          <cell r="Y61">
            <v>7.0000000000000007E-2</v>
          </cell>
          <cell r="Z61">
            <v>7.0000000000000021E-2</v>
          </cell>
          <cell r="AA61">
            <v>7.0000000000000007E-2</v>
          </cell>
          <cell r="AB61">
            <v>7.0000000000000007E-2</v>
          </cell>
          <cell r="AC61">
            <v>7.0000000000000007E-2</v>
          </cell>
          <cell r="AD61">
            <v>7.0000000000000007E-2</v>
          </cell>
          <cell r="AE61">
            <v>7.0000000000000021E-2</v>
          </cell>
          <cell r="AF61">
            <v>7.0000000000000007E-2</v>
          </cell>
          <cell r="AG61">
            <v>7.0000000000000007E-2</v>
          </cell>
          <cell r="AH61">
            <v>7.0000000000000007E-2</v>
          </cell>
          <cell r="AI61">
            <v>7.0000000000000007E-2</v>
          </cell>
          <cell r="AJ61">
            <v>7.0000000000000021E-2</v>
          </cell>
          <cell r="AK61">
            <v>7.0000000000000021E-2</v>
          </cell>
          <cell r="AL61">
            <v>7.0000000000000021E-2</v>
          </cell>
          <cell r="AM61">
            <v>7.0000000000000021E-2</v>
          </cell>
          <cell r="AN61">
            <v>7.0000000000000021E-2</v>
          </cell>
          <cell r="AO61">
            <v>7.0000000000000021E-2</v>
          </cell>
          <cell r="AP61">
            <v>7.0000000000000021E-2</v>
          </cell>
          <cell r="AQ61">
            <v>7.0000000000000021E-2</v>
          </cell>
          <cell r="AR61">
            <v>7.0000000000000021E-2</v>
          </cell>
          <cell r="AS61">
            <v>7.0000000000000021E-2</v>
          </cell>
          <cell r="AT61">
            <v>7.0000000000000021E-2</v>
          </cell>
        </row>
        <row r="62">
          <cell r="A62" t="str">
            <v>Other</v>
          </cell>
          <cell r="B62">
            <v>0.03</v>
          </cell>
          <cell r="C62">
            <v>0.03</v>
          </cell>
          <cell r="D62">
            <v>0.03</v>
          </cell>
          <cell r="E62">
            <v>0.03</v>
          </cell>
          <cell r="F62">
            <v>2.9999999999999947E-2</v>
          </cell>
          <cell r="G62">
            <v>0.03</v>
          </cell>
          <cell r="H62">
            <v>0.03</v>
          </cell>
          <cell r="I62">
            <v>0.03</v>
          </cell>
          <cell r="J62">
            <v>0.03</v>
          </cell>
          <cell r="K62">
            <v>3.0000000000000006E-2</v>
          </cell>
          <cell r="L62">
            <v>0.03</v>
          </cell>
          <cell r="M62">
            <v>0.03</v>
          </cell>
          <cell r="N62">
            <v>0.03</v>
          </cell>
          <cell r="O62">
            <v>0.03</v>
          </cell>
          <cell r="P62">
            <v>3.0000000000000009E-2</v>
          </cell>
          <cell r="Q62">
            <v>0.03</v>
          </cell>
          <cell r="R62">
            <v>0.03</v>
          </cell>
          <cell r="S62">
            <v>0.03</v>
          </cell>
          <cell r="T62">
            <v>0.03</v>
          </cell>
          <cell r="U62">
            <v>3.0000000000000002E-2</v>
          </cell>
          <cell r="V62">
            <v>0.03</v>
          </cell>
          <cell r="W62">
            <v>0.03</v>
          </cell>
          <cell r="X62">
            <v>0.03</v>
          </cell>
          <cell r="Y62">
            <v>0.03</v>
          </cell>
          <cell r="Z62">
            <v>3.0000000000000002E-2</v>
          </cell>
          <cell r="AA62">
            <v>0.03</v>
          </cell>
          <cell r="AB62">
            <v>0.03</v>
          </cell>
          <cell r="AC62">
            <v>0.03</v>
          </cell>
          <cell r="AD62">
            <v>0.03</v>
          </cell>
          <cell r="AE62">
            <v>3.0000000000000002E-2</v>
          </cell>
          <cell r="AF62">
            <v>0.03</v>
          </cell>
          <cell r="AG62">
            <v>0.03</v>
          </cell>
          <cell r="AH62">
            <v>0.03</v>
          </cell>
          <cell r="AI62">
            <v>0.03</v>
          </cell>
          <cell r="AJ62">
            <v>3.0000000000000002E-2</v>
          </cell>
          <cell r="AK62">
            <v>3.0000000000000002E-2</v>
          </cell>
          <cell r="AL62">
            <v>3.0000000000000002E-2</v>
          </cell>
          <cell r="AM62">
            <v>3.0000000000000002E-2</v>
          </cell>
          <cell r="AN62">
            <v>3.0000000000000002E-2</v>
          </cell>
          <cell r="AO62">
            <v>3.0000000000000002E-2</v>
          </cell>
          <cell r="AP62">
            <v>3.0000000000000002E-2</v>
          </cell>
          <cell r="AQ62">
            <v>3.0000000000000002E-2</v>
          </cell>
          <cell r="AR62">
            <v>3.0000000000000002E-2</v>
          </cell>
          <cell r="AS62">
            <v>3.0000000000000002E-2</v>
          </cell>
          <cell r="AT62">
            <v>3.0000000000000002E-2</v>
          </cell>
        </row>
        <row r="63">
          <cell r="A63" t="str">
            <v xml:space="preserve">   Total Revenues</v>
          </cell>
          <cell r="B63">
            <v>1</v>
          </cell>
          <cell r="C63">
            <v>1</v>
          </cell>
          <cell r="D63">
            <v>1</v>
          </cell>
          <cell r="E63">
            <v>1</v>
          </cell>
          <cell r="F63">
            <v>1</v>
          </cell>
          <cell r="G63">
            <v>1</v>
          </cell>
          <cell r="H63">
            <v>1</v>
          </cell>
          <cell r="I63">
            <v>1</v>
          </cell>
          <cell r="J63">
            <v>1</v>
          </cell>
          <cell r="K63">
            <v>1</v>
          </cell>
          <cell r="L63">
            <v>1</v>
          </cell>
          <cell r="M63">
            <v>1</v>
          </cell>
          <cell r="N63">
            <v>1</v>
          </cell>
          <cell r="O63">
            <v>1</v>
          </cell>
          <cell r="P63">
            <v>1</v>
          </cell>
          <cell r="Q63">
            <v>1</v>
          </cell>
          <cell r="R63">
            <v>1</v>
          </cell>
          <cell r="S63">
            <v>1</v>
          </cell>
          <cell r="T63">
            <v>1</v>
          </cell>
          <cell r="U63">
            <v>1</v>
          </cell>
          <cell r="V63">
            <v>1</v>
          </cell>
          <cell r="W63">
            <v>1</v>
          </cell>
          <cell r="X63">
            <v>1</v>
          </cell>
          <cell r="Y63">
            <v>1</v>
          </cell>
          <cell r="Z63">
            <v>1</v>
          </cell>
          <cell r="AA63">
            <v>1</v>
          </cell>
          <cell r="AB63">
            <v>1</v>
          </cell>
          <cell r="AC63">
            <v>1</v>
          </cell>
          <cell r="AD63">
            <v>1</v>
          </cell>
          <cell r="AE63">
            <v>1</v>
          </cell>
          <cell r="AF63">
            <v>1</v>
          </cell>
          <cell r="AG63">
            <v>1</v>
          </cell>
          <cell r="AH63">
            <v>1</v>
          </cell>
          <cell r="AI63">
            <v>1</v>
          </cell>
          <cell r="AJ63">
            <v>1</v>
          </cell>
          <cell r="AK63">
            <v>1</v>
          </cell>
          <cell r="AL63">
            <v>1</v>
          </cell>
          <cell r="AM63">
            <v>1</v>
          </cell>
          <cell r="AN63">
            <v>1</v>
          </cell>
          <cell r="AO63">
            <v>1</v>
          </cell>
          <cell r="AP63">
            <v>1</v>
          </cell>
          <cell r="AQ63">
            <v>1</v>
          </cell>
          <cell r="AR63">
            <v>1</v>
          </cell>
          <cell r="AS63">
            <v>1</v>
          </cell>
          <cell r="AT63">
            <v>1</v>
          </cell>
        </row>
        <row r="65">
          <cell r="A65" t="str">
            <v>Revenue % Change</v>
          </cell>
        </row>
        <row r="66">
          <cell r="A66" t="str">
            <v>Jewelry</v>
          </cell>
        </row>
        <row r="67">
          <cell r="A67" t="str">
            <v>Apparel &amp; Accessories</v>
          </cell>
        </row>
        <row r="68">
          <cell r="A68" t="str">
            <v>Housewares</v>
          </cell>
        </row>
        <row r="69">
          <cell r="A69" t="str">
            <v>Electronics</v>
          </cell>
        </row>
        <row r="70">
          <cell r="A70" t="str">
            <v>Collectibles</v>
          </cell>
        </row>
        <row r="71">
          <cell r="A71" t="str">
            <v>Other</v>
          </cell>
        </row>
        <row r="72">
          <cell r="A72" t="str">
            <v xml:space="preserve">   Total Revenues</v>
          </cell>
        </row>
        <row r="73">
          <cell r="A73" t="str">
            <v>%Change</v>
          </cell>
        </row>
        <row r="82">
          <cell r="A82" t="str">
            <v>Scenario Analysis</v>
          </cell>
          <cell r="AE82">
            <v>1</v>
          </cell>
        </row>
        <row r="84">
          <cell r="A84" t="str">
            <v>Sales per FTE Growth</v>
          </cell>
          <cell r="AJ84">
            <v>0</v>
          </cell>
          <cell r="AK84">
            <v>-0.02</v>
          </cell>
          <cell r="AL84">
            <v>0.02</v>
          </cell>
          <cell r="AM84">
            <v>0.02</v>
          </cell>
          <cell r="AN84">
            <v>0.02</v>
          </cell>
          <cell r="AO84">
            <v>0.02</v>
          </cell>
          <cell r="AP84">
            <v>0.02</v>
          </cell>
          <cell r="AQ84">
            <v>0.02</v>
          </cell>
          <cell r="AR84">
            <v>0.02</v>
          </cell>
          <cell r="AS84">
            <v>0.02</v>
          </cell>
          <cell r="AT84">
            <v>0.02</v>
          </cell>
        </row>
        <row r="85">
          <cell r="A85" t="str">
            <v>Base Case</v>
          </cell>
          <cell r="AJ85">
            <v>0</v>
          </cell>
          <cell r="AK85">
            <v>-0.02</v>
          </cell>
          <cell r="AL85">
            <v>0.02</v>
          </cell>
          <cell r="AM85">
            <v>0.02</v>
          </cell>
          <cell r="AN85">
            <v>0.02</v>
          </cell>
          <cell r="AO85">
            <v>0.02</v>
          </cell>
          <cell r="AP85">
            <v>0.02</v>
          </cell>
          <cell r="AQ85">
            <v>0.02</v>
          </cell>
          <cell r="AR85">
            <v>0.02</v>
          </cell>
          <cell r="AS85">
            <v>0.02</v>
          </cell>
          <cell r="AT85">
            <v>0.02</v>
          </cell>
        </row>
        <row r="86">
          <cell r="A86" t="str">
            <v>Bear Case</v>
          </cell>
          <cell r="AJ86">
            <v>0</v>
          </cell>
          <cell r="AK86">
            <v>-9.0000000000000011E-2</v>
          </cell>
          <cell r="AL86">
            <v>-9.9999999999999985E-3</v>
          </cell>
          <cell r="AM86">
            <v>-9.9999999999999985E-3</v>
          </cell>
          <cell r="AN86">
            <v>-9.9999999999999985E-3</v>
          </cell>
          <cell r="AO86">
            <v>-9.9999999999999985E-3</v>
          </cell>
          <cell r="AP86">
            <v>-9.9999999999999985E-3</v>
          </cell>
          <cell r="AQ86">
            <v>-9.9999999999999985E-3</v>
          </cell>
          <cell r="AR86">
            <v>-9.9999999999999985E-3</v>
          </cell>
          <cell r="AS86">
            <v>-9.9999999999999985E-3</v>
          </cell>
          <cell r="AT86">
            <v>-9.9999999999999985E-3</v>
          </cell>
        </row>
        <row r="87">
          <cell r="A87" t="str">
            <v>5.0x Leverage Case</v>
          </cell>
          <cell r="AJ87">
            <v>0</v>
          </cell>
          <cell r="AK87">
            <v>-0.02</v>
          </cell>
          <cell r="AL87">
            <v>0.02</v>
          </cell>
          <cell r="AM87">
            <v>0.02</v>
          </cell>
          <cell r="AN87">
            <v>0.02</v>
          </cell>
          <cell r="AO87">
            <v>0.02</v>
          </cell>
          <cell r="AP87">
            <v>0.02</v>
          </cell>
          <cell r="AQ87">
            <v>0.02</v>
          </cell>
          <cell r="AR87">
            <v>0.02</v>
          </cell>
          <cell r="AS87">
            <v>0.02</v>
          </cell>
          <cell r="AT87">
            <v>0.02</v>
          </cell>
        </row>
        <row r="88">
          <cell r="A88" t="str">
            <v>Historical Growth</v>
          </cell>
          <cell r="AJ88">
            <v>0</v>
          </cell>
          <cell r="AK88">
            <v>-0.02</v>
          </cell>
          <cell r="AL88">
            <v>0.02</v>
          </cell>
          <cell r="AM88">
            <v>0.02</v>
          </cell>
          <cell r="AN88">
            <v>0.02</v>
          </cell>
          <cell r="AO88">
            <v>0.02</v>
          </cell>
          <cell r="AP88">
            <v>0.02</v>
          </cell>
          <cell r="AQ88">
            <v>0.02</v>
          </cell>
          <cell r="AR88">
            <v>0.02</v>
          </cell>
          <cell r="AS88">
            <v>0.02</v>
          </cell>
          <cell r="AT88">
            <v>0.02</v>
          </cell>
        </row>
        <row r="90">
          <cell r="A90" t="str">
            <v>Gross Margin</v>
          </cell>
          <cell r="AJ90">
            <v>0.39</v>
          </cell>
          <cell r="AK90">
            <v>0.39</v>
          </cell>
          <cell r="AL90">
            <v>0.39</v>
          </cell>
          <cell r="AM90">
            <v>0.39</v>
          </cell>
          <cell r="AN90">
            <v>0.39</v>
          </cell>
          <cell r="AO90">
            <v>0.39</v>
          </cell>
          <cell r="AP90">
            <v>0.39</v>
          </cell>
          <cell r="AQ90">
            <v>0.39</v>
          </cell>
          <cell r="AR90">
            <v>0.39</v>
          </cell>
          <cell r="AS90">
            <v>0.39</v>
          </cell>
          <cell r="AT90">
            <v>0.39</v>
          </cell>
        </row>
        <row r="91">
          <cell r="A91" t="str">
            <v>Base Case</v>
          </cell>
          <cell r="AJ91">
            <v>0.39</v>
          </cell>
          <cell r="AK91">
            <v>0.39</v>
          </cell>
          <cell r="AL91">
            <v>0.39</v>
          </cell>
          <cell r="AM91">
            <v>0.39</v>
          </cell>
          <cell r="AN91">
            <v>0.39</v>
          </cell>
          <cell r="AO91">
            <v>0.39</v>
          </cell>
          <cell r="AP91">
            <v>0.39</v>
          </cell>
          <cell r="AQ91">
            <v>0.39</v>
          </cell>
          <cell r="AR91">
            <v>0.39</v>
          </cell>
          <cell r="AS91">
            <v>0.39</v>
          </cell>
          <cell r="AT91">
            <v>0.39</v>
          </cell>
        </row>
        <row r="92">
          <cell r="A92" t="str">
            <v>Bear Case</v>
          </cell>
          <cell r="AJ92">
            <v>0.36299999999999999</v>
          </cell>
          <cell r="AK92">
            <v>0.36</v>
          </cell>
          <cell r="AL92">
            <v>0.375</v>
          </cell>
          <cell r="AM92">
            <v>0.39</v>
          </cell>
          <cell r="AN92">
            <v>0.39</v>
          </cell>
          <cell r="AO92">
            <v>0.39</v>
          </cell>
          <cell r="AP92">
            <v>0.39</v>
          </cell>
          <cell r="AQ92">
            <v>0.39</v>
          </cell>
          <cell r="AR92">
            <v>0.39</v>
          </cell>
          <cell r="AS92">
            <v>0.39</v>
          </cell>
          <cell r="AT92">
            <v>0.39</v>
          </cell>
        </row>
        <row r="93">
          <cell r="A93" t="str">
            <v>5.0x Leverage Case</v>
          </cell>
          <cell r="AJ93">
            <v>0.39</v>
          </cell>
          <cell r="AK93">
            <v>0.39</v>
          </cell>
          <cell r="AL93">
            <v>0.39</v>
          </cell>
          <cell r="AM93">
            <v>0.39</v>
          </cell>
          <cell r="AN93">
            <v>0.39</v>
          </cell>
          <cell r="AO93">
            <v>0.39</v>
          </cell>
          <cell r="AP93">
            <v>0.39</v>
          </cell>
          <cell r="AQ93">
            <v>0.39</v>
          </cell>
          <cell r="AR93">
            <v>0.39</v>
          </cell>
          <cell r="AS93">
            <v>0.39</v>
          </cell>
          <cell r="AT93">
            <v>0.39</v>
          </cell>
        </row>
        <row r="94">
          <cell r="A94" t="str">
            <v>Historical Growth</v>
          </cell>
          <cell r="AJ94">
            <v>0.39</v>
          </cell>
          <cell r="AK94">
            <v>0.39</v>
          </cell>
          <cell r="AL94">
            <v>0.39</v>
          </cell>
          <cell r="AM94">
            <v>0.39</v>
          </cell>
          <cell r="AN94">
            <v>0.39</v>
          </cell>
          <cell r="AO94">
            <v>0.39</v>
          </cell>
          <cell r="AP94">
            <v>0.39</v>
          </cell>
          <cell r="AQ94">
            <v>0.39</v>
          </cell>
          <cell r="AR94">
            <v>0.39</v>
          </cell>
          <cell r="AS94">
            <v>0.39</v>
          </cell>
          <cell r="AT94">
            <v>0.39</v>
          </cell>
        </row>
      </sheetData>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__FDSCACHE__"/>
      <sheetName val="IS"/>
      <sheetName val="BS"/>
      <sheetName val="CF"/>
      <sheetName val="DCFOld"/>
      <sheetName val="Lease"/>
      <sheetName val="Valuation"/>
      <sheetName val="Markets"/>
      <sheetName val="Estimates"/>
      <sheetName val="Core Growth Analysis"/>
      <sheetName val="Exhibits"/>
      <sheetName val="Links"/>
      <sheetName val="mwareSettings"/>
      <sheetName val="mwareDates"/>
      <sheetName val="MWA RR"/>
      <sheetName val="__APW_ACTIVE_FIELD_RESTORE__"/>
      <sheetName val="MW-Cache"/>
      <sheetName val="NY UPLOAD shadow"/>
      <sheetName val="mStartup"/>
    </sheetNames>
    <sheetDataSet>
      <sheetData sheetId="0" refreshError="1"/>
      <sheetData sheetId="1" refreshError="1"/>
      <sheetData sheetId="2" refreshError="1">
        <row r="1">
          <cell r="A1" t="str">
            <v>Simon Flannery / simon.flannery@morganstanley.com / 212-761-6432</v>
          </cell>
          <cell r="D1" t="str">
            <v>AMT</v>
          </cell>
          <cell r="E1">
            <v>37987</v>
          </cell>
          <cell r="F1">
            <v>38353</v>
          </cell>
          <cell r="G1">
            <v>38718</v>
          </cell>
          <cell r="H1">
            <v>39083</v>
          </cell>
          <cell r="I1">
            <v>39448</v>
          </cell>
          <cell r="J1">
            <v>39814</v>
          </cell>
          <cell r="K1">
            <v>40179</v>
          </cell>
          <cell r="L1">
            <v>40544</v>
          </cell>
          <cell r="Y1">
            <v>37257</v>
          </cell>
          <cell r="Z1">
            <v>37347</v>
          </cell>
          <cell r="AA1">
            <v>37438</v>
          </cell>
          <cell r="AB1">
            <v>37530</v>
          </cell>
          <cell r="AC1">
            <v>37622</v>
          </cell>
          <cell r="AD1">
            <v>37712</v>
          </cell>
          <cell r="AE1">
            <v>37803</v>
          </cell>
          <cell r="AF1">
            <v>37895</v>
          </cell>
          <cell r="AG1">
            <v>37987</v>
          </cell>
          <cell r="AH1">
            <v>38078</v>
          </cell>
          <cell r="AI1">
            <v>38169</v>
          </cell>
          <cell r="AJ1">
            <v>38261</v>
          </cell>
          <cell r="AK1">
            <v>38353</v>
          </cell>
          <cell r="AL1">
            <v>38443</v>
          </cell>
          <cell r="AM1">
            <v>38534</v>
          </cell>
          <cell r="AN1">
            <v>38626</v>
          </cell>
          <cell r="AO1">
            <v>38718</v>
          </cell>
          <cell r="AP1">
            <v>38808</v>
          </cell>
          <cell r="AQ1">
            <v>38899</v>
          </cell>
          <cell r="AR1">
            <v>38991</v>
          </cell>
          <cell r="AS1">
            <v>39083</v>
          </cell>
          <cell r="AT1">
            <v>39173</v>
          </cell>
          <cell r="AU1">
            <v>39264</v>
          </cell>
          <cell r="AV1">
            <v>39356</v>
          </cell>
          <cell r="AW1">
            <v>39448</v>
          </cell>
          <cell r="AX1">
            <v>39539</v>
          </cell>
          <cell r="AY1">
            <v>39630</v>
          </cell>
          <cell r="AZ1">
            <v>39722</v>
          </cell>
          <cell r="BA1">
            <v>39814</v>
          </cell>
          <cell r="BB1">
            <v>39904</v>
          </cell>
          <cell r="BC1">
            <v>39995</v>
          </cell>
          <cell r="BD1">
            <v>40087</v>
          </cell>
          <cell r="BE1">
            <v>40179</v>
          </cell>
          <cell r="BF1">
            <v>40269</v>
          </cell>
          <cell r="BG1">
            <v>40360</v>
          </cell>
          <cell r="BH1">
            <v>40452</v>
          </cell>
          <cell r="BI1">
            <v>40544</v>
          </cell>
          <cell r="BJ1">
            <v>40634</v>
          </cell>
          <cell r="BK1">
            <v>40725</v>
          </cell>
          <cell r="BL1">
            <v>40817</v>
          </cell>
          <cell r="BV1" t="str">
            <v>ElementName</v>
          </cell>
          <cell r="BW1" t="str">
            <v>ScaleOverride</v>
          </cell>
          <cell r="BX1" t="str">
            <v>UnitOverride</v>
          </cell>
          <cell r="BY1" t="str">
            <v>ReverseSign</v>
          </cell>
          <cell r="BZ1" t="str">
            <v>IsDrivingAssumption</v>
          </cell>
          <cell r="CA1" t="str">
            <v>SegmentID</v>
          </cell>
        </row>
        <row r="2">
          <cell r="A2" t="str">
            <v>American Tower</v>
          </cell>
          <cell r="E2">
            <v>38352</v>
          </cell>
          <cell r="F2">
            <v>38717</v>
          </cell>
          <cell r="G2">
            <v>39082</v>
          </cell>
          <cell r="H2">
            <v>39447</v>
          </cell>
          <cell r="I2">
            <v>39813</v>
          </cell>
          <cell r="J2">
            <v>40178</v>
          </cell>
          <cell r="K2">
            <v>40543</v>
          </cell>
          <cell r="L2">
            <v>40908</v>
          </cell>
          <cell r="Y2">
            <v>37346</v>
          </cell>
          <cell r="Z2">
            <v>37437</v>
          </cell>
          <cell r="AA2">
            <v>37529</v>
          </cell>
          <cell r="AB2">
            <v>37621</v>
          </cell>
          <cell r="AC2">
            <v>37711</v>
          </cell>
          <cell r="AD2">
            <v>37802</v>
          </cell>
          <cell r="AE2">
            <v>37894</v>
          </cell>
          <cell r="AF2">
            <v>37986</v>
          </cell>
          <cell r="AG2">
            <v>38077</v>
          </cell>
          <cell r="AH2">
            <v>38168</v>
          </cell>
          <cell r="AI2">
            <v>38260</v>
          </cell>
          <cell r="AJ2">
            <v>38352</v>
          </cell>
          <cell r="AK2">
            <v>38442</v>
          </cell>
          <cell r="AL2">
            <v>38533</v>
          </cell>
          <cell r="AM2">
            <v>38625</v>
          </cell>
          <cell r="AN2">
            <v>38717</v>
          </cell>
          <cell r="AO2">
            <v>38807</v>
          </cell>
          <cell r="AP2">
            <v>38898</v>
          </cell>
          <cell r="AQ2">
            <v>38990</v>
          </cell>
          <cell r="AR2">
            <v>39082</v>
          </cell>
          <cell r="AS2">
            <v>39172</v>
          </cell>
          <cell r="AT2">
            <v>39263</v>
          </cell>
          <cell r="AU2">
            <v>39355</v>
          </cell>
          <cell r="AV2">
            <v>39447</v>
          </cell>
          <cell r="AW2">
            <v>39538</v>
          </cell>
          <cell r="AX2">
            <v>39629</v>
          </cell>
          <cell r="AY2">
            <v>39721</v>
          </cell>
          <cell r="AZ2">
            <v>39813</v>
          </cell>
          <cell r="BA2">
            <v>39903</v>
          </cell>
          <cell r="BB2">
            <v>39994</v>
          </cell>
          <cell r="BC2">
            <v>40086</v>
          </cell>
          <cell r="BD2">
            <v>40178</v>
          </cell>
          <cell r="BE2">
            <v>40268</v>
          </cell>
          <cell r="BF2">
            <v>40359</v>
          </cell>
          <cell r="BG2">
            <v>40451</v>
          </cell>
          <cell r="BH2">
            <v>40543</v>
          </cell>
          <cell r="BI2">
            <v>40633</v>
          </cell>
          <cell r="BJ2">
            <v>40724</v>
          </cell>
          <cell r="BK2">
            <v>40816</v>
          </cell>
          <cell r="BL2">
            <v>40908</v>
          </cell>
        </row>
        <row r="3">
          <cell r="A3" t="str">
            <v>Income Statement</v>
          </cell>
        </row>
        <row r="8">
          <cell r="A8" t="str">
            <v>Calendar Year Ending Dec. 31</v>
          </cell>
          <cell r="G8" t="str">
            <v>Calendar Year</v>
          </cell>
          <cell r="W8" t="str">
            <v>CAGR</v>
          </cell>
          <cell r="Y8" t="str">
            <v>2002A</v>
          </cell>
          <cell r="AC8" t="str">
            <v>2003A</v>
          </cell>
          <cell r="AG8" t="str">
            <v>2004A</v>
          </cell>
          <cell r="AK8" t="str">
            <v>2005A</v>
          </cell>
          <cell r="AO8" t="str">
            <v>2006A</v>
          </cell>
          <cell r="AS8" t="str">
            <v>2007A</v>
          </cell>
          <cell r="AW8" t="str">
            <v>2008A</v>
          </cell>
          <cell r="BA8" t="str">
            <v>2009A</v>
          </cell>
          <cell r="BE8" t="str">
            <v>2010A</v>
          </cell>
          <cell r="BI8" t="str">
            <v>2011E</v>
          </cell>
          <cell r="BM8" t="str">
            <v>2012E</v>
          </cell>
          <cell r="BQ8" t="str">
            <v>2013E</v>
          </cell>
        </row>
        <row r="9">
          <cell r="C9" t="str">
            <v>2002A</v>
          </cell>
          <cell r="D9" t="str">
            <v>2003A</v>
          </cell>
          <cell r="E9" t="str">
            <v>2004A</v>
          </cell>
          <cell r="F9" t="str">
            <v>2005A</v>
          </cell>
          <cell r="G9" t="str">
            <v>2006A</v>
          </cell>
          <cell r="H9" t="str">
            <v>2007A</v>
          </cell>
          <cell r="I9" t="str">
            <v>2008A</v>
          </cell>
          <cell r="J9" t="str">
            <v>2009A</v>
          </cell>
          <cell r="K9" t="str">
            <v>2010A</v>
          </cell>
          <cell r="L9" t="str">
            <v>2011E</v>
          </cell>
          <cell r="M9" t="str">
            <v>2012E</v>
          </cell>
          <cell r="N9" t="str">
            <v>2013E</v>
          </cell>
          <cell r="O9" t="str">
            <v>2014E</v>
          </cell>
          <cell r="P9" t="str">
            <v>2015E</v>
          </cell>
          <cell r="Q9" t="str">
            <v>2016E</v>
          </cell>
          <cell r="R9" t="str">
            <v>2017E</v>
          </cell>
          <cell r="S9" t="str">
            <v>2018E</v>
          </cell>
          <cell r="T9" t="str">
            <v>2019E</v>
          </cell>
          <cell r="U9" t="str">
            <v>2020E</v>
          </cell>
          <cell r="V9" t="str">
            <v>2021E</v>
          </cell>
          <cell r="W9" t="str">
            <v>'10-'13</v>
          </cell>
          <cell r="Y9" t="str">
            <v>Mar</v>
          </cell>
          <cell r="Z9" t="str">
            <v>Jun</v>
          </cell>
          <cell r="AA9" t="str">
            <v>Sep</v>
          </cell>
          <cell r="AB9" t="str">
            <v>Dec</v>
          </cell>
          <cell r="AC9" t="str">
            <v>Mar</v>
          </cell>
          <cell r="AD9" t="str">
            <v>Jun</v>
          </cell>
          <cell r="AE9" t="str">
            <v>Sep</v>
          </cell>
          <cell r="AF9" t="str">
            <v>Dec</v>
          </cell>
          <cell r="AG9" t="str">
            <v>Mar</v>
          </cell>
          <cell r="AH9" t="str">
            <v>Jun</v>
          </cell>
          <cell r="AI9" t="str">
            <v>Sep</v>
          </cell>
          <cell r="AJ9" t="str">
            <v>Dec</v>
          </cell>
          <cell r="AK9" t="str">
            <v>Mar</v>
          </cell>
          <cell r="AL9" t="str">
            <v>Jun</v>
          </cell>
          <cell r="AM9" t="str">
            <v>Sep</v>
          </cell>
          <cell r="AN9" t="str">
            <v>Dec</v>
          </cell>
          <cell r="AO9" t="str">
            <v>Mar</v>
          </cell>
          <cell r="AP9" t="str">
            <v>Jun</v>
          </cell>
          <cell r="AQ9" t="str">
            <v>Sep</v>
          </cell>
          <cell r="AR9" t="str">
            <v>Dec</v>
          </cell>
          <cell r="AS9" t="str">
            <v>Mar</v>
          </cell>
          <cell r="AT9" t="str">
            <v>Jun</v>
          </cell>
          <cell r="AU9" t="str">
            <v>Sep</v>
          </cell>
          <cell r="AV9" t="str">
            <v>Dec</v>
          </cell>
          <cell r="AW9" t="str">
            <v>Mar</v>
          </cell>
          <cell r="AX9" t="str">
            <v>Jun</v>
          </cell>
          <cell r="AY9" t="str">
            <v>Sep</v>
          </cell>
          <cell r="AZ9" t="str">
            <v>Dec</v>
          </cell>
          <cell r="BA9" t="str">
            <v>Mar</v>
          </cell>
          <cell r="BB9" t="str">
            <v>Jun</v>
          </cell>
          <cell r="BC9" t="str">
            <v>Sep</v>
          </cell>
          <cell r="BD9" t="str">
            <v>Dec</v>
          </cell>
          <cell r="BE9" t="str">
            <v>Mar</v>
          </cell>
          <cell r="BF9" t="str">
            <v>Jun</v>
          </cell>
          <cell r="BG9" t="str">
            <v>Sep</v>
          </cell>
          <cell r="BH9" t="str">
            <v>Dec</v>
          </cell>
          <cell r="BI9" t="str">
            <v>Mar (A)</v>
          </cell>
          <cell r="BJ9" t="str">
            <v>Jun (A)</v>
          </cell>
          <cell r="BK9" t="str">
            <v>Sep (A)</v>
          </cell>
          <cell r="BL9" t="str">
            <v>Dec</v>
          </cell>
          <cell r="BM9" t="str">
            <v>Mar</v>
          </cell>
          <cell r="BN9" t="str">
            <v>Jun</v>
          </cell>
          <cell r="BO9" t="str">
            <v>Sep</v>
          </cell>
          <cell r="BP9" t="str">
            <v>Dec</v>
          </cell>
          <cell r="BQ9" t="str">
            <v>Mar</v>
          </cell>
          <cell r="BR9" t="str">
            <v>Jun</v>
          </cell>
          <cell r="BS9" t="str">
            <v>Sep</v>
          </cell>
          <cell r="BT9" t="str">
            <v>Dec</v>
          </cell>
        </row>
        <row r="11">
          <cell r="A11" t="str">
            <v>Rental &amp; Management</v>
          </cell>
          <cell r="C11">
            <v>544.90599999999995</v>
          </cell>
          <cell r="D11">
            <v>619.697</v>
          </cell>
          <cell r="E11">
            <v>684.42200000000003</v>
          </cell>
          <cell r="F11">
            <v>929.76199999999994</v>
          </cell>
          <cell r="G11">
            <v>1294.068</v>
          </cell>
          <cell r="H11">
            <v>1425.9749999999999</v>
          </cell>
          <cell r="I11">
            <v>1547.0349999999999</v>
          </cell>
          <cell r="J11">
            <v>1668.42</v>
          </cell>
          <cell r="K11">
            <v>1936.373</v>
          </cell>
          <cell r="L11">
            <v>2381.7024906660486</v>
          </cell>
          <cell r="M11">
            <v>2846.8693051028599</v>
          </cell>
          <cell r="N11">
            <v>3160.4611101080582</v>
          </cell>
          <cell r="O11">
            <v>3319.9787698670475</v>
          </cell>
          <cell r="P11">
            <v>3456.7758156046893</v>
          </cell>
          <cell r="Q11">
            <v>3588.3447707572486</v>
          </cell>
          <cell r="R11">
            <v>3705.4709632038562</v>
          </cell>
          <cell r="S11">
            <v>3807.7157590556089</v>
          </cell>
          <cell r="T11">
            <v>3894.1110757692722</v>
          </cell>
          <cell r="U11">
            <v>3962.283171550358</v>
          </cell>
          <cell r="V11">
            <v>4014.1831371612539</v>
          </cell>
          <cell r="W11">
            <v>0.17739036476750236</v>
          </cell>
          <cell r="Y11">
            <v>126.601</v>
          </cell>
          <cell r="Z11">
            <v>132.017</v>
          </cell>
          <cell r="AA11">
            <v>138.16</v>
          </cell>
          <cell r="AB11">
            <v>148.12799999999999</v>
          </cell>
          <cell r="AC11">
            <v>146.46199999999999</v>
          </cell>
          <cell r="AD11">
            <v>151.916</v>
          </cell>
          <cell r="AE11">
            <v>158.19300000000001</v>
          </cell>
          <cell r="AF11">
            <v>163.126</v>
          </cell>
          <cell r="AG11">
            <v>164.57599999999999</v>
          </cell>
          <cell r="AH11">
            <v>167.58699999999999</v>
          </cell>
          <cell r="AI11">
            <v>174.946</v>
          </cell>
          <cell r="AJ11">
            <v>177.31299999999999</v>
          </cell>
          <cell r="AK11">
            <v>181.57</v>
          </cell>
          <cell r="AL11">
            <v>184.60900000000001</v>
          </cell>
          <cell r="AM11">
            <v>260.791</v>
          </cell>
          <cell r="AN11">
            <v>302.79199999999997</v>
          </cell>
          <cell r="AO11">
            <v>316.25900000000001</v>
          </cell>
          <cell r="AP11">
            <v>320.16899999999998</v>
          </cell>
          <cell r="AQ11">
            <v>326.40300000000002</v>
          </cell>
          <cell r="AR11">
            <v>331.23700000000002</v>
          </cell>
          <cell r="AS11">
            <v>346.029</v>
          </cell>
          <cell r="AT11">
            <v>350.77499999999998</v>
          </cell>
          <cell r="AU11">
            <v>358.62299999999999</v>
          </cell>
          <cell r="AV11">
            <v>370.548</v>
          </cell>
          <cell r="AW11">
            <v>373.983</v>
          </cell>
          <cell r="AX11">
            <v>384.34300000000002</v>
          </cell>
          <cell r="AY11">
            <v>394.39600000000002</v>
          </cell>
          <cell r="AZ11">
            <v>394.31299999999999</v>
          </cell>
          <cell r="BA11">
            <v>395.947</v>
          </cell>
          <cell r="BB11">
            <v>406.75099999999998</v>
          </cell>
          <cell r="BC11">
            <v>430.52499999999998</v>
          </cell>
          <cell r="BD11">
            <v>435.197</v>
          </cell>
          <cell r="BE11">
            <v>443.81799999999998</v>
          </cell>
          <cell r="BF11">
            <v>456.48099999999999</v>
          </cell>
          <cell r="BG11">
            <v>499.82100000000003</v>
          </cell>
          <cell r="BH11">
            <v>536.25300000000004</v>
          </cell>
          <cell r="BI11">
            <v>546.65499999999997</v>
          </cell>
          <cell r="BJ11">
            <v>583.83900000000006</v>
          </cell>
          <cell r="BK11">
            <v>614.80799999999999</v>
          </cell>
          <cell r="BL11">
            <v>636.40049066604831</v>
          </cell>
          <cell r="BM11">
            <v>648.54285104564417</v>
          </cell>
          <cell r="BN11">
            <v>702.43901897870387</v>
          </cell>
          <cell r="BO11">
            <v>735.46846086461073</v>
          </cell>
          <cell r="BP11">
            <v>760.41897421390115</v>
          </cell>
          <cell r="BQ11">
            <v>756.27633786162153</v>
          </cell>
          <cell r="BR11">
            <v>782.43884832962499</v>
          </cell>
          <cell r="BS11">
            <v>803.8051447729531</v>
          </cell>
          <cell r="BT11">
            <v>817.94077914385855</v>
          </cell>
        </row>
        <row r="12">
          <cell r="A12" t="str">
            <v>Seq. revenue growth</v>
          </cell>
          <cell r="BA12">
            <v>4.14391612754339E-3</v>
          </cell>
          <cell r="BB12">
            <v>2.7286480261246915E-2</v>
          </cell>
          <cell r="BC12">
            <v>5.8448534853018153E-2</v>
          </cell>
          <cell r="BD12">
            <v>1.0851866906683716E-2</v>
          </cell>
          <cell r="BE12">
            <v>1.9809419642139003E-2</v>
          </cell>
          <cell r="BF12">
            <v>2.8531965805803194E-2</v>
          </cell>
          <cell r="BG12">
            <v>9.4943710691135053E-2</v>
          </cell>
          <cell r="BH12">
            <v>7.2890094653886184E-2</v>
          </cell>
          <cell r="BI12">
            <v>1.9397560479847975E-2</v>
          </cell>
          <cell r="BJ12">
            <v>6.8020963862033712E-2</v>
          </cell>
          <cell r="BK12">
            <v>5.3043732946925326E-2</v>
          </cell>
          <cell r="BL12">
            <v>3.5120705433319577E-2</v>
          </cell>
          <cell r="BM12">
            <v>1.9079747042444639E-2</v>
          </cell>
          <cell r="BN12">
            <v>8.3103480126506701E-2</v>
          </cell>
          <cell r="BO12">
            <v>4.7021080824822814E-2</v>
          </cell>
          <cell r="BP12">
            <v>3.392465438961012E-2</v>
          </cell>
          <cell r="BQ12">
            <v>-5.4478340135609704E-3</v>
          </cell>
          <cell r="BR12">
            <v>3.4593850366888557E-2</v>
          </cell>
          <cell r="BS12">
            <v>2.7307305214895106E-2</v>
          </cell>
          <cell r="BT12">
            <v>1.7585896859242167E-2</v>
          </cell>
        </row>
        <row r="13">
          <cell r="A13" t="str">
            <v>Y/Y revenue growth</v>
          </cell>
          <cell r="D13">
            <v>0.13725486597688419</v>
          </cell>
          <cell r="E13">
            <v>0.10444620516155489</v>
          </cell>
          <cell r="F13">
            <v>0.35846305349623475</v>
          </cell>
          <cell r="G13">
            <v>0.39182715576674476</v>
          </cell>
          <cell r="H13">
            <v>0.10193204684761548</v>
          </cell>
          <cell r="I13">
            <v>8.4896299023475175E-2</v>
          </cell>
          <cell r="J13">
            <v>7.8462995342704067E-2</v>
          </cell>
          <cell r="K13">
            <v>0.16060284580621187</v>
          </cell>
          <cell r="L13">
            <v>0.22998125395574531</v>
          </cell>
          <cell r="M13">
            <v>0.19530853087646838</v>
          </cell>
          <cell r="N13">
            <v>0.11015321442508852</v>
          </cell>
          <cell r="O13">
            <v>5.0472907022587998E-2</v>
          </cell>
          <cell r="P13">
            <v>4.1204192924137351E-2</v>
          </cell>
          <cell r="Q13">
            <v>3.8061176706521316E-2</v>
          </cell>
          <cell r="R13">
            <v>3.2640729898952836E-2</v>
          </cell>
          <cell r="S13">
            <v>2.7592928636350544E-2</v>
          </cell>
          <cell r="T13">
            <v>2.2689539393321523E-2</v>
          </cell>
          <cell r="U13">
            <v>1.7506458972184946E-2</v>
          </cell>
          <cell r="V13">
            <v>1.3098499870868308E-2</v>
          </cell>
          <cell r="BA13">
            <v>5.8729942270103086E-2</v>
          </cell>
          <cell r="BB13">
            <v>5.8302089539812085E-2</v>
          </cell>
          <cell r="BC13">
            <v>9.1605898639945504E-2</v>
          </cell>
          <cell r="BD13">
            <v>0.10368412910555835</v>
          </cell>
          <cell r="BE13">
            <v>0.12090254503759335</v>
          </cell>
          <cell r="BF13">
            <v>0.12226153101037252</v>
          </cell>
          <cell r="BG13">
            <v>0.16095697113988749</v>
          </cell>
          <cell r="BH13">
            <v>0.23220748304790706</v>
          </cell>
          <cell r="BI13">
            <v>0.23170984502656489</v>
          </cell>
          <cell r="BJ13">
            <v>0.27899956405633541</v>
          </cell>
          <cell r="BK13">
            <v>0.2300563601769432</v>
          </cell>
          <cell r="BL13">
            <v>0.18675418257063048</v>
          </cell>
          <cell r="BM13">
            <v>0.1863841930388348</v>
          </cell>
          <cell r="BN13">
            <v>0.20313822642664126</v>
          </cell>
          <cell r="BO13">
            <v>0.19625714184690302</v>
          </cell>
          <cell r="BP13">
            <v>0.19487490246598771</v>
          </cell>
          <cell r="BQ13">
            <v>0.16611621983386127</v>
          </cell>
          <cell r="BR13">
            <v>0.11388864682835398</v>
          </cell>
          <cell r="BS13">
            <v>9.2915859135558776E-2</v>
          </cell>
          <cell r="BT13">
            <v>7.5644883781893713E-2</v>
          </cell>
        </row>
        <row r="14">
          <cell r="A14" t="str">
            <v>Network Development Svcs.</v>
          </cell>
          <cell r="C14">
            <v>159.91800000000001</v>
          </cell>
          <cell r="D14">
            <v>70.073000000000008</v>
          </cell>
          <cell r="E14">
            <v>22.238</v>
          </cell>
          <cell r="F14">
            <v>15.024000000000001</v>
          </cell>
          <cell r="G14">
            <v>23.317</v>
          </cell>
          <cell r="H14">
            <v>30.619</v>
          </cell>
          <cell r="I14">
            <v>46.468999999999994</v>
          </cell>
          <cell r="J14">
            <v>55.694000000000003</v>
          </cell>
          <cell r="K14">
            <v>48.962000000000003</v>
          </cell>
          <cell r="L14">
            <v>60.781950000000002</v>
          </cell>
          <cell r="M14">
            <v>64.594724862259511</v>
          </cell>
          <cell r="N14">
            <v>67.217529716513937</v>
          </cell>
          <cell r="O14">
            <v>68.561880310844217</v>
          </cell>
          <cell r="P14">
            <v>69.933117917061097</v>
          </cell>
          <cell r="Q14">
            <v>71.331780275402323</v>
          </cell>
          <cell r="R14">
            <v>72.758415880910377</v>
          </cell>
          <cell r="S14">
            <v>73.486000039719485</v>
          </cell>
          <cell r="T14">
            <v>74.220860040116676</v>
          </cell>
          <cell r="U14">
            <v>74.963068640517847</v>
          </cell>
          <cell r="V14">
            <v>75.71269932692303</v>
          </cell>
          <cell r="W14">
            <v>0.11141042488977182</v>
          </cell>
          <cell r="Y14">
            <v>60.015000000000001</v>
          </cell>
          <cell r="Z14">
            <v>33.82</v>
          </cell>
          <cell r="AA14">
            <v>36.786000000000001</v>
          </cell>
          <cell r="AB14">
            <v>29.297000000000001</v>
          </cell>
          <cell r="AC14">
            <v>15.005000000000001</v>
          </cell>
          <cell r="AD14">
            <v>23.366</v>
          </cell>
          <cell r="AE14">
            <v>28.681000000000001</v>
          </cell>
          <cell r="AF14">
            <v>3.0209999999999999</v>
          </cell>
          <cell r="AG14">
            <v>4.2149999999999999</v>
          </cell>
          <cell r="AH14">
            <v>4.7050000000000001</v>
          </cell>
          <cell r="AI14">
            <v>5.9349999999999996</v>
          </cell>
          <cell r="AJ14">
            <v>7.383</v>
          </cell>
          <cell r="AK14">
            <v>2.7850000000000001</v>
          </cell>
          <cell r="AL14">
            <v>3.4510000000000001</v>
          </cell>
          <cell r="AM14">
            <v>3.9550000000000001</v>
          </cell>
          <cell r="AN14">
            <v>4.8330000000000002</v>
          </cell>
          <cell r="AO14">
            <v>4.1500000000000004</v>
          </cell>
          <cell r="AP14">
            <v>5.694</v>
          </cell>
          <cell r="AQ14">
            <v>7.0640000000000001</v>
          </cell>
          <cell r="AR14">
            <v>6.4089999999999998</v>
          </cell>
          <cell r="AS14">
            <v>6.4450000000000003</v>
          </cell>
          <cell r="AT14">
            <v>7.6479999999999997</v>
          </cell>
          <cell r="AU14">
            <v>8.9619999999999997</v>
          </cell>
          <cell r="AV14">
            <v>7.5640000000000001</v>
          </cell>
          <cell r="AW14">
            <v>8.2010000000000005</v>
          </cell>
          <cell r="AX14">
            <v>9.3849999999999998</v>
          </cell>
          <cell r="AY14">
            <v>14.872</v>
          </cell>
          <cell r="AZ14">
            <v>14.010999999999999</v>
          </cell>
          <cell r="BA14">
            <v>12.731</v>
          </cell>
          <cell r="BB14">
            <v>16.606999999999999</v>
          </cell>
          <cell r="BC14">
            <v>13.58</v>
          </cell>
          <cell r="BD14">
            <v>12.776</v>
          </cell>
          <cell r="BE14">
            <v>10.616</v>
          </cell>
          <cell r="BF14">
            <v>13.456</v>
          </cell>
          <cell r="BG14">
            <v>13.500999999999999</v>
          </cell>
          <cell r="BH14">
            <v>11.388999999999999</v>
          </cell>
          <cell r="BI14">
            <v>16.04</v>
          </cell>
          <cell r="BJ14">
            <v>13.396000000000001</v>
          </cell>
          <cell r="BK14">
            <v>15.595000000000001</v>
          </cell>
          <cell r="BL14">
            <v>15.750950000000001</v>
          </cell>
          <cell r="BM14">
            <v>15.908459500000001</v>
          </cell>
          <cell r="BN14">
            <v>16.067544095000002</v>
          </cell>
          <cell r="BO14">
            <v>16.228219535950004</v>
          </cell>
          <cell r="BP14">
            <v>16.390501731309502</v>
          </cell>
          <cell r="BQ14">
            <v>16.554406748622597</v>
          </cell>
          <cell r="BR14">
            <v>16.719950816108824</v>
          </cell>
          <cell r="BS14">
            <v>16.887150324269911</v>
          </cell>
          <cell r="BT14">
            <v>17.056021827512609</v>
          </cell>
        </row>
        <row r="15">
          <cell r="A15" t="str">
            <v>Total Revenues</v>
          </cell>
          <cell r="C15">
            <v>704.82399999999996</v>
          </cell>
          <cell r="D15">
            <v>689.77</v>
          </cell>
          <cell r="E15">
            <v>706.66000000000008</v>
          </cell>
          <cell r="F15">
            <v>944.78599999999994</v>
          </cell>
          <cell r="G15">
            <v>1317.385</v>
          </cell>
          <cell r="H15">
            <v>1456.5939999999998</v>
          </cell>
          <cell r="I15">
            <v>1593.5039999999999</v>
          </cell>
          <cell r="J15">
            <v>1724.114</v>
          </cell>
          <cell r="K15">
            <v>1985.335</v>
          </cell>
          <cell r="L15">
            <v>2442.4844406660486</v>
          </cell>
          <cell r="M15">
            <v>2911.4640299651196</v>
          </cell>
          <cell r="N15">
            <v>3227.6786398245722</v>
          </cell>
          <cell r="O15">
            <v>3388.5406501778916</v>
          </cell>
          <cell r="P15">
            <v>3526.7089335217506</v>
          </cell>
          <cell r="Q15">
            <v>3659.6765510326509</v>
          </cell>
          <cell r="R15">
            <v>3778.2293790847666</v>
          </cell>
          <cell r="S15">
            <v>3881.2017590953283</v>
          </cell>
          <cell r="T15">
            <v>3968.3319358093891</v>
          </cell>
          <cell r="U15">
            <v>4037.2462401908761</v>
          </cell>
          <cell r="V15">
            <v>4089.8958364881769</v>
          </cell>
          <cell r="W15">
            <v>0.1758506486339948</v>
          </cell>
          <cell r="Y15">
            <v>186.61599999999999</v>
          </cell>
          <cell r="Z15">
            <v>165.83699999999999</v>
          </cell>
          <cell r="AA15">
            <v>174.946</v>
          </cell>
          <cell r="AB15">
            <v>177.42499999999998</v>
          </cell>
          <cell r="AC15">
            <v>161.46699999999998</v>
          </cell>
          <cell r="AD15">
            <v>175.28199999999998</v>
          </cell>
          <cell r="AE15">
            <v>186.87400000000002</v>
          </cell>
          <cell r="AF15">
            <v>166.14699999999999</v>
          </cell>
          <cell r="AG15">
            <v>168.791</v>
          </cell>
          <cell r="AH15">
            <v>172.292</v>
          </cell>
          <cell r="AI15">
            <v>180.881</v>
          </cell>
          <cell r="AJ15">
            <v>184.696</v>
          </cell>
          <cell r="AK15">
            <v>184.35499999999999</v>
          </cell>
          <cell r="AL15">
            <v>188.06</v>
          </cell>
          <cell r="AM15">
            <v>264.74599999999998</v>
          </cell>
          <cell r="AN15">
            <v>307.625</v>
          </cell>
          <cell r="AO15">
            <v>320.40899999999999</v>
          </cell>
          <cell r="AP15">
            <v>325.863</v>
          </cell>
          <cell r="AQ15">
            <v>333.46700000000004</v>
          </cell>
          <cell r="AR15">
            <v>337.64600000000002</v>
          </cell>
          <cell r="AS15">
            <v>352.47399999999999</v>
          </cell>
          <cell r="AT15">
            <v>358.423</v>
          </cell>
          <cell r="AU15">
            <v>367.58499999999998</v>
          </cell>
          <cell r="AV15">
            <v>378.11200000000002</v>
          </cell>
          <cell r="AW15">
            <v>382.18400000000003</v>
          </cell>
          <cell r="AX15">
            <v>393.72800000000001</v>
          </cell>
          <cell r="AY15">
            <v>409.26800000000003</v>
          </cell>
          <cell r="AZ15">
            <v>408.32400000000001</v>
          </cell>
          <cell r="BA15">
            <v>408.678</v>
          </cell>
          <cell r="BB15">
            <v>423.35799999999995</v>
          </cell>
          <cell r="BC15">
            <v>444.10499999999996</v>
          </cell>
          <cell r="BD15">
            <v>447.97300000000001</v>
          </cell>
          <cell r="BE15">
            <v>454.43399999999997</v>
          </cell>
          <cell r="BF15">
            <v>469.93700000000001</v>
          </cell>
          <cell r="BG15">
            <v>513.322</v>
          </cell>
          <cell r="BH15">
            <v>547.64200000000005</v>
          </cell>
          <cell r="BI15">
            <v>562.69499999999994</v>
          </cell>
          <cell r="BJ15">
            <v>597.23500000000001</v>
          </cell>
          <cell r="BK15">
            <v>630.40300000000002</v>
          </cell>
          <cell r="BL15">
            <v>652.1514406660483</v>
          </cell>
          <cell r="BM15">
            <v>664.45131054564422</v>
          </cell>
          <cell r="BN15">
            <v>718.50656307370389</v>
          </cell>
          <cell r="BO15">
            <v>751.69668040056069</v>
          </cell>
          <cell r="BP15">
            <v>776.80947594521069</v>
          </cell>
          <cell r="BQ15">
            <v>772.8307446102441</v>
          </cell>
          <cell r="BR15">
            <v>799.15879914573384</v>
          </cell>
          <cell r="BS15">
            <v>820.692295097223</v>
          </cell>
          <cell r="BT15">
            <v>834.99680097137116</v>
          </cell>
          <cell r="BV15" t="str">
            <v>mstag:revenueNet</v>
          </cell>
          <cell r="BW15">
            <v>6</v>
          </cell>
          <cell r="BX15" t="str">
            <v>ISO4217:USD</v>
          </cell>
          <cell r="BY15" t="b">
            <v>0</v>
          </cell>
          <cell r="BZ15" t="b">
            <v>0</v>
          </cell>
        </row>
        <row r="16">
          <cell r="A16" t="str">
            <v>Seq. revenue growth</v>
          </cell>
          <cell r="BA16">
            <v>8.6695859170649037E-4</v>
          </cell>
          <cell r="BB16">
            <v>3.5920700404719508E-2</v>
          </cell>
          <cell r="BC16">
            <v>4.9005805960912641E-2</v>
          </cell>
          <cell r="BD16">
            <v>8.7096519967126973E-3</v>
          </cell>
          <cell r="BE16">
            <v>1.4422744227888584E-2</v>
          </cell>
          <cell r="BF16">
            <v>3.4114964989415464E-2</v>
          </cell>
          <cell r="BG16">
            <v>9.232088556551199E-2</v>
          </cell>
          <cell r="BH16">
            <v>6.6858618956522564E-2</v>
          </cell>
          <cell r="BI16">
            <v>2.7486934895424087E-2</v>
          </cell>
          <cell r="BJ16">
            <v>6.1383164947262925E-2</v>
          </cell>
          <cell r="BK16">
            <v>5.5535928068515705E-2</v>
          </cell>
          <cell r="BL16">
            <v>3.4499265812580671E-2</v>
          </cell>
          <cell r="BM16">
            <v>1.886045036875772E-2</v>
          </cell>
          <cell r="BN16">
            <v>8.1353218317335774E-2</v>
          </cell>
          <cell r="BO16">
            <v>4.6193199940822494E-2</v>
          </cell>
          <cell r="BP16">
            <v>3.3408150121493119E-2</v>
          </cell>
          <cell r="BQ16">
            <v>-5.1218882598276227E-3</v>
          </cell>
          <cell r="BR16">
            <v>3.4067038247511228E-2</v>
          </cell>
          <cell r="BS16">
            <v>2.6945202848930094E-2</v>
          </cell>
          <cell r="BT16">
            <v>1.7429804032037977E-2</v>
          </cell>
        </row>
        <row r="17">
          <cell r="A17" t="str">
            <v>Y/Y revenue growth</v>
          </cell>
          <cell r="D17">
            <v>-2.1358523546303743E-2</v>
          </cell>
          <cell r="E17">
            <v>2.4486423010568803E-2</v>
          </cell>
          <cell r="F17">
            <v>0.33697393371635553</v>
          </cell>
          <cell r="G17">
            <v>0.39437396405111858</v>
          </cell>
          <cell r="H17">
            <v>0.10567070370468756</v>
          </cell>
          <cell r="I17">
            <v>9.3993247260389712E-2</v>
          </cell>
          <cell r="J17">
            <v>8.1964023937185049E-2</v>
          </cell>
          <cell r="K17">
            <v>0.1515102829627275</v>
          </cell>
          <cell r="L17">
            <v>0.23026312469484922</v>
          </cell>
          <cell r="M17">
            <v>0.19200924333060798</v>
          </cell>
          <cell r="N17">
            <v>0.10861017227241554</v>
          </cell>
          <cell r="O17">
            <v>4.9838298140505888E-2</v>
          </cell>
          <cell r="P17">
            <v>4.0775158868643135E-2</v>
          </cell>
          <cell r="Q17">
            <v>3.7703031357940731E-2</v>
          </cell>
          <cell r="R17">
            <v>3.2394345893399734E-2</v>
          </cell>
          <cell r="S17">
            <v>2.7254136707683285E-2</v>
          </cell>
          <cell r="T17">
            <v>2.2449277858301864E-2</v>
          </cell>
          <cell r="U17">
            <v>1.7366063498776008E-2</v>
          </cell>
          <cell r="V17">
            <v>1.304096732400728E-2</v>
          </cell>
          <cell r="BA17">
            <v>6.9322629937412339E-2</v>
          </cell>
          <cell r="BB17">
            <v>7.5254998374512105E-2</v>
          </cell>
          <cell r="BC17">
            <v>8.5120263494824711E-2</v>
          </cell>
          <cell r="BD17">
            <v>9.7101811306707475E-2</v>
          </cell>
          <cell r="BE17">
            <v>0.1119610059753644</v>
          </cell>
          <cell r="BF17">
            <v>0.11002272308542671</v>
          </cell>
          <cell r="BG17">
            <v>0.15585728600218429</v>
          </cell>
          <cell r="BH17">
            <v>0.22248885535512186</v>
          </cell>
          <cell r="BI17">
            <v>0.23823261463710899</v>
          </cell>
          <cell r="BJ17">
            <v>0.27088311837544188</v>
          </cell>
          <cell r="BK17">
            <v>0.22808490577064688</v>
          </cell>
          <cell r="BL17">
            <v>0.19083532794425606</v>
          </cell>
          <cell r="BM17">
            <v>0.18083741733202596</v>
          </cell>
          <cell r="BN17">
            <v>0.20305501699281492</v>
          </cell>
          <cell r="BO17">
            <v>0.19240657230463798</v>
          </cell>
          <cell r="BP17">
            <v>0.19114890730264733</v>
          </cell>
          <cell r="BQ17">
            <v>0.16311117510717099</v>
          </cell>
          <cell r="BR17">
            <v>0.11224982514704829</v>
          </cell>
          <cell r="BS17">
            <v>9.1786509766008662E-2</v>
          </cell>
          <cell r="BT17">
            <v>7.4905529383970215E-2</v>
          </cell>
        </row>
        <row r="19">
          <cell r="A19" t="str">
            <v xml:space="preserve">   Rental &amp; Management</v>
          </cell>
          <cell r="C19">
            <v>226.786</v>
          </cell>
          <cell r="D19">
            <v>236.68</v>
          </cell>
          <cell r="E19">
            <v>237.31199999999998</v>
          </cell>
          <cell r="F19">
            <v>247.78100000000001</v>
          </cell>
          <cell r="G19">
            <v>332.24599999999998</v>
          </cell>
          <cell r="H19">
            <v>343.45</v>
          </cell>
          <cell r="I19">
            <v>363.02399999999994</v>
          </cell>
          <cell r="J19">
            <v>383.99</v>
          </cell>
          <cell r="K19">
            <v>447.62900000000002</v>
          </cell>
          <cell r="L19">
            <v>597.91812757317257</v>
          </cell>
          <cell r="M19">
            <v>711.71732627571498</v>
          </cell>
          <cell r="N19">
            <v>790.11527752701454</v>
          </cell>
          <cell r="O19">
            <v>829.99469246676188</v>
          </cell>
          <cell r="P19">
            <v>860.73717808556808</v>
          </cell>
          <cell r="Q19">
            <v>889.90950314779809</v>
          </cell>
          <cell r="R19">
            <v>915.25132791135331</v>
          </cell>
          <cell r="S19">
            <v>936.69807672768059</v>
          </cell>
          <cell r="T19">
            <v>954.05721356347294</v>
          </cell>
          <cell r="U19">
            <v>966.79709385828869</v>
          </cell>
          <cell r="V19">
            <v>975.44650233018649</v>
          </cell>
          <cell r="W19">
            <v>0.20852994213536413</v>
          </cell>
          <cell r="Y19">
            <v>56.951000000000001</v>
          </cell>
          <cell r="Z19">
            <v>57.061999999999998</v>
          </cell>
          <cell r="AA19">
            <v>56.604999999999997</v>
          </cell>
          <cell r="AB19">
            <v>56.167999999999999</v>
          </cell>
          <cell r="AC19">
            <v>58.475999999999999</v>
          </cell>
          <cell r="AD19">
            <v>57.884999999999998</v>
          </cell>
          <cell r="AE19">
            <v>60.066000000000003</v>
          </cell>
          <cell r="AF19">
            <v>60.253</v>
          </cell>
          <cell r="AG19">
            <v>58.875999999999998</v>
          </cell>
          <cell r="AH19">
            <v>58.32</v>
          </cell>
          <cell r="AI19">
            <v>59.838000000000001</v>
          </cell>
          <cell r="AJ19">
            <v>60.277999999999999</v>
          </cell>
          <cell r="AK19">
            <v>48.225000000000001</v>
          </cell>
          <cell r="AL19">
            <v>46.598999999999997</v>
          </cell>
          <cell r="AM19">
            <v>69.775999999999996</v>
          </cell>
          <cell r="AN19">
            <v>83.180999999999997</v>
          </cell>
          <cell r="AO19">
            <v>79.540999999999997</v>
          </cell>
          <cell r="AP19">
            <v>83.128</v>
          </cell>
          <cell r="AQ19">
            <v>84.600999999999999</v>
          </cell>
          <cell r="AR19">
            <v>84.975999999999999</v>
          </cell>
          <cell r="AS19">
            <v>83.760999999999996</v>
          </cell>
          <cell r="AT19">
            <v>85.91</v>
          </cell>
          <cell r="AU19">
            <v>83.936000000000007</v>
          </cell>
          <cell r="AV19">
            <v>89.843000000000004</v>
          </cell>
          <cell r="AW19">
            <v>86.930999999999997</v>
          </cell>
          <cell r="AX19">
            <v>91.951999999999998</v>
          </cell>
          <cell r="AY19">
            <v>93.695999999999998</v>
          </cell>
          <cell r="AZ19">
            <v>90.444999999999993</v>
          </cell>
          <cell r="BA19">
            <v>90.09</v>
          </cell>
          <cell r="BB19">
            <v>92.33</v>
          </cell>
          <cell r="BC19">
            <v>101.128</v>
          </cell>
          <cell r="BD19">
            <v>100.44199999999999</v>
          </cell>
          <cell r="BE19">
            <v>100.42400000000001</v>
          </cell>
          <cell r="BF19">
            <v>105.773</v>
          </cell>
          <cell r="BG19">
            <v>115.39</v>
          </cell>
          <cell r="BH19">
            <v>126.042</v>
          </cell>
          <cell r="BI19">
            <v>127.85899999999999</v>
          </cell>
          <cell r="BJ19">
            <v>144.33000000000001</v>
          </cell>
          <cell r="BK19">
            <v>160.26499999999999</v>
          </cell>
          <cell r="BL19">
            <v>165.46412757317256</v>
          </cell>
          <cell r="BM19">
            <v>162.13571276141104</v>
          </cell>
          <cell r="BN19">
            <v>175.60975474467597</v>
          </cell>
          <cell r="BO19">
            <v>183.86711521615268</v>
          </cell>
          <cell r="BP19">
            <v>190.10474355347529</v>
          </cell>
          <cell r="BQ19">
            <v>189.06908446540538</v>
          </cell>
          <cell r="BR19">
            <v>195.60971208240625</v>
          </cell>
          <cell r="BS19">
            <v>200.95128619323827</v>
          </cell>
          <cell r="BT19">
            <v>204.48519478596464</v>
          </cell>
        </row>
        <row r="20">
          <cell r="A20" t="str">
            <v xml:space="preserve">   Network Development Svcs.</v>
          </cell>
          <cell r="C20">
            <v>146.828</v>
          </cell>
          <cell r="D20">
            <v>64.445000000000007</v>
          </cell>
          <cell r="E20">
            <v>18.801000000000002</v>
          </cell>
          <cell r="F20">
            <v>8.3460000000000001</v>
          </cell>
          <cell r="G20">
            <v>11.291</v>
          </cell>
          <cell r="H20">
            <v>16.172000000000001</v>
          </cell>
          <cell r="I20">
            <v>26.831000000000003</v>
          </cell>
          <cell r="J20">
            <v>32.385000000000005</v>
          </cell>
          <cell r="K20">
            <v>26.957000000000001</v>
          </cell>
          <cell r="L20">
            <v>32.019551</v>
          </cell>
          <cell r="M20">
            <v>37.464940420110523</v>
          </cell>
          <cell r="N20">
            <v>38.986167235578087</v>
          </cell>
          <cell r="O20">
            <v>39.76589058028965</v>
          </cell>
          <cell r="P20">
            <v>40.561208391895441</v>
          </cell>
          <cell r="Q20">
            <v>41.372432559733355</v>
          </cell>
          <cell r="R20">
            <v>42.199881210928027</v>
          </cell>
          <cell r="S20">
            <v>42.621880023037306</v>
          </cell>
          <cell r="T20">
            <v>43.048098823267679</v>
          </cell>
          <cell r="U20">
            <v>43.478579811500353</v>
          </cell>
          <cell r="V20">
            <v>43.913365609615362</v>
          </cell>
          <cell r="W20">
            <v>0.13087081010343793</v>
          </cell>
          <cell r="Y20">
            <v>54.567999999999998</v>
          </cell>
          <cell r="Z20">
            <v>28.920999999999999</v>
          </cell>
          <cell r="AA20">
            <v>35.06</v>
          </cell>
          <cell r="AB20">
            <v>28.279</v>
          </cell>
          <cell r="AC20">
            <v>14.712</v>
          </cell>
          <cell r="AD20">
            <v>21.5</v>
          </cell>
          <cell r="AE20">
            <v>26.274000000000001</v>
          </cell>
          <cell r="AF20">
            <v>1.9590000000000001</v>
          </cell>
          <cell r="AG20">
            <v>3.5609999999999999</v>
          </cell>
          <cell r="AH20">
            <v>3.3450000000000002</v>
          </cell>
          <cell r="AI20">
            <v>5.1340000000000003</v>
          </cell>
          <cell r="AJ20">
            <v>6.7610000000000001</v>
          </cell>
          <cell r="AK20">
            <v>1.4319999999999999</v>
          </cell>
          <cell r="AL20">
            <v>2.09</v>
          </cell>
          <cell r="AM20">
            <v>2.3639999999999999</v>
          </cell>
          <cell r="AN20">
            <v>2.46</v>
          </cell>
          <cell r="AO20">
            <v>2.0710000000000002</v>
          </cell>
          <cell r="AP20">
            <v>2.609</v>
          </cell>
          <cell r="AQ20">
            <v>2.9609999999999999</v>
          </cell>
          <cell r="AR20">
            <v>3.65</v>
          </cell>
          <cell r="AS20">
            <v>3.5219999999999998</v>
          </cell>
          <cell r="AT20">
            <v>4.1319999999999997</v>
          </cell>
          <cell r="AU20">
            <v>4.8410000000000002</v>
          </cell>
          <cell r="AV20">
            <v>3.677</v>
          </cell>
          <cell r="AW20">
            <v>3.6269999999999998</v>
          </cell>
          <cell r="AX20">
            <v>4.9219999999999997</v>
          </cell>
          <cell r="AY20">
            <v>10.161</v>
          </cell>
          <cell r="AZ20">
            <v>8.1210000000000004</v>
          </cell>
          <cell r="BA20">
            <v>7.6150000000000002</v>
          </cell>
          <cell r="BB20">
            <v>10.243</v>
          </cell>
          <cell r="BC20">
            <v>7.4660000000000002</v>
          </cell>
          <cell r="BD20">
            <v>7.0609999999999999</v>
          </cell>
          <cell r="BE20">
            <v>6.0449999999999999</v>
          </cell>
          <cell r="BF20">
            <v>6.4260000000000002</v>
          </cell>
          <cell r="BG20">
            <v>7.5830000000000002</v>
          </cell>
          <cell r="BH20">
            <v>6.9029999999999996</v>
          </cell>
          <cell r="BI20">
            <v>7.4690000000000003</v>
          </cell>
          <cell r="BJ20">
            <v>6.7469999999999999</v>
          </cell>
          <cell r="BK20">
            <v>8.6679999999999993</v>
          </cell>
          <cell r="BL20">
            <v>9.1355510000000013</v>
          </cell>
          <cell r="BM20">
            <v>9.2269065100000009</v>
          </cell>
          <cell r="BN20">
            <v>9.3191755751000027</v>
          </cell>
          <cell r="BO20">
            <v>9.4123673308510032</v>
          </cell>
          <cell r="BP20">
            <v>9.5064910041595123</v>
          </cell>
          <cell r="BQ20">
            <v>9.6015559142011071</v>
          </cell>
          <cell r="BR20">
            <v>9.6975714733431193</v>
          </cell>
          <cell r="BS20">
            <v>9.7945471880765496</v>
          </cell>
          <cell r="BT20">
            <v>9.8924926599573144</v>
          </cell>
        </row>
        <row r="21">
          <cell r="A21" t="str">
            <v>Cost of Operations</v>
          </cell>
          <cell r="C21">
            <v>373.61400000000003</v>
          </cell>
          <cell r="D21">
            <v>301.125</v>
          </cell>
          <cell r="E21">
            <v>256.113</v>
          </cell>
          <cell r="F21">
            <v>256.12700000000001</v>
          </cell>
          <cell r="G21">
            <v>343.53699999999998</v>
          </cell>
          <cell r="H21">
            <v>359.62200000000001</v>
          </cell>
          <cell r="I21">
            <v>389.85499999999996</v>
          </cell>
          <cell r="J21">
            <v>416.375</v>
          </cell>
          <cell r="K21">
            <v>474.58600000000001</v>
          </cell>
          <cell r="L21">
            <v>629.93767857317255</v>
          </cell>
          <cell r="M21">
            <v>749.18226669582555</v>
          </cell>
          <cell r="N21">
            <v>829.10144476259268</v>
          </cell>
          <cell r="O21">
            <v>869.76058304705157</v>
          </cell>
          <cell r="P21">
            <v>901.29838647746351</v>
          </cell>
          <cell r="Q21">
            <v>931.28193570753149</v>
          </cell>
          <cell r="R21">
            <v>957.4512091222814</v>
          </cell>
          <cell r="S21">
            <v>979.31995675071789</v>
          </cell>
          <cell r="T21">
            <v>997.10531238674059</v>
          </cell>
          <cell r="U21">
            <v>1010.2756736697891</v>
          </cell>
          <cell r="V21">
            <v>1019.3598679398018</v>
          </cell>
          <cell r="W21">
            <v>0.20438198221851045</v>
          </cell>
          <cell r="Y21">
            <v>111.51900000000001</v>
          </cell>
          <cell r="Z21">
            <v>85.983000000000004</v>
          </cell>
          <cell r="AA21">
            <v>91.664999999999992</v>
          </cell>
          <cell r="AB21">
            <v>84.447000000000003</v>
          </cell>
          <cell r="AC21">
            <v>73.188000000000002</v>
          </cell>
          <cell r="AD21">
            <v>79.384999999999991</v>
          </cell>
          <cell r="AE21">
            <v>86.34</v>
          </cell>
          <cell r="AF21">
            <v>62.212000000000003</v>
          </cell>
          <cell r="AG21">
            <v>62.436999999999998</v>
          </cell>
          <cell r="AH21">
            <v>61.664999999999999</v>
          </cell>
          <cell r="AI21">
            <v>64.972000000000008</v>
          </cell>
          <cell r="AJ21">
            <v>67.039000000000001</v>
          </cell>
          <cell r="AK21">
            <v>49.657000000000004</v>
          </cell>
          <cell r="AL21">
            <v>48.688999999999993</v>
          </cell>
          <cell r="AM21">
            <v>72.14</v>
          </cell>
          <cell r="AN21">
            <v>85.640999999999991</v>
          </cell>
          <cell r="AO21">
            <v>81.611999999999995</v>
          </cell>
          <cell r="AP21">
            <v>85.736999999999995</v>
          </cell>
          <cell r="AQ21">
            <v>87.561999999999998</v>
          </cell>
          <cell r="AR21">
            <v>88.626000000000005</v>
          </cell>
          <cell r="AS21">
            <v>87.283000000000001</v>
          </cell>
          <cell r="AT21">
            <v>90.042000000000002</v>
          </cell>
          <cell r="AU21">
            <v>88.777000000000001</v>
          </cell>
          <cell r="AV21">
            <v>93.52000000000001</v>
          </cell>
          <cell r="AW21">
            <v>90.557999999999993</v>
          </cell>
          <cell r="AX21">
            <v>96.873999999999995</v>
          </cell>
          <cell r="AY21">
            <v>103.857</v>
          </cell>
          <cell r="AZ21">
            <v>98.565999999999988</v>
          </cell>
          <cell r="BA21">
            <v>97.704999999999998</v>
          </cell>
          <cell r="BB21">
            <v>102.57299999999999</v>
          </cell>
          <cell r="BC21">
            <v>108.59399999999999</v>
          </cell>
          <cell r="BD21">
            <v>107.50299999999999</v>
          </cell>
          <cell r="BE21">
            <v>106.46900000000001</v>
          </cell>
          <cell r="BF21">
            <v>112.199</v>
          </cell>
          <cell r="BG21">
            <v>122.973</v>
          </cell>
          <cell r="BH21">
            <v>132.94499999999999</v>
          </cell>
          <cell r="BI21">
            <v>135.328</v>
          </cell>
          <cell r="BJ21">
            <v>151.077</v>
          </cell>
          <cell r="BK21">
            <v>168.93299999999999</v>
          </cell>
          <cell r="BL21">
            <v>174.59967857317255</v>
          </cell>
          <cell r="BM21">
            <v>171.36261927141103</v>
          </cell>
          <cell r="BN21">
            <v>184.92893031977596</v>
          </cell>
          <cell r="BO21">
            <v>193.27948254700368</v>
          </cell>
          <cell r="BP21">
            <v>199.61123455763479</v>
          </cell>
          <cell r="BQ21">
            <v>198.67064037960648</v>
          </cell>
          <cell r="BR21">
            <v>205.30728355574936</v>
          </cell>
          <cell r="BS21">
            <v>210.74583338131481</v>
          </cell>
          <cell r="BT21">
            <v>214.37768744592196</v>
          </cell>
          <cell r="BV21" t="str">
            <v>mstag:costOfServicesSold</v>
          </cell>
          <cell r="BW21">
            <v>6</v>
          </cell>
          <cell r="BX21" t="str">
            <v>ISO4217:USD</v>
          </cell>
          <cell r="BY21" t="b">
            <v>0</v>
          </cell>
          <cell r="BZ21" t="b">
            <v>0</v>
          </cell>
        </row>
        <row r="23">
          <cell r="A23" t="str">
            <v>Rental Gross Profit</v>
          </cell>
          <cell r="C23">
            <v>318.11999999999995</v>
          </cell>
          <cell r="D23">
            <v>383.017</v>
          </cell>
          <cell r="E23">
            <v>447.11</v>
          </cell>
          <cell r="F23">
            <v>681.98099999999999</v>
          </cell>
          <cell r="G23">
            <v>961.822</v>
          </cell>
          <cell r="H23">
            <v>1082.5249999999999</v>
          </cell>
          <cell r="I23">
            <v>1184.011</v>
          </cell>
          <cell r="J23">
            <v>1284.43</v>
          </cell>
          <cell r="K23">
            <v>1488.7440000000001</v>
          </cell>
          <cell r="L23">
            <v>1783.784363092876</v>
          </cell>
          <cell r="M23">
            <v>2135.1519788271448</v>
          </cell>
          <cell r="N23">
            <v>2370.3458325810434</v>
          </cell>
          <cell r="O23">
            <v>2489.9840774002855</v>
          </cell>
          <cell r="P23">
            <v>2596.038637519121</v>
          </cell>
          <cell r="Q23">
            <v>2698.4352676094504</v>
          </cell>
          <cell r="R23">
            <v>2790.219635292503</v>
          </cell>
          <cell r="S23">
            <v>2871.0176823279285</v>
          </cell>
          <cell r="T23">
            <v>2940.0538622057993</v>
          </cell>
          <cell r="U23">
            <v>2995.4860776920696</v>
          </cell>
          <cell r="V23">
            <v>3038.7366348310675</v>
          </cell>
          <cell r="W23">
            <v>0.16769807238996615</v>
          </cell>
          <cell r="Y23">
            <v>69.650000000000006</v>
          </cell>
          <cell r="Z23">
            <v>74.954999999999998</v>
          </cell>
          <cell r="AA23">
            <v>81.555000000000007</v>
          </cell>
          <cell r="AB23">
            <v>91.95999999999998</v>
          </cell>
          <cell r="AC23">
            <v>87.98599999999999</v>
          </cell>
          <cell r="AD23">
            <v>94.031000000000006</v>
          </cell>
          <cell r="AE23">
            <v>98.12700000000001</v>
          </cell>
          <cell r="AF23">
            <v>102.873</v>
          </cell>
          <cell r="AG23">
            <v>105.69999999999999</v>
          </cell>
          <cell r="AH23">
            <v>109.267</v>
          </cell>
          <cell r="AI23">
            <v>115.108</v>
          </cell>
          <cell r="AJ23">
            <v>117.035</v>
          </cell>
          <cell r="AK23">
            <v>133.345</v>
          </cell>
          <cell r="AL23">
            <v>138.01000000000002</v>
          </cell>
          <cell r="AM23">
            <v>191.01499999999999</v>
          </cell>
          <cell r="AN23">
            <v>219.61099999999999</v>
          </cell>
          <cell r="AO23">
            <v>236.71800000000002</v>
          </cell>
          <cell r="AP23">
            <v>237.041</v>
          </cell>
          <cell r="AQ23">
            <v>241.80200000000002</v>
          </cell>
          <cell r="AR23">
            <v>246.26100000000002</v>
          </cell>
          <cell r="AS23">
            <v>262.26800000000003</v>
          </cell>
          <cell r="AT23">
            <v>264.86500000000001</v>
          </cell>
          <cell r="AU23">
            <v>274.68700000000001</v>
          </cell>
          <cell r="AV23">
            <v>280.70499999999998</v>
          </cell>
          <cell r="AW23">
            <v>287.05200000000002</v>
          </cell>
          <cell r="AX23">
            <v>292.39100000000002</v>
          </cell>
          <cell r="AY23">
            <v>300.70000000000005</v>
          </cell>
          <cell r="AZ23">
            <v>303.86799999999999</v>
          </cell>
          <cell r="BA23">
            <v>305.85699999999997</v>
          </cell>
          <cell r="BB23">
            <v>314.42099999999999</v>
          </cell>
          <cell r="BC23">
            <v>329.39699999999999</v>
          </cell>
          <cell r="BD23">
            <v>334.755</v>
          </cell>
          <cell r="BE23">
            <v>343.39400000000001</v>
          </cell>
          <cell r="BF23">
            <v>350.70799999999997</v>
          </cell>
          <cell r="BG23">
            <v>384.43100000000004</v>
          </cell>
          <cell r="BH23">
            <v>410.21100000000001</v>
          </cell>
          <cell r="BI23">
            <v>418.79599999999999</v>
          </cell>
          <cell r="BJ23">
            <v>439.50900000000001</v>
          </cell>
          <cell r="BK23">
            <v>454.54300000000001</v>
          </cell>
          <cell r="BL23">
            <v>470.93636309287575</v>
          </cell>
          <cell r="BM23">
            <v>486.40713828423316</v>
          </cell>
          <cell r="BN23">
            <v>526.82926423402796</v>
          </cell>
          <cell r="BO23">
            <v>551.60134564845805</v>
          </cell>
          <cell r="BP23">
            <v>570.31423066042589</v>
          </cell>
          <cell r="BQ23">
            <v>567.20725339621617</v>
          </cell>
          <cell r="BR23">
            <v>586.82913624721868</v>
          </cell>
          <cell r="BS23">
            <v>602.85385857971482</v>
          </cell>
          <cell r="BT23">
            <v>613.45558435789394</v>
          </cell>
        </row>
        <row r="24">
          <cell r="A24" t="str">
            <v>Rental Gross Margin</v>
          </cell>
          <cell r="C24">
            <v>0.58380711535567598</v>
          </cell>
          <cell r="D24">
            <v>0.61807141231924634</v>
          </cell>
          <cell r="E24">
            <v>0.65326655192264427</v>
          </cell>
          <cell r="F24">
            <v>0.73350061628674867</v>
          </cell>
          <cell r="G24">
            <v>0.74325460485847727</v>
          </cell>
          <cell r="H24">
            <v>0.75914725012710593</v>
          </cell>
          <cell r="I24">
            <v>0.76534208986868435</v>
          </cell>
          <cell r="J24">
            <v>0.7698481197779935</v>
          </cell>
          <cell r="K24">
            <v>0.76883121175517322</v>
          </cell>
          <cell r="L24">
            <v>0.74895347764196885</v>
          </cell>
          <cell r="M24">
            <v>0.75</v>
          </cell>
          <cell r="N24">
            <v>0.74999999999999989</v>
          </cell>
          <cell r="O24">
            <v>0.75</v>
          </cell>
          <cell r="P24">
            <v>0.75099999999999978</v>
          </cell>
          <cell r="Q24">
            <v>0.75199999999999989</v>
          </cell>
          <cell r="R24">
            <v>0.75299999999999978</v>
          </cell>
          <cell r="S24">
            <v>0.75399999999999978</v>
          </cell>
          <cell r="T24">
            <v>0.75499999999999967</v>
          </cell>
          <cell r="U24">
            <v>0.75599999999999967</v>
          </cell>
          <cell r="V24">
            <v>0.75699999999999956</v>
          </cell>
          <cell r="Y24">
            <v>0.55015363227778613</v>
          </cell>
          <cell r="Z24">
            <v>0.56776778748191525</v>
          </cell>
          <cell r="AA24">
            <v>0.59029386218876667</v>
          </cell>
          <cell r="AB24">
            <v>0.62081443076258358</v>
          </cell>
          <cell r="AC24">
            <v>0.60074285480192813</v>
          </cell>
          <cell r="AD24">
            <v>0.61896706074409547</v>
          </cell>
          <cell r="AE24">
            <v>0.62029925470785685</v>
          </cell>
          <cell r="AF24">
            <v>0.6306352144967694</v>
          </cell>
          <cell r="AG24">
            <v>0.64225646509819168</v>
          </cell>
          <cell r="AH24">
            <v>0.65200164690578621</v>
          </cell>
          <cell r="AI24">
            <v>0.65796302859167977</v>
          </cell>
          <cell r="AJ24">
            <v>0.66004748664790514</v>
          </cell>
          <cell r="AK24">
            <v>0.73439995593985796</v>
          </cell>
          <cell r="AL24">
            <v>0.74758002047570815</v>
          </cell>
          <cell r="AM24">
            <v>0.73244475461193059</v>
          </cell>
          <cell r="AN24">
            <v>0.72528666543369713</v>
          </cell>
          <cell r="AO24">
            <v>0.74849411400149879</v>
          </cell>
          <cell r="AP24">
            <v>0.74036212125471235</v>
          </cell>
          <cell r="AQ24">
            <v>0.7408081420820275</v>
          </cell>
          <cell r="AR24">
            <v>0.74345861120587375</v>
          </cell>
          <cell r="AS24">
            <v>0.75793647353256532</v>
          </cell>
          <cell r="AT24">
            <v>0.7550851685553418</v>
          </cell>
          <cell r="AU24">
            <v>0.76594920013496071</v>
          </cell>
          <cell r="AV24">
            <v>0.75754018372788401</v>
          </cell>
          <cell r="AW24">
            <v>0.76755360537778461</v>
          </cell>
          <cell r="AX24">
            <v>0.76075536695087465</v>
          </cell>
          <cell r="AY24">
            <v>0.7624316676639723</v>
          </cell>
          <cell r="AZ24">
            <v>0.77062638056569277</v>
          </cell>
          <cell r="BA24">
            <v>0.77246954769198906</v>
          </cell>
          <cell r="BB24">
            <v>0.77300608972073825</v>
          </cell>
          <cell r="BC24">
            <v>0.76510539457638926</v>
          </cell>
          <cell r="BD24">
            <v>0.76920337226589341</v>
          </cell>
          <cell r="BE24">
            <v>0.77372706830277282</v>
          </cell>
          <cell r="BF24">
            <v>0.76828608419627531</v>
          </cell>
          <cell r="BG24">
            <v>0.76913735117171955</v>
          </cell>
          <cell r="BH24">
            <v>0.7649579582771564</v>
          </cell>
          <cell r="BI24">
            <v>0.76610659373828105</v>
          </cell>
          <cell r="BJ24">
            <v>0.75279143736543808</v>
          </cell>
          <cell r="BK24">
            <v>0.73932512263991357</v>
          </cell>
          <cell r="BL24">
            <v>0.74</v>
          </cell>
          <cell r="BM24">
            <v>0.75</v>
          </cell>
          <cell r="BN24">
            <v>0.75000000000000011</v>
          </cell>
          <cell r="BO24">
            <v>0.75</v>
          </cell>
          <cell r="BP24">
            <v>0.75</v>
          </cell>
          <cell r="BQ24">
            <v>0.75</v>
          </cell>
          <cell r="BR24">
            <v>0.74999999999999989</v>
          </cell>
          <cell r="BS24">
            <v>0.75</v>
          </cell>
          <cell r="BT24">
            <v>0.75</v>
          </cell>
        </row>
        <row r="25">
          <cell r="A25" t="str">
            <v>Network Dev Gross Profit</v>
          </cell>
          <cell r="C25">
            <v>16.097999999999999</v>
          </cell>
          <cell r="D25">
            <v>17.045000000000002</v>
          </cell>
          <cell r="E25">
            <v>17.634999999999998</v>
          </cell>
          <cell r="F25">
            <v>19.637999999999998</v>
          </cell>
          <cell r="G25">
            <v>20.18</v>
          </cell>
          <cell r="H25">
            <v>22.080999999999996</v>
          </cell>
          <cell r="I25">
            <v>23.483999999999998</v>
          </cell>
          <cell r="J25">
            <v>23.308999999999997</v>
          </cell>
          <cell r="K25">
            <v>22.004999999999999</v>
          </cell>
          <cell r="L25">
            <v>28.762398999999998</v>
          </cell>
          <cell r="M25">
            <v>27.129784442148988</v>
          </cell>
          <cell r="N25">
            <v>28.23136248093585</v>
          </cell>
          <cell r="O25">
            <v>28.795989730554567</v>
          </cell>
          <cell r="P25">
            <v>29.371909525165655</v>
          </cell>
          <cell r="Q25">
            <v>29.959347715668969</v>
          </cell>
          <cell r="R25">
            <v>30.55853466998235</v>
          </cell>
          <cell r="S25">
            <v>30.864120016682179</v>
          </cell>
          <cell r="T25">
            <v>31.172761216848997</v>
          </cell>
          <cell r="U25">
            <v>31.484488829017494</v>
          </cell>
          <cell r="V25">
            <v>31.799333717307668</v>
          </cell>
          <cell r="W25">
            <v>8.6601136951611757E-2</v>
          </cell>
          <cell r="Y25">
            <v>5.4470000000000027</v>
          </cell>
          <cell r="Z25">
            <v>4.8990000000000009</v>
          </cell>
          <cell r="AA25">
            <v>1.7259999999999991</v>
          </cell>
          <cell r="AB25">
            <v>1.0180000000000007</v>
          </cell>
          <cell r="AC25">
            <v>0.29300000000000104</v>
          </cell>
          <cell r="AD25">
            <v>1.8659999999999997</v>
          </cell>
          <cell r="AE25">
            <v>2.407</v>
          </cell>
          <cell r="AF25">
            <v>1.0619999999999998</v>
          </cell>
          <cell r="AG25">
            <v>0.65399999999999991</v>
          </cell>
          <cell r="AH25">
            <v>1.3599999999999999</v>
          </cell>
          <cell r="AI25">
            <v>0.80099999999999927</v>
          </cell>
          <cell r="AJ25">
            <v>0.62199999999999989</v>
          </cell>
          <cell r="AK25">
            <v>1.3530000000000002</v>
          </cell>
          <cell r="AL25">
            <v>1.3610000000000002</v>
          </cell>
          <cell r="AM25">
            <v>1.5910000000000002</v>
          </cell>
          <cell r="AN25">
            <v>2.3730000000000002</v>
          </cell>
          <cell r="AO25">
            <v>2.0790000000000002</v>
          </cell>
          <cell r="AP25">
            <v>3.085</v>
          </cell>
          <cell r="AQ25">
            <v>4.1029999999999998</v>
          </cell>
          <cell r="AR25">
            <v>2.7589999999999999</v>
          </cell>
          <cell r="AS25">
            <v>2.9230000000000005</v>
          </cell>
          <cell r="AT25">
            <v>3.516</v>
          </cell>
          <cell r="AU25">
            <v>4.1209999999999996</v>
          </cell>
          <cell r="AV25">
            <v>3.887</v>
          </cell>
          <cell r="AW25">
            <v>4.5740000000000007</v>
          </cell>
          <cell r="AX25">
            <v>4.4630000000000001</v>
          </cell>
          <cell r="AY25">
            <v>4.7110000000000003</v>
          </cell>
          <cell r="AZ25">
            <v>5.8899999999999988</v>
          </cell>
          <cell r="BA25">
            <v>5.1159999999999997</v>
          </cell>
          <cell r="BB25">
            <v>6.363999999999999</v>
          </cell>
          <cell r="BC25">
            <v>6.1139999999999999</v>
          </cell>
          <cell r="BD25">
            <v>5.7149999999999999</v>
          </cell>
          <cell r="BE25">
            <v>4.5709999999999997</v>
          </cell>
          <cell r="BF25">
            <v>7.0299999999999994</v>
          </cell>
          <cell r="BG25">
            <v>5.9179999999999993</v>
          </cell>
          <cell r="BH25">
            <v>4.4859999999999998</v>
          </cell>
          <cell r="BI25">
            <v>8.570999999999998</v>
          </cell>
          <cell r="BJ25">
            <v>6.6490000000000009</v>
          </cell>
          <cell r="BK25">
            <v>6.9270000000000014</v>
          </cell>
          <cell r="BL25">
            <v>6.615399</v>
          </cell>
          <cell r="BM25">
            <v>6.6815529900000001</v>
          </cell>
          <cell r="BN25">
            <v>6.7483685198999996</v>
          </cell>
          <cell r="BO25">
            <v>6.8158522050990005</v>
          </cell>
          <cell r="BP25">
            <v>6.88401072714999</v>
          </cell>
          <cell r="BQ25">
            <v>6.9528508344214899</v>
          </cell>
          <cell r="BR25">
            <v>7.0223793427657046</v>
          </cell>
          <cell r="BS25">
            <v>7.092603136193361</v>
          </cell>
          <cell r="BT25">
            <v>7.1635291675552946</v>
          </cell>
        </row>
        <row r="26">
          <cell r="A26" t="str">
            <v>Network Dev Gross Margin</v>
          </cell>
          <cell r="C26">
            <v>0.10066409034630247</v>
          </cell>
          <cell r="D26">
            <v>0.24324632882850741</v>
          </cell>
          <cell r="E26">
            <v>0.79301196150732978</v>
          </cell>
          <cell r="F26">
            <v>1.3071086261980829</v>
          </cell>
          <cell r="G26">
            <v>0.8654629669339966</v>
          </cell>
          <cell r="H26">
            <v>0.72115353212057864</v>
          </cell>
          <cell r="I26">
            <v>0.5053691708450796</v>
          </cell>
          <cell r="J26">
            <v>0.4185190505260889</v>
          </cell>
          <cell r="K26">
            <v>0.44943017033617905</v>
          </cell>
          <cell r="L26">
            <v>0.4732062561336054</v>
          </cell>
          <cell r="M26">
            <v>0.41999999999999993</v>
          </cell>
          <cell r="N26">
            <v>0.41999999999999993</v>
          </cell>
          <cell r="O26">
            <v>0.41999999999999993</v>
          </cell>
          <cell r="P26">
            <v>0.41999999999999993</v>
          </cell>
          <cell r="Q26">
            <v>0.41999999999999987</v>
          </cell>
          <cell r="R26">
            <v>0.41999999999999987</v>
          </cell>
          <cell r="S26">
            <v>0.41999999999999993</v>
          </cell>
          <cell r="T26">
            <v>0.41999999999999993</v>
          </cell>
          <cell r="U26">
            <v>0.42</v>
          </cell>
          <cell r="V26">
            <v>0.41999999999999993</v>
          </cell>
          <cell r="Y26">
            <v>9.0760643172540248E-2</v>
          </cell>
          <cell r="Z26">
            <v>0.14485511531638087</v>
          </cell>
          <cell r="AA26">
            <v>4.6920023922144269E-2</v>
          </cell>
          <cell r="AB26">
            <v>3.4747585076970358E-2</v>
          </cell>
          <cell r="AC26">
            <v>1.9526824391869445E-2</v>
          </cell>
          <cell r="AD26">
            <v>7.985962509629374E-2</v>
          </cell>
          <cell r="AE26">
            <v>8.3923154701718905E-2</v>
          </cell>
          <cell r="AF26">
            <v>0.35153922542204563</v>
          </cell>
          <cell r="AG26">
            <v>0.15516014234875444</v>
          </cell>
          <cell r="AH26">
            <v>0.28905419766206158</v>
          </cell>
          <cell r="AI26">
            <v>0.13496208930075809</v>
          </cell>
          <cell r="AJ26">
            <v>8.4247595828254085E-2</v>
          </cell>
          <cell r="AK26">
            <v>0.48581687612208263</v>
          </cell>
          <cell r="AL26">
            <v>0.39437844103158509</v>
          </cell>
          <cell r="AM26">
            <v>0.40227560050568906</v>
          </cell>
          <cell r="AN26">
            <v>0.49099937926753573</v>
          </cell>
          <cell r="AO26">
            <v>0.50096385542168675</v>
          </cell>
          <cell r="AP26">
            <v>0.54179838426413773</v>
          </cell>
          <cell r="AQ26">
            <v>0.58083238958097394</v>
          </cell>
          <cell r="AR26">
            <v>0.43048837572164145</v>
          </cell>
          <cell r="AS26">
            <v>0.45352986811481777</v>
          </cell>
          <cell r="AT26">
            <v>0.45972803347280339</v>
          </cell>
          <cell r="AU26">
            <v>0.45983039500111578</v>
          </cell>
          <cell r="AV26">
            <v>0.51388154415653098</v>
          </cell>
          <cell r="AW26">
            <v>0.55773686135837097</v>
          </cell>
          <cell r="AX26">
            <v>0.47554608417687799</v>
          </cell>
          <cell r="AY26">
            <v>0.31676976869284562</v>
          </cell>
          <cell r="AZ26">
            <v>0.4203839840125615</v>
          </cell>
          <cell r="BA26">
            <v>0.40185374283245617</v>
          </cell>
          <cell r="BB26">
            <v>0.38321189859697713</v>
          </cell>
          <cell r="BC26">
            <v>0.45022091310751106</v>
          </cell>
          <cell r="BD26">
            <v>0.44732310582341889</v>
          </cell>
          <cell r="BE26">
            <v>0.43057648831951773</v>
          </cell>
          <cell r="BF26">
            <v>0.52244351961950053</v>
          </cell>
          <cell r="BG26">
            <v>0.43833790089622987</v>
          </cell>
          <cell r="BH26">
            <v>0.39388884010887698</v>
          </cell>
          <cell r="BI26">
            <v>0.53435162094763078</v>
          </cell>
          <cell r="BJ26">
            <v>0.49634219169901467</v>
          </cell>
          <cell r="BK26">
            <v>0.4441808271882014</v>
          </cell>
          <cell r="BL26">
            <v>0.42</v>
          </cell>
          <cell r="BM26">
            <v>0.42</v>
          </cell>
          <cell r="BN26">
            <v>0.41999999999999993</v>
          </cell>
          <cell r="BO26">
            <v>0.41999999999999993</v>
          </cell>
          <cell r="BP26">
            <v>0.41999999999999993</v>
          </cell>
          <cell r="BQ26">
            <v>0.41999999999999993</v>
          </cell>
          <cell r="BR26">
            <v>0.41999999999999993</v>
          </cell>
          <cell r="BS26">
            <v>0.41999999999999993</v>
          </cell>
          <cell r="BT26">
            <v>0.41999999999999993</v>
          </cell>
        </row>
        <row r="27">
          <cell r="A27" t="str">
            <v>Gross Profit</v>
          </cell>
          <cell r="C27">
            <v>331.20999999999992</v>
          </cell>
          <cell r="D27">
            <v>388.64499999999998</v>
          </cell>
          <cell r="E27">
            <v>450.54700000000008</v>
          </cell>
          <cell r="F27">
            <v>688.65899999999988</v>
          </cell>
          <cell r="G27">
            <v>973.84799999999996</v>
          </cell>
          <cell r="H27">
            <v>1096.9719999999998</v>
          </cell>
          <cell r="I27">
            <v>1203.6489999999999</v>
          </cell>
          <cell r="J27">
            <v>1307.739</v>
          </cell>
          <cell r="K27">
            <v>1510.749</v>
          </cell>
          <cell r="L27">
            <v>1812.5467620928762</v>
          </cell>
          <cell r="M27">
            <v>2162.2817632692941</v>
          </cell>
          <cell r="N27">
            <v>2398.5771950619796</v>
          </cell>
          <cell r="O27">
            <v>2518.7800671308401</v>
          </cell>
          <cell r="P27">
            <v>2625.4105470442873</v>
          </cell>
          <cell r="Q27">
            <v>2728.3946153251195</v>
          </cell>
          <cell r="R27">
            <v>2820.7781699624852</v>
          </cell>
          <cell r="S27">
            <v>2901.8818023446102</v>
          </cell>
          <cell r="T27">
            <v>2971.2266234226486</v>
          </cell>
          <cell r="U27">
            <v>3026.9705665210868</v>
          </cell>
          <cell r="V27">
            <v>3070.535968548375</v>
          </cell>
          <cell r="W27">
            <v>0.16659594250150134</v>
          </cell>
          <cell r="Y27">
            <v>75.09699999999998</v>
          </cell>
          <cell r="Z27">
            <v>79.853999999999985</v>
          </cell>
          <cell r="AA27">
            <v>83.281000000000006</v>
          </cell>
          <cell r="AB27">
            <v>92.97799999999998</v>
          </cell>
          <cell r="AC27">
            <v>88.278999999999982</v>
          </cell>
          <cell r="AD27">
            <v>95.896999999999991</v>
          </cell>
          <cell r="AE27">
            <v>100.53400000000002</v>
          </cell>
          <cell r="AF27">
            <v>103.93499999999999</v>
          </cell>
          <cell r="AG27">
            <v>106.354</v>
          </cell>
          <cell r="AH27">
            <v>110.62700000000001</v>
          </cell>
          <cell r="AI27">
            <v>115.90899999999999</v>
          </cell>
          <cell r="AJ27">
            <v>117.657</v>
          </cell>
          <cell r="AK27">
            <v>134.69799999999998</v>
          </cell>
          <cell r="AL27">
            <v>139.37100000000001</v>
          </cell>
          <cell r="AM27">
            <v>192.60599999999999</v>
          </cell>
          <cell r="AN27">
            <v>221.98400000000001</v>
          </cell>
          <cell r="AO27">
            <v>238.797</v>
          </cell>
          <cell r="AP27">
            <v>240.126</v>
          </cell>
          <cell r="AQ27">
            <v>245.90500000000003</v>
          </cell>
          <cell r="AR27">
            <v>249.02</v>
          </cell>
          <cell r="AS27">
            <v>265.19099999999997</v>
          </cell>
          <cell r="AT27">
            <v>268.38099999999997</v>
          </cell>
          <cell r="AU27">
            <v>278.80799999999999</v>
          </cell>
          <cell r="AV27">
            <v>284.59199999999998</v>
          </cell>
          <cell r="AW27">
            <v>291.62600000000003</v>
          </cell>
          <cell r="AX27">
            <v>296.85400000000004</v>
          </cell>
          <cell r="AY27">
            <v>305.41100000000006</v>
          </cell>
          <cell r="AZ27">
            <v>309.75800000000004</v>
          </cell>
          <cell r="BA27">
            <v>310.97300000000001</v>
          </cell>
          <cell r="BB27">
            <v>320.78499999999997</v>
          </cell>
          <cell r="BC27">
            <v>335.51099999999997</v>
          </cell>
          <cell r="BD27">
            <v>340.47</v>
          </cell>
          <cell r="BE27">
            <v>347.96499999999997</v>
          </cell>
          <cell r="BF27">
            <v>357.738</v>
          </cell>
          <cell r="BG27">
            <v>390.34899999999999</v>
          </cell>
          <cell r="BH27">
            <v>414.69700000000006</v>
          </cell>
          <cell r="BI27">
            <v>427.36699999999996</v>
          </cell>
          <cell r="BJ27">
            <v>446.15800000000002</v>
          </cell>
          <cell r="BK27">
            <v>461.47</v>
          </cell>
          <cell r="BL27">
            <v>477.55176209287572</v>
          </cell>
          <cell r="BM27">
            <v>493.08869127423316</v>
          </cell>
          <cell r="BN27">
            <v>533.5776327539279</v>
          </cell>
          <cell r="BO27">
            <v>558.41719785355701</v>
          </cell>
          <cell r="BP27">
            <v>577.19824138757588</v>
          </cell>
          <cell r="BQ27">
            <v>574.16010423063767</v>
          </cell>
          <cell r="BR27">
            <v>593.8515155899845</v>
          </cell>
          <cell r="BS27">
            <v>609.94646171590819</v>
          </cell>
          <cell r="BT27">
            <v>620.61911352544917</v>
          </cell>
        </row>
        <row r="28">
          <cell r="A28" t="str">
            <v>Gross Margin</v>
          </cell>
          <cell r="C28">
            <v>0.46991873148473939</v>
          </cell>
          <cell r="D28">
            <v>0.56344143700073934</v>
          </cell>
          <cell r="E28">
            <v>0.63757252426909694</v>
          </cell>
          <cell r="F28">
            <v>0.72890474668337579</v>
          </cell>
          <cell r="G28">
            <v>0.73922809201562178</v>
          </cell>
          <cell r="H28">
            <v>0.75310759209498312</v>
          </cell>
          <cell r="I28">
            <v>0.75534733518083419</v>
          </cell>
          <cell r="J28">
            <v>0.75849914796817375</v>
          </cell>
          <cell r="K28">
            <v>0.76095419664691344</v>
          </cell>
          <cell r="L28">
            <v>0.74209142621952884</v>
          </cell>
          <cell r="M28">
            <v>0.7426785084805595</v>
          </cell>
          <cell r="N28">
            <v>0.74312763528166637</v>
          </cell>
          <cell r="O28">
            <v>0.74332296028339195</v>
          </cell>
          <cell r="P28">
            <v>0.74443641268194138</v>
          </cell>
          <cell r="Q28">
            <v>0.74552889504818354</v>
          </cell>
          <cell r="R28">
            <v>0.74658732621622537</v>
          </cell>
          <cell r="S28">
            <v>0.74767610200738743</v>
          </cell>
          <cell r="T28">
            <v>0.74873439810085618</v>
          </cell>
          <cell r="U28">
            <v>0.74976119523935092</v>
          </cell>
          <cell r="V28">
            <v>0.75076141087859982</v>
          </cell>
          <cell r="Y28">
            <v>0.40241458395850294</v>
          </cell>
          <cell r="Z28">
            <v>0.48152101159572347</v>
          </cell>
          <cell r="AA28">
            <v>0.47603832039600796</v>
          </cell>
          <cell r="AB28">
            <v>0.52404114414541347</v>
          </cell>
          <cell r="AC28">
            <v>0.54673091096013426</v>
          </cell>
          <cell r="AD28">
            <v>0.54710124256911719</v>
          </cell>
          <cell r="AE28">
            <v>0.53797746074895392</v>
          </cell>
          <cell r="AF28">
            <v>0.62556049763161536</v>
          </cell>
          <cell r="AG28">
            <v>0.63009283670337879</v>
          </cell>
          <cell r="AH28">
            <v>0.6420901724978525</v>
          </cell>
          <cell r="AI28">
            <v>0.64080251657166865</v>
          </cell>
          <cell r="AJ28">
            <v>0.6370305799800754</v>
          </cell>
          <cell r="AK28">
            <v>0.73064468010089223</v>
          </cell>
          <cell r="AL28">
            <v>0.74109858555780073</v>
          </cell>
          <cell r="AM28">
            <v>0.72751240811948059</v>
          </cell>
          <cell r="AN28">
            <v>0.72160585127996757</v>
          </cell>
          <cell r="AO28">
            <v>0.74528805370635653</v>
          </cell>
          <cell r="AP28">
            <v>0.73689249776746668</v>
          </cell>
          <cell r="AQ28">
            <v>0.73741929486276003</v>
          </cell>
          <cell r="AR28">
            <v>0.73751799221670034</v>
          </cell>
          <cell r="AS28">
            <v>0.75237038760305719</v>
          </cell>
          <cell r="AT28">
            <v>0.7487828627069133</v>
          </cell>
          <cell r="AU28">
            <v>0.7584857924017574</v>
          </cell>
          <cell r="AV28">
            <v>0.75266587677725105</v>
          </cell>
          <cell r="AW28">
            <v>0.76305130513051311</v>
          </cell>
          <cell r="AX28">
            <v>0.75395704648894679</v>
          </cell>
          <cell r="AY28">
            <v>0.74623718443660403</v>
          </cell>
          <cell r="AZ28">
            <v>0.75860836002782106</v>
          </cell>
          <cell r="BA28">
            <v>0.7609242484303046</v>
          </cell>
          <cell r="BB28">
            <v>0.75771569215652002</v>
          </cell>
          <cell r="BC28">
            <v>0.75547674536427201</v>
          </cell>
          <cell r="BD28">
            <v>0.76002348355816096</v>
          </cell>
          <cell r="BE28">
            <v>0.76571075227645824</v>
          </cell>
          <cell r="BF28">
            <v>0.76124672030506213</v>
          </cell>
          <cell r="BG28">
            <v>0.7604369187371669</v>
          </cell>
          <cell r="BH28">
            <v>0.75724104433188111</v>
          </cell>
          <cell r="BI28">
            <v>0.75950026213135002</v>
          </cell>
          <cell r="BJ28">
            <v>0.74703927264812009</v>
          </cell>
          <cell r="BK28">
            <v>0.73202380064815686</v>
          </cell>
          <cell r="BL28">
            <v>0.73227126755274463</v>
          </cell>
          <cell r="BM28">
            <v>0.74209905744532445</v>
          </cell>
          <cell r="BN28">
            <v>0.74262040206192781</v>
          </cell>
          <cell r="BO28">
            <v>0.74287570028377692</v>
          </cell>
          <cell r="BP28">
            <v>0.7430370757066902</v>
          </cell>
          <cell r="BQ28">
            <v>0.74293124107038411</v>
          </cell>
          <cell r="BR28">
            <v>0.74309576047312009</v>
          </cell>
          <cell r="BS28">
            <v>0.74320968450623881</v>
          </cell>
          <cell r="BT28">
            <v>0.74325927093788691</v>
          </cell>
        </row>
        <row r="30">
          <cell r="A30" t="str">
            <v>Corp. General, Admin. &amp; Development</v>
          </cell>
          <cell r="C30">
            <v>37.201999999999998</v>
          </cell>
          <cell r="D30">
            <v>26.867000000000001</v>
          </cell>
          <cell r="E30">
            <v>27.467999999999996</v>
          </cell>
          <cell r="F30">
            <v>102.223</v>
          </cell>
          <cell r="G30">
            <v>119.822</v>
          </cell>
          <cell r="H30">
            <v>132.28400000000002</v>
          </cell>
          <cell r="I30">
            <v>125.568</v>
          </cell>
          <cell r="J30">
            <v>141.024</v>
          </cell>
          <cell r="K30">
            <v>177.21300000000002</v>
          </cell>
          <cell r="L30">
            <v>242.46138686327458</v>
          </cell>
          <cell r="M30">
            <v>276.58908284668632</v>
          </cell>
          <cell r="N30">
            <v>290.49107758421144</v>
          </cell>
          <cell r="O30">
            <v>288.02595526512079</v>
          </cell>
          <cell r="P30">
            <v>303.29696828287052</v>
          </cell>
          <cell r="Q30">
            <v>318.39185993984063</v>
          </cell>
          <cell r="R30">
            <v>332.48418535945945</v>
          </cell>
          <cell r="S30">
            <v>345.42695655948415</v>
          </cell>
          <cell r="T30">
            <v>357.14987422284497</v>
          </cell>
          <cell r="U30">
            <v>367.38940785736963</v>
          </cell>
          <cell r="V30">
            <v>376.27041695691213</v>
          </cell>
          <cell r="W30">
            <v>0.17908669829884327</v>
          </cell>
          <cell r="Y30">
            <v>12.099999999999998</v>
          </cell>
          <cell r="Z30">
            <v>10.452999999999999</v>
          </cell>
          <cell r="AA30">
            <v>8.0120000000000005</v>
          </cell>
          <cell r="AB30">
            <v>6.6369999999999996</v>
          </cell>
          <cell r="AC30">
            <v>6.6479999999999997</v>
          </cell>
          <cell r="AD30">
            <v>6.9649999999999999</v>
          </cell>
          <cell r="AE30">
            <v>6.4930000000000003</v>
          </cell>
          <cell r="AF30">
            <v>6.7610000000000001</v>
          </cell>
          <cell r="AG30">
            <v>6.8789999999999996</v>
          </cell>
          <cell r="AH30">
            <v>6.6509999999999998</v>
          </cell>
          <cell r="AI30">
            <v>6.8609999999999998</v>
          </cell>
          <cell r="AJ30">
            <v>7.077</v>
          </cell>
          <cell r="AK30">
            <v>20.904</v>
          </cell>
          <cell r="AL30">
            <v>20.599</v>
          </cell>
          <cell r="AM30">
            <v>30.506</v>
          </cell>
          <cell r="AN30">
            <v>30.214000000000002</v>
          </cell>
          <cell r="AO30">
            <v>26.802000000000003</v>
          </cell>
          <cell r="AP30">
            <v>27.262999999999998</v>
          </cell>
          <cell r="AQ30">
            <v>31.701000000000001</v>
          </cell>
          <cell r="AR30">
            <v>34.056000000000004</v>
          </cell>
          <cell r="AS30">
            <v>32.379000000000005</v>
          </cell>
          <cell r="AT30">
            <v>30.517000000000003</v>
          </cell>
          <cell r="AU30">
            <v>33.764000000000003</v>
          </cell>
          <cell r="AV30">
            <v>35.624000000000002</v>
          </cell>
          <cell r="AW30">
            <v>32.644999999999996</v>
          </cell>
          <cell r="AX30">
            <v>28.186999999999998</v>
          </cell>
          <cell r="AY30">
            <v>31.47</v>
          </cell>
          <cell r="AZ30">
            <v>33.266000000000005</v>
          </cell>
          <cell r="BA30">
            <v>33.292999999999999</v>
          </cell>
          <cell r="BB30">
            <v>37.024999999999999</v>
          </cell>
          <cell r="BC30">
            <v>34.914999999999999</v>
          </cell>
          <cell r="BD30">
            <v>35.791000000000004</v>
          </cell>
          <cell r="BE30">
            <v>39.962000000000003</v>
          </cell>
          <cell r="BF30">
            <v>40.353999999999999</v>
          </cell>
          <cell r="BG30">
            <v>43.942</v>
          </cell>
          <cell r="BH30">
            <v>52.954999999999998</v>
          </cell>
          <cell r="BI30">
            <v>53.774000000000001</v>
          </cell>
          <cell r="BJ30">
            <v>60.634</v>
          </cell>
          <cell r="BK30">
            <v>66.099000000000004</v>
          </cell>
          <cell r="BL30">
            <v>61.954386863274593</v>
          </cell>
          <cell r="BM30">
            <v>63.122874501836201</v>
          </cell>
          <cell r="BN30">
            <v>68.258123492001872</v>
          </cell>
          <cell r="BO30">
            <v>71.411184638053271</v>
          </cell>
          <cell r="BP30">
            <v>73.796900214795016</v>
          </cell>
          <cell r="BQ30">
            <v>69.554767014921964</v>
          </cell>
          <cell r="BR30">
            <v>71.924291923116044</v>
          </cell>
          <cell r="BS30">
            <v>73.862306558750063</v>
          </cell>
          <cell r="BT30">
            <v>75.149712087423396</v>
          </cell>
          <cell r="BV30" t="str">
            <v>mstag:generalAndAdministrativeExpenses</v>
          </cell>
          <cell r="BW30">
            <v>6</v>
          </cell>
          <cell r="BX30" t="str">
            <v>ISO4217:USD</v>
          </cell>
          <cell r="BY30" t="b">
            <v>0</v>
          </cell>
          <cell r="BZ30" t="b">
            <v>0</v>
          </cell>
        </row>
        <row r="31">
          <cell r="A31" t="str">
            <v>TV Azteca</v>
          </cell>
          <cell r="C31">
            <v>13.937999999999999</v>
          </cell>
          <cell r="D31">
            <v>14.222</v>
          </cell>
          <cell r="E31">
            <v>14.315999999999999</v>
          </cell>
          <cell r="F31">
            <v>14.232000000000001</v>
          </cell>
          <cell r="G31">
            <v>14.208</v>
          </cell>
          <cell r="H31">
            <v>14.207000000000001</v>
          </cell>
          <cell r="I31">
            <v>14.253</v>
          </cell>
          <cell r="J31">
            <v>14.21</v>
          </cell>
          <cell r="K31">
            <v>14.212</v>
          </cell>
          <cell r="L31">
            <v>14.085000000000001</v>
          </cell>
          <cell r="M31">
            <v>13.992000000000001</v>
          </cell>
          <cell r="N31">
            <v>13.992000000000001</v>
          </cell>
          <cell r="O31">
            <v>13.992000000000001</v>
          </cell>
          <cell r="P31">
            <v>13.992000000000001</v>
          </cell>
          <cell r="Q31">
            <v>13.992000000000001</v>
          </cell>
          <cell r="R31">
            <v>13.992000000000001</v>
          </cell>
          <cell r="S31">
            <v>13.992000000000001</v>
          </cell>
          <cell r="T31">
            <v>13.992000000000001</v>
          </cell>
          <cell r="U31">
            <v>13.992000000000001</v>
          </cell>
          <cell r="V31">
            <v>13.992000000000001</v>
          </cell>
          <cell r="Y31">
            <v>3.4289999999999998</v>
          </cell>
          <cell r="Z31">
            <v>3.4710000000000001</v>
          </cell>
          <cell r="AA31">
            <v>3.5139999999999998</v>
          </cell>
          <cell r="AB31">
            <v>3.524</v>
          </cell>
          <cell r="AC31">
            <v>3.5019999999999998</v>
          </cell>
          <cell r="AD31">
            <v>3.528</v>
          </cell>
          <cell r="AE31">
            <v>3.5230000000000001</v>
          </cell>
          <cell r="AF31">
            <v>3.669</v>
          </cell>
          <cell r="AG31">
            <v>3.54</v>
          </cell>
          <cell r="AH31">
            <v>3.6520000000000001</v>
          </cell>
          <cell r="AI31">
            <v>3.5840000000000001</v>
          </cell>
          <cell r="AJ31">
            <v>3.54</v>
          </cell>
          <cell r="AK31">
            <v>3.4980000000000002</v>
          </cell>
          <cell r="AL31">
            <v>3.5840000000000001</v>
          </cell>
          <cell r="AM31">
            <v>3.609</v>
          </cell>
          <cell r="AN31">
            <v>3.5409999999999999</v>
          </cell>
          <cell r="AO31">
            <v>3.4980000000000002</v>
          </cell>
          <cell r="AP31">
            <v>3.5840000000000001</v>
          </cell>
          <cell r="AQ31">
            <v>3.5840000000000001</v>
          </cell>
          <cell r="AR31">
            <v>3.5419999999999998</v>
          </cell>
          <cell r="AS31">
            <v>3.4980000000000002</v>
          </cell>
          <cell r="AT31">
            <v>3.5840000000000001</v>
          </cell>
          <cell r="AU31">
            <v>3.5840000000000001</v>
          </cell>
          <cell r="AV31">
            <v>3.5410000000000013</v>
          </cell>
          <cell r="AW31">
            <v>3.5409999999999999</v>
          </cell>
          <cell r="AX31">
            <v>3.5840000000000001</v>
          </cell>
          <cell r="AY31">
            <v>3.5859999999999999</v>
          </cell>
          <cell r="AZ31">
            <v>3.5419999999999998</v>
          </cell>
          <cell r="BA31">
            <v>3.4990000000000001</v>
          </cell>
          <cell r="BB31">
            <v>3.585</v>
          </cell>
          <cell r="BC31">
            <v>3.585</v>
          </cell>
          <cell r="BD31">
            <v>3.5409999999999999</v>
          </cell>
          <cell r="BE31">
            <v>3.4990000000000001</v>
          </cell>
          <cell r="BF31">
            <v>3.585</v>
          </cell>
          <cell r="BG31">
            <v>3.585</v>
          </cell>
          <cell r="BH31">
            <v>3.5430000000000001</v>
          </cell>
          <cell r="BI31">
            <v>3.4990000000000001</v>
          </cell>
          <cell r="BJ31">
            <v>3.59</v>
          </cell>
          <cell r="BK31">
            <v>3.4980000000000002</v>
          </cell>
          <cell r="BL31">
            <v>3.4980000000000002</v>
          </cell>
          <cell r="BM31">
            <v>3.4980000000000002</v>
          </cell>
          <cell r="BN31">
            <v>3.4980000000000002</v>
          </cell>
          <cell r="BO31">
            <v>3.4980000000000002</v>
          </cell>
          <cell r="BP31">
            <v>3.4980000000000002</v>
          </cell>
          <cell r="BQ31">
            <v>3.4980000000000002</v>
          </cell>
          <cell r="BR31">
            <v>3.4980000000000002</v>
          </cell>
          <cell r="BS31">
            <v>3.4980000000000002</v>
          </cell>
          <cell r="BT31">
            <v>3.4980000000000002</v>
          </cell>
          <cell r="BV31" t="str">
            <v>mstag:otherOperatingExpense</v>
          </cell>
          <cell r="BW31">
            <v>6</v>
          </cell>
          <cell r="BX31" t="str">
            <v>ISO4217:USD</v>
          </cell>
          <cell r="BY31" t="b">
            <v>1</v>
          </cell>
        </row>
        <row r="32">
          <cell r="A32" t="str">
            <v>Stock compensation</v>
          </cell>
          <cell r="C32">
            <v>0</v>
          </cell>
          <cell r="D32">
            <v>0</v>
          </cell>
          <cell r="E32">
            <v>0</v>
          </cell>
          <cell r="F32">
            <v>5.8360000000000003</v>
          </cell>
          <cell r="G32">
            <v>39.501999999999995</v>
          </cell>
          <cell r="H32">
            <v>54.198999999999998</v>
          </cell>
          <cell r="I32">
            <v>54.805999999999997</v>
          </cell>
          <cell r="J32">
            <v>60.67</v>
          </cell>
          <cell r="K32">
            <v>52.555999999999997</v>
          </cell>
          <cell r="L32">
            <v>47.832000000000008</v>
          </cell>
          <cell r="M32">
            <v>51.832000000000008</v>
          </cell>
          <cell r="N32">
            <v>55.832000000000008</v>
          </cell>
          <cell r="O32">
            <v>55.832000000000008</v>
          </cell>
          <cell r="P32">
            <v>55.832000000000008</v>
          </cell>
          <cell r="Q32">
            <v>55.832000000000008</v>
          </cell>
          <cell r="R32">
            <v>55.832000000000008</v>
          </cell>
          <cell r="S32">
            <v>55.832000000000008</v>
          </cell>
          <cell r="T32">
            <v>55.832000000000008</v>
          </cell>
          <cell r="U32">
            <v>55.832000000000008</v>
          </cell>
          <cell r="V32">
            <v>55.832000000000008</v>
          </cell>
          <cell r="Y32">
            <v>0</v>
          </cell>
          <cell r="Z32">
            <v>0</v>
          </cell>
          <cell r="AA32">
            <v>0</v>
          </cell>
          <cell r="AB32">
            <v>0</v>
          </cell>
          <cell r="AC32">
            <v>0</v>
          </cell>
          <cell r="AD32">
            <v>0</v>
          </cell>
          <cell r="AE32">
            <v>0</v>
          </cell>
          <cell r="AF32">
            <v>0</v>
          </cell>
          <cell r="AG32">
            <v>0</v>
          </cell>
          <cell r="AH32">
            <v>0</v>
          </cell>
          <cell r="AI32">
            <v>0</v>
          </cell>
          <cell r="AJ32">
            <v>0</v>
          </cell>
          <cell r="AK32">
            <v>0</v>
          </cell>
          <cell r="AL32">
            <v>1.7649999999999999</v>
          </cell>
          <cell r="AM32">
            <v>2.0880000000000001</v>
          </cell>
          <cell r="AN32">
            <v>1.9830000000000001</v>
          </cell>
          <cell r="AO32">
            <v>9.5109999999999992</v>
          </cell>
          <cell r="AP32">
            <v>9.3469999999999995</v>
          </cell>
          <cell r="AQ32">
            <v>10.683</v>
          </cell>
          <cell r="AR32">
            <v>9.9610000000000003</v>
          </cell>
          <cell r="AS32">
            <v>16.263999999999999</v>
          </cell>
          <cell r="AT32">
            <v>11.545999999999999</v>
          </cell>
          <cell r="AU32">
            <v>15.266</v>
          </cell>
          <cell r="AV32">
            <v>11.122999999999999</v>
          </cell>
          <cell r="AW32">
            <v>16.263999999999999</v>
          </cell>
          <cell r="AX32">
            <v>13.597</v>
          </cell>
          <cell r="AY32">
            <v>13.249000000000001</v>
          </cell>
          <cell r="AZ32">
            <v>11.696</v>
          </cell>
          <cell r="BA32">
            <v>24.338000000000001</v>
          </cell>
          <cell r="BB32">
            <v>12.835999999999999</v>
          </cell>
          <cell r="BC32">
            <v>12.950000000000003</v>
          </cell>
          <cell r="BD32">
            <v>10.545999999999999</v>
          </cell>
          <cell r="BE32">
            <v>13.565</v>
          </cell>
          <cell r="BF32">
            <v>13.228</v>
          </cell>
          <cell r="BG32">
            <v>13.353</v>
          </cell>
          <cell r="BH32">
            <v>12.41</v>
          </cell>
          <cell r="BI32">
            <v>12.358000000000001</v>
          </cell>
          <cell r="BJ32">
            <v>11.686999999999999</v>
          </cell>
          <cell r="BK32">
            <v>10.377000000000001</v>
          </cell>
          <cell r="BL32">
            <v>13.41</v>
          </cell>
          <cell r="BM32">
            <v>13.358000000000001</v>
          </cell>
          <cell r="BN32">
            <v>12.686999999999999</v>
          </cell>
          <cell r="BO32">
            <v>11.377000000000001</v>
          </cell>
          <cell r="BP32">
            <v>14.41</v>
          </cell>
          <cell r="BQ32">
            <v>14.358000000000001</v>
          </cell>
          <cell r="BR32">
            <v>13.686999999999999</v>
          </cell>
          <cell r="BS32">
            <v>12.377000000000001</v>
          </cell>
          <cell r="BT32">
            <v>15.41</v>
          </cell>
          <cell r="BV32" t="str">
            <v>mstag:otherNonOperatingIncomeExpense</v>
          </cell>
          <cell r="BW32">
            <v>6</v>
          </cell>
          <cell r="BX32" t="str">
            <v>ISO4217:USD</v>
          </cell>
          <cell r="BY32" t="b">
            <v>1</v>
          </cell>
        </row>
        <row r="33">
          <cell r="A33" t="str">
            <v>Asset write-down charges</v>
          </cell>
          <cell r="C33">
            <v>0</v>
          </cell>
          <cell r="D33">
            <v>0</v>
          </cell>
          <cell r="E33">
            <v>0</v>
          </cell>
          <cell r="F33">
            <v>0</v>
          </cell>
          <cell r="G33">
            <v>2.5720000000000001</v>
          </cell>
          <cell r="H33">
            <v>7.8129999999999997</v>
          </cell>
          <cell r="I33">
            <v>0</v>
          </cell>
          <cell r="J33">
            <v>0</v>
          </cell>
          <cell r="K33">
            <v>0</v>
          </cell>
          <cell r="L33">
            <v>0</v>
          </cell>
          <cell r="M33">
            <v>0</v>
          </cell>
          <cell r="N33">
            <v>0</v>
          </cell>
          <cell r="O33">
            <v>0</v>
          </cell>
          <cell r="P33">
            <v>0</v>
          </cell>
          <cell r="Q33">
            <v>0</v>
          </cell>
          <cell r="R33">
            <v>0</v>
          </cell>
          <cell r="S33">
            <v>0</v>
          </cell>
          <cell r="T33">
            <v>0</v>
          </cell>
          <cell r="U33">
            <v>0</v>
          </cell>
          <cell r="V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1.514</v>
          </cell>
          <cell r="AP33">
            <v>-6.7000000000000004E-2</v>
          </cell>
          <cell r="AQ33">
            <v>0.157</v>
          </cell>
          <cell r="AR33">
            <v>0.96799999999999997</v>
          </cell>
          <cell r="AS33">
            <v>0.24399999999999999</v>
          </cell>
          <cell r="AT33">
            <v>0</v>
          </cell>
          <cell r="AU33">
            <v>-0.19700000000000001</v>
          </cell>
          <cell r="AV33">
            <v>7.766</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row>
        <row r="34">
          <cell r="A34" t="str">
            <v>Other Operating Expenses</v>
          </cell>
          <cell r="C34">
            <v>94.408000000000001</v>
          </cell>
          <cell r="D34">
            <v>31.655999999999999</v>
          </cell>
          <cell r="E34">
            <v>23.876000000000005</v>
          </cell>
          <cell r="F34">
            <v>34.231999999999999</v>
          </cell>
          <cell r="G34">
            <v>0</v>
          </cell>
          <cell r="H34">
            <v>1.385</v>
          </cell>
          <cell r="I34">
            <v>11.189</v>
          </cell>
          <cell r="J34">
            <v>19.167999999999999</v>
          </cell>
          <cell r="K34">
            <v>35.876000000000005</v>
          </cell>
          <cell r="L34">
            <v>35.770000000000003</v>
          </cell>
          <cell r="M34">
            <v>0</v>
          </cell>
          <cell r="N34">
            <v>0</v>
          </cell>
          <cell r="O34">
            <v>0</v>
          </cell>
          <cell r="P34">
            <v>0</v>
          </cell>
          <cell r="Q34">
            <v>0</v>
          </cell>
          <cell r="R34">
            <v>0</v>
          </cell>
          <cell r="S34">
            <v>0</v>
          </cell>
          <cell r="T34">
            <v>0</v>
          </cell>
          <cell r="U34">
            <v>0</v>
          </cell>
          <cell r="V34">
            <v>0</v>
          </cell>
          <cell r="Y34">
            <v>-3.706</v>
          </cell>
          <cell r="Z34">
            <v>5.0170000000000003</v>
          </cell>
          <cell r="AA34">
            <v>83.201999999999998</v>
          </cell>
          <cell r="AB34">
            <v>9.8949999999999996</v>
          </cell>
          <cell r="AC34">
            <v>3.6960000000000002</v>
          </cell>
          <cell r="AD34">
            <v>8.0020000000000007</v>
          </cell>
          <cell r="AE34">
            <v>7.6459999999999999</v>
          </cell>
          <cell r="AF34">
            <v>12.311999999999996</v>
          </cell>
          <cell r="AG34">
            <v>3.9140000000000001</v>
          </cell>
          <cell r="AH34">
            <v>5.3730000000000002</v>
          </cell>
          <cell r="AI34">
            <v>6.5170000000000003</v>
          </cell>
          <cell r="AJ34">
            <v>8.072000000000001</v>
          </cell>
          <cell r="AK34">
            <v>2.7770000000000001</v>
          </cell>
          <cell r="AL34">
            <v>1.4730000000000001</v>
          </cell>
          <cell r="AM34">
            <v>6.0869999999999997</v>
          </cell>
          <cell r="AN34">
            <v>23.895</v>
          </cell>
          <cell r="AO34">
            <v>0</v>
          </cell>
          <cell r="AP34">
            <v>0</v>
          </cell>
          <cell r="AQ34">
            <v>0</v>
          </cell>
          <cell r="AR34">
            <v>0</v>
          </cell>
          <cell r="AS34">
            <v>0</v>
          </cell>
          <cell r="AT34">
            <v>1.385</v>
          </cell>
          <cell r="AU34">
            <v>0</v>
          </cell>
          <cell r="AV34">
            <v>0</v>
          </cell>
          <cell r="AW34">
            <v>0.78900000000000003</v>
          </cell>
          <cell r="AX34">
            <v>0.58299999999999996</v>
          </cell>
          <cell r="AY34">
            <v>1.9359999999999999</v>
          </cell>
          <cell r="AZ34">
            <v>7.8810000000000002</v>
          </cell>
          <cell r="BA34">
            <v>3.1890000000000001</v>
          </cell>
          <cell r="BB34">
            <v>2.0139999999999998</v>
          </cell>
          <cell r="BC34">
            <v>3.0259999999999998</v>
          </cell>
          <cell r="BD34">
            <v>10.939</v>
          </cell>
          <cell r="BE34">
            <v>4.7539999999999996</v>
          </cell>
          <cell r="BF34">
            <v>5.0369999999999999</v>
          </cell>
          <cell r="BG34">
            <v>4.2990000000000004</v>
          </cell>
          <cell r="BH34">
            <v>21.786000000000001</v>
          </cell>
          <cell r="BI34">
            <v>11.704000000000001</v>
          </cell>
          <cell r="BJ34">
            <v>9.49</v>
          </cell>
          <cell r="BK34">
            <v>14.576000000000001</v>
          </cell>
          <cell r="BL34">
            <v>0</v>
          </cell>
          <cell r="BM34">
            <v>0</v>
          </cell>
          <cell r="BN34">
            <v>0</v>
          </cell>
          <cell r="BO34">
            <v>0</v>
          </cell>
          <cell r="BP34">
            <v>0</v>
          </cell>
          <cell r="BQ34">
            <v>0</v>
          </cell>
          <cell r="BR34">
            <v>0</v>
          </cell>
          <cell r="BS34">
            <v>0</v>
          </cell>
          <cell r="BT34">
            <v>0</v>
          </cell>
          <cell r="BV34" t="str">
            <v>mstag:otherOperatingExpense</v>
          </cell>
          <cell r="BW34">
            <v>6</v>
          </cell>
          <cell r="BX34" t="str">
            <v>ISO4217:USD</v>
          </cell>
          <cell r="BY34" t="b">
            <v>0</v>
          </cell>
        </row>
        <row r="35">
          <cell r="A35" t="str">
            <v>Total Reconciling Items for EBIT</v>
          </cell>
          <cell r="C35">
            <v>108.346</v>
          </cell>
          <cell r="D35">
            <v>45.878</v>
          </cell>
          <cell r="E35">
            <v>38.192000000000007</v>
          </cell>
          <cell r="F35">
            <v>54.3</v>
          </cell>
          <cell r="G35">
            <v>56.281999999999996</v>
          </cell>
          <cell r="H35">
            <v>77.603999999999999</v>
          </cell>
          <cell r="I35">
            <v>80.248000000000005</v>
          </cell>
          <cell r="J35">
            <v>94.048000000000002</v>
          </cell>
          <cell r="K35">
            <v>102.64400000000001</v>
          </cell>
          <cell r="L35">
            <v>97.687000000000012</v>
          </cell>
          <cell r="M35">
            <v>65.824000000000012</v>
          </cell>
          <cell r="N35">
            <v>69.824000000000012</v>
          </cell>
          <cell r="O35">
            <v>69.824000000000012</v>
          </cell>
          <cell r="P35">
            <v>69.824000000000012</v>
          </cell>
          <cell r="Q35">
            <v>69.824000000000012</v>
          </cell>
          <cell r="R35">
            <v>69.824000000000012</v>
          </cell>
          <cell r="S35">
            <v>69.824000000000012</v>
          </cell>
          <cell r="T35">
            <v>69.824000000000012</v>
          </cell>
          <cell r="U35">
            <v>69.824000000000012</v>
          </cell>
          <cell r="V35">
            <v>69.824000000000012</v>
          </cell>
          <cell r="Y35">
            <v>-0.27700000000000014</v>
          </cell>
          <cell r="Z35">
            <v>8.4879999999999995</v>
          </cell>
          <cell r="AA35">
            <v>86.715999999999994</v>
          </cell>
          <cell r="AB35">
            <v>13.419</v>
          </cell>
          <cell r="AC35">
            <v>7.1980000000000004</v>
          </cell>
          <cell r="AD35">
            <v>11.530000000000001</v>
          </cell>
          <cell r="AE35">
            <v>11.169</v>
          </cell>
          <cell r="AF35">
            <v>15.980999999999996</v>
          </cell>
          <cell r="AG35">
            <v>7.4540000000000006</v>
          </cell>
          <cell r="AH35">
            <v>9.0250000000000004</v>
          </cell>
          <cell r="AI35">
            <v>10.101000000000001</v>
          </cell>
          <cell r="AJ35">
            <v>11.612000000000002</v>
          </cell>
          <cell r="AK35">
            <v>6.2750000000000004</v>
          </cell>
          <cell r="AL35">
            <v>6.8220000000000001</v>
          </cell>
          <cell r="AM35">
            <v>11.784000000000001</v>
          </cell>
          <cell r="AN35">
            <v>29.419</v>
          </cell>
          <cell r="AO35">
            <v>14.523</v>
          </cell>
          <cell r="AP35">
            <v>12.863999999999999</v>
          </cell>
          <cell r="AQ35">
            <v>14.423999999999999</v>
          </cell>
          <cell r="AR35">
            <v>14.471</v>
          </cell>
          <cell r="AS35">
            <v>20.006</v>
          </cell>
          <cell r="AT35">
            <v>16.515000000000001</v>
          </cell>
          <cell r="AU35">
            <v>18.653000000000002</v>
          </cell>
          <cell r="AV35">
            <v>22.43</v>
          </cell>
          <cell r="AW35">
            <v>20.594000000000001</v>
          </cell>
          <cell r="AX35">
            <v>17.763999999999999</v>
          </cell>
          <cell r="AY35">
            <v>18.771000000000001</v>
          </cell>
          <cell r="AZ35">
            <v>23.119</v>
          </cell>
          <cell r="BA35">
            <v>31.026</v>
          </cell>
          <cell r="BB35">
            <v>18.434999999999999</v>
          </cell>
          <cell r="BC35">
            <v>19.561000000000003</v>
          </cell>
          <cell r="BD35">
            <v>25.026</v>
          </cell>
          <cell r="BE35">
            <v>21.817999999999998</v>
          </cell>
          <cell r="BF35">
            <v>21.85</v>
          </cell>
          <cell r="BG35">
            <v>21.237000000000002</v>
          </cell>
          <cell r="BH35">
            <v>37.738999999999997</v>
          </cell>
          <cell r="BI35">
            <v>27.561</v>
          </cell>
          <cell r="BJ35">
            <v>24.766999999999999</v>
          </cell>
          <cell r="BK35">
            <v>28.451000000000004</v>
          </cell>
          <cell r="BL35">
            <v>16.908000000000001</v>
          </cell>
          <cell r="BM35">
            <v>16.856000000000002</v>
          </cell>
          <cell r="BN35">
            <v>16.184999999999999</v>
          </cell>
          <cell r="BO35">
            <v>14.875</v>
          </cell>
          <cell r="BP35">
            <v>17.908000000000001</v>
          </cell>
          <cell r="BQ35">
            <v>17.856000000000002</v>
          </cell>
          <cell r="BR35">
            <v>17.184999999999999</v>
          </cell>
          <cell r="BS35">
            <v>15.875</v>
          </cell>
          <cell r="BT35">
            <v>18.908000000000001</v>
          </cell>
        </row>
        <row r="37">
          <cell r="A37" t="str">
            <v>Total Reconciling Items for Normalization</v>
          </cell>
          <cell r="C37">
            <v>-34.414999999999999</v>
          </cell>
          <cell r="D37">
            <v>-54.795000000000002</v>
          </cell>
          <cell r="E37">
            <v>-140.81399999999999</v>
          </cell>
          <cell r="F37">
            <v>-66.88300000000001</v>
          </cell>
          <cell r="G37">
            <v>-20.604000000000003</v>
          </cell>
          <cell r="H37">
            <v>-14.754000000000001</v>
          </cell>
          <cell r="I37">
            <v>1.0840000000000001</v>
          </cell>
          <cell r="J37">
            <v>-16.899999999999999</v>
          </cell>
          <cell r="K37">
            <v>-1.5709999999999997</v>
          </cell>
          <cell r="L37">
            <v>-115.7097</v>
          </cell>
          <cell r="M37">
            <v>0</v>
          </cell>
          <cell r="N37">
            <v>0</v>
          </cell>
          <cell r="O37">
            <v>0</v>
          </cell>
          <cell r="P37">
            <v>0</v>
          </cell>
          <cell r="Q37">
            <v>0</v>
          </cell>
          <cell r="R37">
            <v>0</v>
          </cell>
          <cell r="S37">
            <v>0</v>
          </cell>
          <cell r="T37">
            <v>0</v>
          </cell>
          <cell r="U37">
            <v>0</v>
          </cell>
          <cell r="V37">
            <v>0</v>
          </cell>
          <cell r="Y37">
            <v>-10.416</v>
          </cell>
          <cell r="Z37">
            <v>-17.808</v>
          </cell>
          <cell r="AA37">
            <v>-5.3019999999999996</v>
          </cell>
          <cell r="AB37">
            <v>-0.88900000000000001</v>
          </cell>
          <cell r="AC37">
            <v>-14.376999999999999</v>
          </cell>
          <cell r="AD37">
            <v>-36.234000000000002</v>
          </cell>
          <cell r="AE37">
            <v>2.327</v>
          </cell>
          <cell r="AF37">
            <v>-6.5109999999999992</v>
          </cell>
          <cell r="AG37">
            <v>-8.2570000000000014</v>
          </cell>
          <cell r="AH37">
            <v>-32.042999999999999</v>
          </cell>
          <cell r="AI37">
            <v>-49.127000000000002</v>
          </cell>
          <cell r="AJ37">
            <v>-51.387</v>
          </cell>
          <cell r="AK37">
            <v>-14.372</v>
          </cell>
          <cell r="AL37">
            <v>-17.548000000000002</v>
          </cell>
          <cell r="AM37">
            <v>-13.308</v>
          </cell>
          <cell r="AN37">
            <v>-21.655000000000001</v>
          </cell>
          <cell r="AO37">
            <v>-17.848000000000003</v>
          </cell>
          <cell r="AP37">
            <v>-0.83599999999999985</v>
          </cell>
          <cell r="AQ37">
            <v>-6.3090000000000002</v>
          </cell>
          <cell r="AR37">
            <v>4.3889999999999993</v>
          </cell>
          <cell r="AS37">
            <v>-1.1539999999999999</v>
          </cell>
          <cell r="AT37">
            <v>-15.034000000000001</v>
          </cell>
          <cell r="AU37">
            <v>1.2329999999999999</v>
          </cell>
          <cell r="AV37">
            <v>0.20100000000000007</v>
          </cell>
          <cell r="AW37">
            <v>-0.80300000000000005</v>
          </cell>
          <cell r="AX37">
            <v>-1.5370000000000001</v>
          </cell>
          <cell r="AY37">
            <v>9.9999999999999978E-2</v>
          </cell>
          <cell r="AZ37">
            <v>3.3240000000000003</v>
          </cell>
          <cell r="BA37">
            <v>7.0999999999999994E-2</v>
          </cell>
          <cell r="BB37">
            <v>-5.0110000000000001</v>
          </cell>
          <cell r="BC37">
            <v>-0.34900000000000003</v>
          </cell>
          <cell r="BD37">
            <v>-11.610999999999999</v>
          </cell>
          <cell r="BE37">
            <v>0.39600000000000002</v>
          </cell>
          <cell r="BF37">
            <v>-6.7540000000000004</v>
          </cell>
          <cell r="BG37">
            <v>8.2360000000000007</v>
          </cell>
          <cell r="BH37">
            <v>-3.4489999999999998</v>
          </cell>
          <cell r="BI37">
            <v>13.7073</v>
          </cell>
          <cell r="BJ37">
            <v>21.459</v>
          </cell>
          <cell r="BK37">
            <v>-150.876</v>
          </cell>
          <cell r="BL37">
            <v>0</v>
          </cell>
          <cell r="BM37">
            <v>0</v>
          </cell>
          <cell r="BN37">
            <v>0</v>
          </cell>
          <cell r="BO37">
            <v>0</v>
          </cell>
          <cell r="BP37">
            <v>0</v>
          </cell>
          <cell r="BQ37">
            <v>0</v>
          </cell>
          <cell r="BR37">
            <v>0</v>
          </cell>
          <cell r="BS37">
            <v>0</v>
          </cell>
          <cell r="BT37">
            <v>0</v>
          </cell>
        </row>
        <row r="39">
          <cell r="A39" t="str">
            <v>EBITDA</v>
          </cell>
          <cell r="C39">
            <v>307.94599999999991</v>
          </cell>
          <cell r="D39">
            <v>375.99999999999994</v>
          </cell>
          <cell r="E39">
            <v>437.39500000000004</v>
          </cell>
          <cell r="F39">
            <v>600.66799999999989</v>
          </cell>
          <cell r="G39">
            <v>868.23399999999992</v>
          </cell>
          <cell r="H39">
            <v>978.89499999999975</v>
          </cell>
          <cell r="I39">
            <v>1092.3339999999998</v>
          </cell>
          <cell r="J39">
            <v>1180.9250000000002</v>
          </cell>
          <cell r="K39">
            <v>1347.748</v>
          </cell>
          <cell r="L39">
            <v>1584.1703752296016</v>
          </cell>
          <cell r="M39">
            <v>1899.6846804226077</v>
          </cell>
          <cell r="N39">
            <v>2122.0781174777685</v>
          </cell>
          <cell r="O39">
            <v>2244.7461118657193</v>
          </cell>
          <cell r="P39">
            <v>2336.1055787614168</v>
          </cell>
          <cell r="Q39">
            <v>2423.9947553852789</v>
          </cell>
          <cell r="R39">
            <v>2502.285984603026</v>
          </cell>
          <cell r="S39">
            <v>2570.4468457851262</v>
          </cell>
          <cell r="T39">
            <v>2628.0687491998037</v>
          </cell>
          <cell r="U39">
            <v>2673.5731586637175</v>
          </cell>
          <cell r="V39">
            <v>2708.2575515914632</v>
          </cell>
          <cell r="W39">
            <v>0.16336918728373018</v>
          </cell>
          <cell r="Y39">
            <v>66.425999999999988</v>
          </cell>
          <cell r="Z39">
            <v>72.871999999999986</v>
          </cell>
          <cell r="AA39">
            <v>78.783000000000001</v>
          </cell>
          <cell r="AB39">
            <v>89.864999999999981</v>
          </cell>
          <cell r="AC39">
            <v>85.132999999999981</v>
          </cell>
          <cell r="AD39">
            <v>92.46</v>
          </cell>
          <cell r="AE39">
            <v>97.564000000000021</v>
          </cell>
          <cell r="AF39">
            <v>100.84299999999999</v>
          </cell>
          <cell r="AG39">
            <v>103.015</v>
          </cell>
          <cell r="AH39">
            <v>107.62800000000001</v>
          </cell>
          <cell r="AI39">
            <v>112.63199999999999</v>
          </cell>
          <cell r="AJ39">
            <v>114.12</v>
          </cell>
          <cell r="AK39">
            <v>117.29199999999999</v>
          </cell>
          <cell r="AL39">
            <v>122.35600000000001</v>
          </cell>
          <cell r="AM39">
            <v>165.709</v>
          </cell>
          <cell r="AN39">
            <v>195.31100000000001</v>
          </cell>
          <cell r="AO39">
            <v>215.49299999999999</v>
          </cell>
          <cell r="AP39">
            <v>216.447</v>
          </cell>
          <cell r="AQ39">
            <v>217.78800000000004</v>
          </cell>
          <cell r="AR39">
            <v>218.506</v>
          </cell>
          <cell r="AS39">
            <v>236.30999999999995</v>
          </cell>
          <cell r="AT39">
            <v>241.44799999999998</v>
          </cell>
          <cell r="AU39">
            <v>248.62799999999999</v>
          </cell>
          <cell r="AV39">
            <v>252.50899999999999</v>
          </cell>
          <cell r="AW39">
            <v>262.52200000000005</v>
          </cell>
          <cell r="AX39">
            <v>272.25100000000003</v>
          </cell>
          <cell r="AY39">
            <v>277.52700000000004</v>
          </cell>
          <cell r="AZ39">
            <v>280.03399999999999</v>
          </cell>
          <cell r="BA39">
            <v>281.17900000000003</v>
          </cell>
          <cell r="BB39">
            <v>287.34499999999997</v>
          </cell>
          <cell r="BC39">
            <v>304.18099999999993</v>
          </cell>
          <cell r="BD39">
            <v>308.22000000000003</v>
          </cell>
          <cell r="BE39">
            <v>311.50200000000001</v>
          </cell>
          <cell r="BF39">
            <v>320.96899999999999</v>
          </cell>
          <cell r="BG39">
            <v>349.99199999999996</v>
          </cell>
          <cell r="BH39">
            <v>365.28500000000008</v>
          </cell>
          <cell r="BI39">
            <v>377.09199999999998</v>
          </cell>
          <cell r="BJ39">
            <v>389.11399999999998</v>
          </cell>
          <cell r="BK39">
            <v>398.86900000000003</v>
          </cell>
          <cell r="BL39">
            <v>419.09537522960113</v>
          </cell>
          <cell r="BM39">
            <v>433.46381677239697</v>
          </cell>
          <cell r="BN39">
            <v>468.81750926192603</v>
          </cell>
          <cell r="BO39">
            <v>490.50401321550373</v>
          </cell>
          <cell r="BP39">
            <v>506.89934117278085</v>
          </cell>
          <cell r="BQ39">
            <v>508.10333721571573</v>
          </cell>
          <cell r="BR39">
            <v>525.42522366686853</v>
          </cell>
          <cell r="BS39">
            <v>539.58215515715813</v>
          </cell>
          <cell r="BT39">
            <v>548.96740143802583</v>
          </cell>
        </row>
        <row r="40">
          <cell r="A40" t="str">
            <v>Seq. EBITDA growth</v>
          </cell>
          <cell r="Z40">
            <v>9.70403155390962E-2</v>
          </cell>
          <cell r="AA40">
            <v>8.1114831485344485E-2</v>
          </cell>
          <cell r="AB40">
            <v>0.14066486424736269</v>
          </cell>
          <cell r="AC40">
            <v>-5.2656762922161038E-2</v>
          </cell>
          <cell r="AD40">
            <v>8.6065333067083527E-2</v>
          </cell>
          <cell r="AE40">
            <v>5.5202249621458144E-2</v>
          </cell>
          <cell r="AF40">
            <v>3.3608708130047571E-2</v>
          </cell>
          <cell r="AG40">
            <v>2.1538431026447258E-2</v>
          </cell>
          <cell r="AH40">
            <v>4.4779886424307191E-2</v>
          </cell>
          <cell r="AI40">
            <v>4.6493477533727123E-2</v>
          </cell>
          <cell r="AJ40">
            <v>1.3211165565736316E-2</v>
          </cell>
          <cell r="AK40">
            <v>2.7795303189624754E-2</v>
          </cell>
          <cell r="AL40">
            <v>4.3174300037513325E-2</v>
          </cell>
          <cell r="AM40">
            <v>0.35431854588250666</v>
          </cell>
          <cell r="AN40">
            <v>0.1786384565714596</v>
          </cell>
          <cell r="AO40">
            <v>0.10333263359462586</v>
          </cell>
          <cell r="AP40">
            <v>4.4270579554788192E-3</v>
          </cell>
          <cell r="AQ40">
            <v>6.1955120653094387E-3</v>
          </cell>
          <cell r="AR40">
            <v>3.2967840285045291E-3</v>
          </cell>
          <cell r="AS40">
            <v>8.1480600075054976E-2</v>
          </cell>
          <cell r="AT40">
            <v>2.1742626211332716E-2</v>
          </cell>
          <cell r="AU40">
            <v>2.9737251913455554E-2</v>
          </cell>
          <cell r="AV40">
            <v>1.5609665846163745E-2</v>
          </cell>
          <cell r="AW40">
            <v>3.9654032133508377E-2</v>
          </cell>
          <cell r="AX40">
            <v>3.705975118275795E-2</v>
          </cell>
          <cell r="AY40">
            <v>1.9379175834064899E-2</v>
          </cell>
          <cell r="AZ40">
            <v>9.0333553131765054E-3</v>
          </cell>
          <cell r="BA40">
            <v>4.0887892184522379E-3</v>
          </cell>
          <cell r="BB40">
            <v>2.1929091432859371E-2</v>
          </cell>
          <cell r="BC40">
            <v>5.8591588508587034E-2</v>
          </cell>
          <cell r="BD40">
            <v>1.3278278393456855E-2</v>
          </cell>
          <cell r="BE40">
            <v>1.064823827136463E-2</v>
          </cell>
          <cell r="BF40">
            <v>3.0391458160782259E-2</v>
          </cell>
          <cell r="BG40">
            <v>9.0423062663372411E-2</v>
          </cell>
          <cell r="BH40">
            <v>4.3695284463645123E-2</v>
          </cell>
          <cell r="BI40">
            <v>3.2322706927467415E-2</v>
          </cell>
          <cell r="BJ40">
            <v>3.1880814231009857E-2</v>
          </cell>
          <cell r="BK40">
            <v>2.5069773896595926E-2</v>
          </cell>
          <cell r="BL40">
            <v>5.0709318672549353E-2</v>
          </cell>
          <cell r="BM40">
            <v>3.4284419232553098E-2</v>
          </cell>
          <cell r="BN40">
            <v>8.156088494946423E-2</v>
          </cell>
          <cell r="BO40">
            <v>4.6257879718953898E-2</v>
          </cell>
          <cell r="BP40">
            <v>3.3425471587474664E-2</v>
          </cell>
          <cell r="BQ40">
            <v>2.3752172179771769E-3</v>
          </cell>
          <cell r="BR40">
            <v>3.4091266839679779E-2</v>
          </cell>
          <cell r="BS40">
            <v>2.694376069631832E-2</v>
          </cell>
          <cell r="BT40">
            <v>1.739354459958764E-2</v>
          </cell>
        </row>
        <row r="41">
          <cell r="A41" t="str">
            <v>Y/Y EBITDA growth</v>
          </cell>
          <cell r="D41">
            <v>0.22099329103154464</v>
          </cell>
          <cell r="E41">
            <v>0.16328457446808531</v>
          </cell>
          <cell r="F41">
            <v>0.37328501697550243</v>
          </cell>
          <cell r="G41">
            <v>0.44544740189255982</v>
          </cell>
          <cell r="H41">
            <v>0.1274552712747945</v>
          </cell>
          <cell r="I41">
            <v>0.11588474759805711</v>
          </cell>
          <cell r="J41">
            <v>8.1102483306388251E-2</v>
          </cell>
          <cell r="K41">
            <v>0.14126468658043478</v>
          </cell>
          <cell r="L41">
            <v>0.17542031242457901</v>
          </cell>
          <cell r="M41">
            <v>0.19916690156971084</v>
          </cell>
          <cell r="N41">
            <v>0.11706860583077749</v>
          </cell>
          <cell r="O41">
            <v>5.7805597907842232E-2</v>
          </cell>
          <cell r="P41">
            <v>4.0699242739645092E-2</v>
          </cell>
          <cell r="Q41">
            <v>3.7622090980348633E-2</v>
          </cell>
          <cell r="R41">
            <v>3.2298431770040326E-2</v>
          </cell>
          <cell r="S41">
            <v>2.7239436899501257E-2</v>
          </cell>
          <cell r="T41">
            <v>2.2417076435236494E-2</v>
          </cell>
          <cell r="U41">
            <v>1.7314771342176183E-2</v>
          </cell>
          <cell r="V41">
            <v>1.2973048003324994E-2</v>
          </cell>
          <cell r="Y41">
            <v>-0.97415780057505508</v>
          </cell>
          <cell r="Z41">
            <v>-0.97227165384383951</v>
          </cell>
          <cell r="AA41">
            <v>-0.97053269339396842</v>
          </cell>
          <cell r="AC41">
            <v>0.28162165417155927</v>
          </cell>
          <cell r="AD41">
            <v>0.26880008782522791</v>
          </cell>
          <cell r="AE41">
            <v>0.23838899254915424</v>
          </cell>
          <cell r="AF41">
            <v>0.12216101930673795</v>
          </cell>
          <cell r="AG41">
            <v>0.21004780754818952</v>
          </cell>
          <cell r="AH41">
            <v>0.16404931862427019</v>
          </cell>
          <cell r="AI41">
            <v>0.15444221229141863</v>
          </cell>
          <cell r="AJ41">
            <v>0.13166010531221817</v>
          </cell>
          <cell r="AK41">
            <v>0.13859146726204918</v>
          </cell>
          <cell r="AL41">
            <v>0.13684171405210543</v>
          </cell>
          <cell r="AM41">
            <v>0.47124263086866969</v>
          </cell>
          <cell r="AN41">
            <v>0.71145285664213098</v>
          </cell>
          <cell r="AO41">
            <v>0.83723527606315873</v>
          </cell>
          <cell r="AP41">
            <v>0.76899375592533259</v>
          </cell>
          <cell r="AQ41">
            <v>0.31427985202976316</v>
          </cell>
          <cell r="AR41">
            <v>0.11875931207151669</v>
          </cell>
          <cell r="AS41">
            <v>9.6601745764363312E-2</v>
          </cell>
          <cell r="AT41">
            <v>0.11550633642415908</v>
          </cell>
          <cell r="AU41">
            <v>0.14160559810457851</v>
          </cell>
          <cell r="AV41">
            <v>0.15561586409526496</v>
          </cell>
          <cell r="AW41">
            <v>0.11092209385976104</v>
          </cell>
          <cell r="AX41">
            <v>0.12757612405155583</v>
          </cell>
          <cell r="AY41">
            <v>0.11623389159708508</v>
          </cell>
          <cell r="AZ41">
            <v>0.10900601562716572</v>
          </cell>
          <cell r="BA41">
            <v>7.1068329511431383E-2</v>
          </cell>
          <cell r="BB41">
            <v>5.5441485981685856E-2</v>
          </cell>
          <cell r="BC41">
            <v>9.6041105910415592E-2</v>
          </cell>
          <cell r="BD41">
            <v>0.10065206367798218</v>
          </cell>
          <cell r="BE41">
            <v>0.10784233530953591</v>
          </cell>
          <cell r="BF41">
            <v>0.11701613043553927</v>
          </cell>
          <cell r="BG41">
            <v>0.15060440987438417</v>
          </cell>
          <cell r="BH41">
            <v>0.185143728505613</v>
          </cell>
          <cell r="BI41">
            <v>0.21056044583983402</v>
          </cell>
          <cell r="BJ41">
            <v>0.21231022310565817</v>
          </cell>
          <cell r="BK41">
            <v>0.13965176346887942</v>
          </cell>
          <cell r="BL41">
            <v>0.14731066216680411</v>
          </cell>
          <cell r="BM41">
            <v>0.14949088490977536</v>
          </cell>
          <cell r="BN41">
            <v>0.20483331173364627</v>
          </cell>
          <cell r="BO41">
            <v>0.22973711473066016</v>
          </cell>
          <cell r="BP41">
            <v>0.20950831513012136</v>
          </cell>
          <cell r="BQ41">
            <v>0.17219319711409842</v>
          </cell>
          <cell r="BR41">
            <v>0.12074573429235147</v>
          </cell>
          <cell r="BS41">
            <v>0.10005655533768665</v>
          </cell>
          <cell r="BT41">
            <v>8.2990954708906939E-2</v>
          </cell>
        </row>
        <row r="42">
          <cell r="A42" t="str">
            <v>EBITDA Margins (%)</v>
          </cell>
          <cell r="C42">
            <v>0.43691190992361206</v>
          </cell>
          <cell r="D42">
            <v>0.54510923931165456</v>
          </cell>
          <cell r="E42">
            <v>0.6189610279342258</v>
          </cell>
          <cell r="F42">
            <v>0.63577148687639307</v>
          </cell>
          <cell r="G42">
            <v>0.65905866546226044</v>
          </cell>
          <cell r="H42">
            <v>0.67204382278109065</v>
          </cell>
          <cell r="I42">
            <v>0.68549184689840748</v>
          </cell>
          <cell r="J42">
            <v>0.68494600705057795</v>
          </cell>
          <cell r="K42">
            <v>0.67885167994318341</v>
          </cell>
          <cell r="L42">
            <v>0.64858975101499905</v>
          </cell>
          <cell r="M42">
            <v>0.65248433807556494</v>
          </cell>
          <cell r="N42">
            <v>0.65746263933918336</v>
          </cell>
          <cell r="O42">
            <v>0.66245217148210234</v>
          </cell>
          <cell r="P42">
            <v>0.6624038509547755</v>
          </cell>
          <cell r="Q42">
            <v>0.6623521837473042</v>
          </cell>
          <cell r="R42">
            <v>0.66229064822135719</v>
          </cell>
          <cell r="S42">
            <v>0.66228117097016703</v>
          </cell>
          <cell r="T42">
            <v>0.66226031282430442</v>
          </cell>
          <cell r="U42">
            <v>0.6622269238988292</v>
          </cell>
          <cell r="V42">
            <v>0.66218252490188867</v>
          </cell>
          <cell r="Y42">
            <v>0.35595018647918719</v>
          </cell>
          <cell r="Z42">
            <v>0.43941942992215244</v>
          </cell>
          <cell r="AA42">
            <v>0.45032752963771677</v>
          </cell>
          <cell r="AB42">
            <v>0.50649570240946873</v>
          </cell>
          <cell r="AC42">
            <v>0.52724705357751112</v>
          </cell>
          <cell r="AD42">
            <v>0.52749284010908137</v>
          </cell>
          <cell r="AE42">
            <v>0.52208439911384141</v>
          </cell>
          <cell r="AF42">
            <v>0.60695047157035631</v>
          </cell>
          <cell r="AG42">
            <v>0.61031097629612951</v>
          </cell>
          <cell r="AH42">
            <v>0.62468367654911439</v>
          </cell>
          <cell r="AI42">
            <v>0.62268563309579217</v>
          </cell>
          <cell r="AJ42">
            <v>0.61788019231602198</v>
          </cell>
          <cell r="AK42">
            <v>0.63622901467277804</v>
          </cell>
          <cell r="AL42">
            <v>0.65062214186961609</v>
          </cell>
          <cell r="AM42">
            <v>0.62591691659175219</v>
          </cell>
          <cell r="AN42">
            <v>0.63489963429500207</v>
          </cell>
          <cell r="AO42">
            <v>0.67255601434416634</v>
          </cell>
          <cell r="AP42">
            <v>0.66422699109748573</v>
          </cell>
          <cell r="AQ42">
            <v>0.65310210605547181</v>
          </cell>
          <cell r="AR42">
            <v>0.64714523495021414</v>
          </cell>
          <cell r="AS42">
            <v>0.67043242905859712</v>
          </cell>
          <cell r="AT42">
            <v>0.67363980548123303</v>
          </cell>
          <cell r="AU42">
            <v>0.67638233333786746</v>
          </cell>
          <cell r="AV42">
            <v>0.66781535629654698</v>
          </cell>
          <cell r="AW42">
            <v>0.68689950390387888</v>
          </cell>
          <cell r="AX42">
            <v>0.69146974561118346</v>
          </cell>
          <cell r="AY42">
            <v>0.67810578887183959</v>
          </cell>
          <cell r="AZ42">
            <v>0.68581322675130529</v>
          </cell>
          <cell r="BA42">
            <v>0.68802088685958152</v>
          </cell>
          <cell r="BB42">
            <v>0.67872816859490082</v>
          </cell>
          <cell r="BC42">
            <v>0.6849303655667015</v>
          </cell>
          <cell r="BD42">
            <v>0.68803253767526174</v>
          </cell>
          <cell r="BE42">
            <v>0.68547247785156928</v>
          </cell>
          <cell r="BF42">
            <v>0.68300431760001867</v>
          </cell>
          <cell r="BG42">
            <v>0.68181765051955689</v>
          </cell>
          <cell r="BH42">
            <v>0.66701421731715249</v>
          </cell>
          <cell r="BI42">
            <v>0.67015345791236824</v>
          </cell>
          <cell r="BJ42">
            <v>0.65152578130886496</v>
          </cell>
          <cell r="BK42">
            <v>0.63272065646895714</v>
          </cell>
          <cell r="BL42">
            <v>0.64263505237614005</v>
          </cell>
          <cell r="BM42">
            <v>0.65236355153914671</v>
          </cell>
          <cell r="BN42">
            <v>0.65248883358332677</v>
          </cell>
          <cell r="BO42">
            <v>0.65252917300915336</v>
          </cell>
          <cell r="BP42">
            <v>0.65254011037390214</v>
          </cell>
          <cell r="BQ42">
            <v>0.65745745851760029</v>
          </cell>
          <cell r="BR42">
            <v>0.6574728630011023</v>
          </cell>
          <cell r="BS42">
            <v>0.65747193970334128</v>
          </cell>
          <cell r="BT42">
            <v>0.65744850854446302</v>
          </cell>
        </row>
        <row r="44">
          <cell r="A44" t="str">
            <v>Depreciation, Amortization &amp; Accretion</v>
          </cell>
          <cell r="C44">
            <v>314.11</v>
          </cell>
          <cell r="D44">
            <v>332.286</v>
          </cell>
          <cell r="E44">
            <v>329.44899999999996</v>
          </cell>
          <cell r="F44">
            <v>411.25400000000002</v>
          </cell>
          <cell r="G44">
            <v>528.05099999999993</v>
          </cell>
          <cell r="H44">
            <v>522.928</v>
          </cell>
          <cell r="I44">
            <v>405.33199999999999</v>
          </cell>
          <cell r="J44">
            <v>414.61900000000003</v>
          </cell>
          <cell r="K44">
            <v>460.726</v>
          </cell>
          <cell r="L44">
            <v>547.75882625000008</v>
          </cell>
          <cell r="M44">
            <v>594.75337906825234</v>
          </cell>
          <cell r="N44">
            <v>606.8734629797018</v>
          </cell>
          <cell r="O44">
            <v>578.48581668173165</v>
          </cell>
          <cell r="P44">
            <v>577.67173501355853</v>
          </cell>
          <cell r="Q44">
            <v>583.85939484553603</v>
          </cell>
          <cell r="R44">
            <v>593.05830258320475</v>
          </cell>
          <cell r="S44">
            <v>604.98233227858793</v>
          </cell>
          <cell r="T44">
            <v>619.37272067495758</v>
          </cell>
          <cell r="U44">
            <v>635.99543509633793</v>
          </cell>
          <cell r="V44">
            <v>654.63879586817382</v>
          </cell>
          <cell r="W44">
            <v>9.6188248530288067E-2</v>
          </cell>
          <cell r="Y44">
            <v>75.082999999999998</v>
          </cell>
          <cell r="Z44">
            <v>79.804000000000002</v>
          </cell>
          <cell r="AA44">
            <v>78.698999999999998</v>
          </cell>
          <cell r="AB44">
            <v>80.524000000000001</v>
          </cell>
          <cell r="AC44">
            <v>84.063000000000002</v>
          </cell>
          <cell r="AD44">
            <v>84.180999999999997</v>
          </cell>
          <cell r="AE44">
            <v>82.619</v>
          </cell>
          <cell r="AF44">
            <v>81.423000000000002</v>
          </cell>
          <cell r="AG44">
            <v>81.344999999999999</v>
          </cell>
          <cell r="AH44">
            <v>85.463999999999999</v>
          </cell>
          <cell r="AI44">
            <v>81.569000000000003</v>
          </cell>
          <cell r="AJ44">
            <v>81.070999999999998</v>
          </cell>
          <cell r="AK44">
            <v>81.971000000000004</v>
          </cell>
          <cell r="AL44">
            <v>84.784000000000006</v>
          </cell>
          <cell r="AM44">
            <v>116.752</v>
          </cell>
          <cell r="AN44">
            <v>127.747</v>
          </cell>
          <cell r="AO44">
            <v>133.261</v>
          </cell>
          <cell r="AP44">
            <v>132.81100000000001</v>
          </cell>
          <cell r="AQ44">
            <v>131.357</v>
          </cell>
          <cell r="AR44">
            <v>130.62200000000001</v>
          </cell>
          <cell r="AS44">
            <v>130.19399999999999</v>
          </cell>
          <cell r="AT44">
            <v>131.637</v>
          </cell>
          <cell r="AU44">
            <v>131.48400000000001</v>
          </cell>
          <cell r="AV44">
            <v>129.61299999999997</v>
          </cell>
          <cell r="AW44">
            <v>97.072000000000003</v>
          </cell>
          <cell r="AX44">
            <v>99.697000000000003</v>
          </cell>
          <cell r="AY44">
            <v>104.389</v>
          </cell>
          <cell r="AZ44">
            <v>104.17400000000001</v>
          </cell>
          <cell r="BA44">
            <v>99.867999999999995</v>
          </cell>
          <cell r="BB44">
            <v>102.46299999999999</v>
          </cell>
          <cell r="BC44">
            <v>105.54300000000001</v>
          </cell>
          <cell r="BD44">
            <v>106.745</v>
          </cell>
          <cell r="BE44">
            <v>110.83499999999999</v>
          </cell>
          <cell r="BF44">
            <v>110.40300000000001</v>
          </cell>
          <cell r="BG44">
            <v>115.383</v>
          </cell>
          <cell r="BH44">
            <v>124.105</v>
          </cell>
          <cell r="BI44">
            <v>131.23099999999999</v>
          </cell>
          <cell r="BJ44">
            <v>138.55799999999999</v>
          </cell>
          <cell r="BK44">
            <v>142.113</v>
          </cell>
          <cell r="BL44">
            <v>135.85682625000004</v>
          </cell>
          <cell r="BM44">
            <v>147.71822684374999</v>
          </cell>
          <cell r="BN44">
            <v>148.33397117265625</v>
          </cell>
          <cell r="BO44">
            <v>148.99650939333984</v>
          </cell>
          <cell r="BP44">
            <v>149.70467165850633</v>
          </cell>
          <cell r="BQ44">
            <v>150.46356736704365</v>
          </cell>
          <cell r="BR44">
            <v>151.27208443286756</v>
          </cell>
          <cell r="BS44">
            <v>152.12288857204587</v>
          </cell>
          <cell r="BT44">
            <v>153.01492260774472</v>
          </cell>
          <cell r="BV44" t="str">
            <v>mstag:depreciationInIncomeStatement</v>
          </cell>
          <cell r="BW44">
            <v>6</v>
          </cell>
          <cell r="BX44" t="str">
            <v>ISO4217:USD</v>
          </cell>
          <cell r="BY44" t="b">
            <v>0</v>
          </cell>
          <cell r="BZ44" t="b">
            <v>0</v>
          </cell>
        </row>
        <row r="46">
          <cell r="A46" t="str">
            <v>Operating Income</v>
          </cell>
          <cell r="C46">
            <v>-114.5100000000001</v>
          </cell>
          <cell r="D46">
            <v>-2.1640000000000583</v>
          </cell>
          <cell r="E46">
            <v>69.754000000000076</v>
          </cell>
          <cell r="F46">
            <v>135.11399999999986</v>
          </cell>
          <cell r="G46">
            <v>283.90100000000001</v>
          </cell>
          <cell r="H46">
            <v>378.36299999999977</v>
          </cell>
          <cell r="I46">
            <v>606.75399999999979</v>
          </cell>
          <cell r="J46">
            <v>672.25800000000015</v>
          </cell>
          <cell r="K46">
            <v>784.37800000000004</v>
          </cell>
          <cell r="L46">
            <v>938.72454897960154</v>
          </cell>
          <cell r="M46">
            <v>1239.1073013543553</v>
          </cell>
          <cell r="N46">
            <v>1445.3806544980666</v>
          </cell>
          <cell r="O46">
            <v>1596.4362951839876</v>
          </cell>
          <cell r="P46">
            <v>1688.6098437478581</v>
          </cell>
          <cell r="Q46">
            <v>1770.311360539743</v>
          </cell>
          <cell r="R46">
            <v>1839.4036820198212</v>
          </cell>
          <cell r="S46">
            <v>1895.6405135065384</v>
          </cell>
          <cell r="T46">
            <v>1938.872028524846</v>
          </cell>
          <cell r="U46">
            <v>1967.7537235673794</v>
          </cell>
          <cell r="V46">
            <v>1983.7947557232892</v>
          </cell>
          <cell r="W46">
            <v>0.22598628318725034</v>
          </cell>
          <cell r="Y46">
            <v>-8.3800000000000114</v>
          </cell>
          <cell r="Z46">
            <v>-15.420000000000016</v>
          </cell>
          <cell r="AA46">
            <v>-86.631999999999991</v>
          </cell>
          <cell r="AB46">
            <v>-4.0780000000000198</v>
          </cell>
          <cell r="AC46">
            <v>-6.1280000000000214</v>
          </cell>
          <cell r="AD46">
            <v>-3.2510000000000048</v>
          </cell>
          <cell r="AE46">
            <v>3.776000000000022</v>
          </cell>
          <cell r="AF46">
            <v>3.4389999999999912</v>
          </cell>
          <cell r="AG46">
            <v>14.216000000000003</v>
          </cell>
          <cell r="AH46">
            <v>13.139000000000014</v>
          </cell>
          <cell r="AI46">
            <v>20.961999999999989</v>
          </cell>
          <cell r="AJ46">
            <v>21.437000000000005</v>
          </cell>
          <cell r="AK46">
            <v>29.045999999999982</v>
          </cell>
          <cell r="AL46">
            <v>30.750000000000004</v>
          </cell>
          <cell r="AM46">
            <v>37.173000000000009</v>
          </cell>
          <cell r="AN46">
            <v>38.14500000000001</v>
          </cell>
          <cell r="AO46">
            <v>67.709000000000003</v>
          </cell>
          <cell r="AP46">
            <v>70.771999999999991</v>
          </cell>
          <cell r="AQ46">
            <v>72.007000000000033</v>
          </cell>
          <cell r="AR46">
            <v>73.412999999999982</v>
          </cell>
          <cell r="AS46">
            <v>86.109999999999957</v>
          </cell>
          <cell r="AT46">
            <v>93.295999999999978</v>
          </cell>
          <cell r="AU46">
            <v>98.490999999999971</v>
          </cell>
          <cell r="AV46">
            <v>100.46600000000001</v>
          </cell>
          <cell r="AW46">
            <v>144.85600000000005</v>
          </cell>
          <cell r="AX46">
            <v>154.79000000000002</v>
          </cell>
          <cell r="AY46">
            <v>154.36700000000002</v>
          </cell>
          <cell r="AZ46">
            <v>152.74099999999999</v>
          </cell>
          <cell r="BA46">
            <v>150.28500000000003</v>
          </cell>
          <cell r="BB46">
            <v>166.44699999999997</v>
          </cell>
          <cell r="BC46">
            <v>179.07699999999991</v>
          </cell>
          <cell r="BD46">
            <v>176.44900000000001</v>
          </cell>
          <cell r="BE46">
            <v>178.84900000000005</v>
          </cell>
          <cell r="BF46">
            <v>188.71599999999998</v>
          </cell>
          <cell r="BG46">
            <v>213.37199999999999</v>
          </cell>
          <cell r="BH46">
            <v>203.44100000000006</v>
          </cell>
          <cell r="BI46">
            <v>218.29999999999998</v>
          </cell>
          <cell r="BJ46">
            <v>225.78899999999999</v>
          </cell>
          <cell r="BK46">
            <v>228.30500000000004</v>
          </cell>
          <cell r="BL46">
            <v>266.33054897960108</v>
          </cell>
          <cell r="BM46">
            <v>268.88958992864696</v>
          </cell>
          <cell r="BN46">
            <v>304.29853808926981</v>
          </cell>
          <cell r="BO46">
            <v>326.63250382216393</v>
          </cell>
          <cell r="BP46">
            <v>339.28666951427454</v>
          </cell>
          <cell r="BQ46">
            <v>339.78376984867208</v>
          </cell>
          <cell r="BR46">
            <v>356.96813923400094</v>
          </cell>
          <cell r="BS46">
            <v>371.58426658511223</v>
          </cell>
          <cell r="BT46">
            <v>377.04447883028109</v>
          </cell>
        </row>
        <row r="48">
          <cell r="A48" t="str">
            <v>Interest Expense</v>
          </cell>
          <cell r="C48">
            <v>-254.44600000000003</v>
          </cell>
          <cell r="D48">
            <v>-279.85500000000002</v>
          </cell>
          <cell r="E48">
            <v>-262.23699999999997</v>
          </cell>
          <cell r="F48">
            <v>-222.41899999999998</v>
          </cell>
          <cell r="G48">
            <v>-215.643</v>
          </cell>
          <cell r="H48">
            <v>-235.82400000000001</v>
          </cell>
          <cell r="I48">
            <v>-253.58399999999997</v>
          </cell>
          <cell r="J48">
            <v>-249.803</v>
          </cell>
          <cell r="K48">
            <v>-246.01800000000003</v>
          </cell>
          <cell r="L48">
            <v>-311.9070007775</v>
          </cell>
          <cell r="M48">
            <v>-338.58348642933311</v>
          </cell>
          <cell r="N48">
            <v>-334.65094911307483</v>
          </cell>
          <cell r="O48">
            <v>-368.85308049656709</v>
          </cell>
          <cell r="P48">
            <v>-368.92621639314132</v>
          </cell>
          <cell r="Q48">
            <v>-369.00406623693948</v>
          </cell>
          <cell r="R48">
            <v>-369.08694239511107</v>
          </cell>
          <cell r="S48">
            <v>-369.17517842579002</v>
          </cell>
          <cell r="T48">
            <v>-369.26913054392242</v>
          </cell>
          <cell r="U48">
            <v>-369.36371021668259</v>
          </cell>
          <cell r="V48">
            <v>-369.46454600284403</v>
          </cell>
          <cell r="Y48">
            <v>-63.77</v>
          </cell>
          <cell r="Z48">
            <v>-65.537000000000006</v>
          </cell>
          <cell r="AA48">
            <v>-62.718000000000004</v>
          </cell>
          <cell r="AB48">
            <v>-62.420999999999999</v>
          </cell>
          <cell r="AC48">
            <v>-71.742000000000004</v>
          </cell>
          <cell r="AD48">
            <v>-71.200999999999993</v>
          </cell>
          <cell r="AE48">
            <v>-68.906000000000006</v>
          </cell>
          <cell r="AF48">
            <v>-68.006</v>
          </cell>
          <cell r="AG48">
            <v>-69.156999999999996</v>
          </cell>
          <cell r="AH48">
            <v>-68.021000000000001</v>
          </cell>
          <cell r="AI48">
            <v>-65.631</v>
          </cell>
          <cell r="AJ48">
            <v>-59.427999999999997</v>
          </cell>
          <cell r="AK48">
            <v>-54.716000000000001</v>
          </cell>
          <cell r="AL48">
            <v>-53.042999999999999</v>
          </cell>
          <cell r="AM48">
            <v>-57.651000000000003</v>
          </cell>
          <cell r="AN48">
            <v>-57.009</v>
          </cell>
          <cell r="AO48">
            <v>-54.256999999999998</v>
          </cell>
          <cell r="AP48">
            <v>-53.69</v>
          </cell>
          <cell r="AQ48">
            <v>-54.448</v>
          </cell>
          <cell r="AR48">
            <v>-53.247999999999998</v>
          </cell>
          <cell r="AS48">
            <v>-53.274000000000001</v>
          </cell>
          <cell r="AT48">
            <v>-58.384</v>
          </cell>
          <cell r="AU48">
            <v>-59.918999999999997</v>
          </cell>
          <cell r="AV48">
            <v>-64.247</v>
          </cell>
          <cell r="AW48">
            <v>-65.513999999999996</v>
          </cell>
          <cell r="AX48">
            <v>-62.508000000000003</v>
          </cell>
          <cell r="AY48">
            <v>-63.545999999999999</v>
          </cell>
          <cell r="AZ48">
            <v>-62.015999999999998</v>
          </cell>
          <cell r="BA48">
            <v>-61.567999999999998</v>
          </cell>
          <cell r="BB48">
            <v>-62.654000000000003</v>
          </cell>
          <cell r="BC48">
            <v>-64.122</v>
          </cell>
          <cell r="BD48">
            <v>-61.459000000000003</v>
          </cell>
          <cell r="BE48">
            <v>-58.417000000000002</v>
          </cell>
          <cell r="BF48">
            <v>-56.073999999999998</v>
          </cell>
          <cell r="BG48">
            <v>-62.904000000000003</v>
          </cell>
          <cell r="BH48">
            <v>-68.623000000000005</v>
          </cell>
          <cell r="BI48">
            <v>-74.427000000000007</v>
          </cell>
          <cell r="BJ48">
            <v>-74.512</v>
          </cell>
          <cell r="BK48">
            <v>-77.796000000000006</v>
          </cell>
          <cell r="BL48">
            <v>-85.172000777500003</v>
          </cell>
          <cell r="BM48">
            <v>-84.639779543341248</v>
          </cell>
          <cell r="BN48">
            <v>-84.643797597850025</v>
          </cell>
          <cell r="BO48">
            <v>-84.647880440615921</v>
          </cell>
          <cell r="BP48">
            <v>-84.652028847525941</v>
          </cell>
          <cell r="BQ48">
            <v>-83.656243905395741</v>
          </cell>
          <cell r="BR48">
            <v>-83.660526715708301</v>
          </cell>
          <cell r="BS48">
            <v>-83.664878398639033</v>
          </cell>
          <cell r="BT48">
            <v>-83.669300093331742</v>
          </cell>
          <cell r="BV48" t="str">
            <v>mstag:interestExpense</v>
          </cell>
          <cell r="BW48">
            <v>6</v>
          </cell>
          <cell r="BX48" t="str">
            <v>ISO4217:USD</v>
          </cell>
          <cell r="BY48" t="b">
            <v>1</v>
          </cell>
          <cell r="BZ48" t="b">
            <v>0</v>
          </cell>
        </row>
        <row r="49">
          <cell r="A49" t="str">
            <v>Interest Income</v>
          </cell>
          <cell r="C49">
            <v>3.51</v>
          </cell>
          <cell r="D49">
            <v>5.254999999999999</v>
          </cell>
          <cell r="E49">
            <v>4.8440000000000003</v>
          </cell>
          <cell r="F49">
            <v>4.4020000000000001</v>
          </cell>
          <cell r="G49">
            <v>9.0019999999999989</v>
          </cell>
          <cell r="H49">
            <v>10.847999999999999</v>
          </cell>
          <cell r="I49">
            <v>3.4129999999999998</v>
          </cell>
          <cell r="J49">
            <v>1.722</v>
          </cell>
          <cell r="K49">
            <v>5.024</v>
          </cell>
          <cell r="L49">
            <v>7.4063182499999991</v>
          </cell>
          <cell r="M49">
            <v>2.0646868612005589</v>
          </cell>
          <cell r="N49">
            <v>8.6782063211867033</v>
          </cell>
          <cell r="O49">
            <v>14.914440041238672</v>
          </cell>
          <cell r="P49">
            <v>21.989721497629759</v>
          </cell>
          <cell r="Q49">
            <v>26.138901058852699</v>
          </cell>
          <cell r="R49">
            <v>30.522933766987666</v>
          </cell>
          <cell r="S49">
            <v>35.016114741795526</v>
          </cell>
          <cell r="T49">
            <v>39.729199413739686</v>
          </cell>
          <cell r="U49">
            <v>44.488801129152982</v>
          </cell>
          <cell r="V49">
            <v>49.537550247649506</v>
          </cell>
          <cell r="Y49">
            <v>1.0369999999999999</v>
          </cell>
          <cell r="Z49">
            <v>0.77400000000000002</v>
          </cell>
          <cell r="AA49">
            <v>0.755</v>
          </cell>
          <cell r="AB49">
            <v>0.94399999999999995</v>
          </cell>
          <cell r="AC49">
            <v>0.92600000000000005</v>
          </cell>
          <cell r="AD49">
            <v>1.93</v>
          </cell>
          <cell r="AE49">
            <v>1.177</v>
          </cell>
          <cell r="AF49">
            <v>1.222</v>
          </cell>
          <cell r="AG49">
            <v>1.1140000000000001</v>
          </cell>
          <cell r="AH49">
            <v>1.1220000000000001</v>
          </cell>
          <cell r="AI49">
            <v>1.1659999999999999</v>
          </cell>
          <cell r="AJ49">
            <v>1.4419999999999999</v>
          </cell>
          <cell r="AK49">
            <v>0.69899999999999995</v>
          </cell>
          <cell r="AL49">
            <v>0.80800000000000005</v>
          </cell>
          <cell r="AM49">
            <v>1.351</v>
          </cell>
          <cell r="AN49">
            <v>1.544</v>
          </cell>
          <cell r="AO49">
            <v>1.3580000000000001</v>
          </cell>
          <cell r="AP49">
            <v>1.371</v>
          </cell>
          <cell r="AQ49">
            <v>2.2919999999999998</v>
          </cell>
          <cell r="AR49">
            <v>3.9809999999999999</v>
          </cell>
          <cell r="AS49">
            <v>3.617</v>
          </cell>
          <cell r="AT49">
            <v>3.2240000000000002</v>
          </cell>
          <cell r="AU49">
            <v>2.3450000000000002</v>
          </cell>
          <cell r="AV49">
            <v>1.6619999999999999</v>
          </cell>
          <cell r="AW49">
            <v>0.96299999999999997</v>
          </cell>
          <cell r="AX49">
            <v>0.97899999999999998</v>
          </cell>
          <cell r="AY49">
            <v>1.0169999999999999</v>
          </cell>
          <cell r="AZ49">
            <v>0.45400000000000001</v>
          </cell>
          <cell r="BA49">
            <v>0.499</v>
          </cell>
          <cell r="BB49">
            <v>0.48199999999999998</v>
          </cell>
          <cell r="BC49">
            <v>0.73599999999999999</v>
          </cell>
          <cell r="BD49">
            <v>5.0000000000000001E-3</v>
          </cell>
          <cell r="BE49">
            <v>0.502</v>
          </cell>
          <cell r="BF49">
            <v>0.69399999999999995</v>
          </cell>
          <cell r="BG49">
            <v>1.954</v>
          </cell>
          <cell r="BH49">
            <v>1.8740000000000001</v>
          </cell>
          <cell r="BI49">
            <v>2.3039999999999998</v>
          </cell>
          <cell r="BJ49">
            <v>2.7109999999999999</v>
          </cell>
          <cell r="BK49">
            <v>1.8220000000000001</v>
          </cell>
          <cell r="BL49">
            <v>0.56931824999999925</v>
          </cell>
          <cell r="BM49">
            <v>0.24913952226416855</v>
          </cell>
          <cell r="BN49">
            <v>0.3162049567354796</v>
          </cell>
          <cell r="BO49">
            <v>0.56864159223176214</v>
          </cell>
          <cell r="BP49">
            <v>0.93070078996914851</v>
          </cell>
          <cell r="BQ49">
            <v>1.3153541499138859</v>
          </cell>
          <cell r="BR49">
            <v>1.8349692164032303</v>
          </cell>
          <cell r="BS49">
            <v>2.4477241255251476</v>
          </cell>
          <cell r="BT49">
            <v>3.0801588293444384</v>
          </cell>
          <cell r="BV49" t="str">
            <v>mstag:interestAndDividendIncome</v>
          </cell>
          <cell r="BW49">
            <v>6</v>
          </cell>
          <cell r="BX49" t="str">
            <v>ISO4217:USD</v>
          </cell>
          <cell r="BY49" t="b">
            <v>0</v>
          </cell>
          <cell r="BZ49" t="b">
            <v>0</v>
          </cell>
        </row>
        <row r="50">
          <cell r="A50" t="str">
            <v>Other Expense</v>
          </cell>
          <cell r="C50">
            <v>-34.414999999999999</v>
          </cell>
          <cell r="D50">
            <v>-54.795000000000002</v>
          </cell>
          <cell r="E50">
            <v>-140.81399999999999</v>
          </cell>
          <cell r="F50">
            <v>-66.88300000000001</v>
          </cell>
          <cell r="G50">
            <v>-20.604000000000003</v>
          </cell>
          <cell r="H50">
            <v>-14.754000000000001</v>
          </cell>
          <cell r="I50">
            <v>1.0840000000000001</v>
          </cell>
          <cell r="J50">
            <v>-16.899999999999999</v>
          </cell>
          <cell r="K50">
            <v>-1.5709999999999997</v>
          </cell>
          <cell r="L50">
            <v>-115.7097</v>
          </cell>
          <cell r="M50">
            <v>0</v>
          </cell>
          <cell r="N50">
            <v>0</v>
          </cell>
          <cell r="O50">
            <v>0</v>
          </cell>
          <cell r="P50">
            <v>0</v>
          </cell>
          <cell r="Q50">
            <v>0</v>
          </cell>
          <cell r="R50">
            <v>0</v>
          </cell>
          <cell r="S50">
            <v>0</v>
          </cell>
          <cell r="T50">
            <v>0</v>
          </cell>
          <cell r="U50">
            <v>0</v>
          </cell>
          <cell r="V50">
            <v>0</v>
          </cell>
          <cell r="Y50">
            <v>-10.416</v>
          </cell>
          <cell r="Z50">
            <v>-17.808</v>
          </cell>
          <cell r="AA50">
            <v>-5.3019999999999996</v>
          </cell>
          <cell r="AB50">
            <v>-0.88900000000000001</v>
          </cell>
          <cell r="AC50">
            <v>-14.376999999999999</v>
          </cell>
          <cell r="AD50">
            <v>-36.234000000000002</v>
          </cell>
          <cell r="AE50">
            <v>2.327</v>
          </cell>
          <cell r="AF50">
            <v>-6.5109999999999992</v>
          </cell>
          <cell r="AG50">
            <v>-8.2570000000000014</v>
          </cell>
          <cell r="AH50">
            <v>-32.042999999999999</v>
          </cell>
          <cell r="AI50">
            <v>-49.127000000000002</v>
          </cell>
          <cell r="AJ50">
            <v>-51.387</v>
          </cell>
          <cell r="AK50">
            <v>-14.372</v>
          </cell>
          <cell r="AL50">
            <v>-17.548000000000002</v>
          </cell>
          <cell r="AM50">
            <v>-13.308</v>
          </cell>
          <cell r="AN50">
            <v>-21.655000000000001</v>
          </cell>
          <cell r="AO50">
            <v>-17.848000000000003</v>
          </cell>
          <cell r="AP50">
            <v>-0.83599999999999985</v>
          </cell>
          <cell r="AQ50">
            <v>-6.3090000000000002</v>
          </cell>
          <cell r="AR50">
            <v>4.3889999999999993</v>
          </cell>
          <cell r="AS50">
            <v>-1.1539999999999999</v>
          </cell>
          <cell r="AT50">
            <v>-15.034000000000001</v>
          </cell>
          <cell r="AU50">
            <v>1.2329999999999999</v>
          </cell>
          <cell r="AV50">
            <v>0.20100000000000007</v>
          </cell>
          <cell r="AW50">
            <v>-0.80300000000000005</v>
          </cell>
          <cell r="AX50">
            <v>-1.5370000000000001</v>
          </cell>
          <cell r="AY50">
            <v>9.9999999999999978E-2</v>
          </cell>
          <cell r="AZ50">
            <v>3.3240000000000003</v>
          </cell>
          <cell r="BA50">
            <v>7.0999999999999994E-2</v>
          </cell>
          <cell r="BB50">
            <v>-5.0110000000000001</v>
          </cell>
          <cell r="BC50">
            <v>-0.34900000000000003</v>
          </cell>
          <cell r="BD50">
            <v>-11.610999999999999</v>
          </cell>
          <cell r="BE50">
            <v>0.39600000000000002</v>
          </cell>
          <cell r="BF50">
            <v>-6.7540000000000004</v>
          </cell>
          <cell r="BG50">
            <v>8.2360000000000007</v>
          </cell>
          <cell r="BH50">
            <v>-3.4489999999999998</v>
          </cell>
          <cell r="BI50">
            <v>13.7073</v>
          </cell>
          <cell r="BJ50">
            <v>21.459</v>
          </cell>
          <cell r="BK50">
            <v>-150.876</v>
          </cell>
          <cell r="BL50">
            <v>0</v>
          </cell>
          <cell r="BM50">
            <v>0</v>
          </cell>
          <cell r="BN50">
            <v>0</v>
          </cell>
          <cell r="BO50">
            <v>0</v>
          </cell>
          <cell r="BP50">
            <v>0</v>
          </cell>
          <cell r="BQ50">
            <v>0</v>
          </cell>
          <cell r="BR50">
            <v>0</v>
          </cell>
          <cell r="BS50">
            <v>0</v>
          </cell>
          <cell r="BT50">
            <v>0</v>
          </cell>
          <cell r="BV50" t="str">
            <v>mstag:otherNonOperatingIncomeExpense</v>
          </cell>
          <cell r="BW50">
            <v>6</v>
          </cell>
          <cell r="BX50" t="str">
            <v>ISO4217:USD</v>
          </cell>
          <cell r="BY50" t="b">
            <v>0</v>
          </cell>
          <cell r="BZ50" t="b">
            <v>0</v>
          </cell>
        </row>
        <row r="52">
          <cell r="A52" t="str">
            <v>PreTax Income</v>
          </cell>
          <cell r="C52">
            <v>-385.92300000000017</v>
          </cell>
          <cell r="D52">
            <v>-317.3370000000001</v>
          </cell>
          <cell r="E52">
            <v>-314.13699999999989</v>
          </cell>
          <cell r="F52">
            <v>-135.55400000000012</v>
          </cell>
          <cell r="G52">
            <v>70.864000000000004</v>
          </cell>
          <cell r="H52">
            <v>152.83999999999978</v>
          </cell>
          <cell r="I52">
            <v>371.91999999999985</v>
          </cell>
          <cell r="J52">
            <v>421.48700000000014</v>
          </cell>
          <cell r="K52">
            <v>556.02499999999998</v>
          </cell>
          <cell r="L52">
            <v>532.5991664521016</v>
          </cell>
          <cell r="M52">
            <v>916.58050178622273</v>
          </cell>
          <cell r="N52">
            <v>1133.3999117061785</v>
          </cell>
          <cell r="O52">
            <v>1256.4896547286592</v>
          </cell>
          <cell r="P52">
            <v>1355.6653488523466</v>
          </cell>
          <cell r="Q52">
            <v>1441.4381953616562</v>
          </cell>
          <cell r="R52">
            <v>1514.8316733916979</v>
          </cell>
          <cell r="S52">
            <v>1575.4734498225439</v>
          </cell>
          <cell r="T52">
            <v>1623.3240973946631</v>
          </cell>
          <cell r="U52">
            <v>1656.8708144798497</v>
          </cell>
          <cell r="V52">
            <v>1677.8597599680945</v>
          </cell>
          <cell r="W52">
            <v>0.26793294169978199</v>
          </cell>
          <cell r="Y52">
            <v>-78.100000000000009</v>
          </cell>
          <cell r="Z52">
            <v>-94.52000000000001</v>
          </cell>
          <cell r="AA52">
            <v>-150.38299999999998</v>
          </cell>
          <cell r="AB52">
            <v>-62.920000000000016</v>
          </cell>
          <cell r="AC52">
            <v>-87.819000000000031</v>
          </cell>
          <cell r="AD52">
            <v>-105.22799999999999</v>
          </cell>
          <cell r="AE52">
            <v>-58.10299999999998</v>
          </cell>
          <cell r="AF52">
            <v>-66.187000000000012</v>
          </cell>
          <cell r="AG52">
            <v>-58.544000000000004</v>
          </cell>
          <cell r="AH52">
            <v>-82.150999999999996</v>
          </cell>
          <cell r="AI52">
            <v>-89.046000000000021</v>
          </cell>
          <cell r="AJ52">
            <v>-84.395999999999987</v>
          </cell>
          <cell r="AK52">
            <v>-35.84500000000002</v>
          </cell>
          <cell r="AL52">
            <v>-35.448999999999998</v>
          </cell>
          <cell r="AM52">
            <v>-28.825999999999993</v>
          </cell>
          <cell r="AN52">
            <v>-35.433999999999997</v>
          </cell>
          <cell r="AO52">
            <v>0.46000000000000352</v>
          </cell>
          <cell r="AP52">
            <v>21.200999999999993</v>
          </cell>
          <cell r="AQ52">
            <v>17.126000000000033</v>
          </cell>
          <cell r="AR52">
            <v>32.076999999999984</v>
          </cell>
          <cell r="AS52">
            <v>38.796999999999947</v>
          </cell>
          <cell r="AT52">
            <v>26.685999999999982</v>
          </cell>
          <cell r="AU52">
            <v>45.733999999999973</v>
          </cell>
          <cell r="AV52">
            <v>41.623000000000012</v>
          </cell>
          <cell r="AW52">
            <v>83.043000000000049</v>
          </cell>
          <cell r="AX52">
            <v>95.308000000000007</v>
          </cell>
          <cell r="AY52">
            <v>95.524000000000015</v>
          </cell>
          <cell r="AZ52">
            <v>98.044999999999987</v>
          </cell>
          <cell r="BA52">
            <v>92.786000000000016</v>
          </cell>
          <cell r="BB52">
            <v>102.84899999999998</v>
          </cell>
          <cell r="BC52">
            <v>118.92699999999991</v>
          </cell>
          <cell r="BD52">
            <v>106.925</v>
          </cell>
          <cell r="BE52">
            <v>124.82900000000004</v>
          </cell>
          <cell r="BF52">
            <v>130.16699999999997</v>
          </cell>
          <cell r="BG52">
            <v>164.24299999999999</v>
          </cell>
          <cell r="BH52">
            <v>136.78600000000003</v>
          </cell>
          <cell r="BI52">
            <v>163.38329999999999</v>
          </cell>
          <cell r="BJ52">
            <v>179.03700000000001</v>
          </cell>
          <cell r="BK52">
            <v>4.9530000000000127</v>
          </cell>
          <cell r="BL52">
            <v>185.22586645210109</v>
          </cell>
          <cell r="BM52">
            <v>187.99694990756984</v>
          </cell>
          <cell r="BN52">
            <v>223.46894544815524</v>
          </cell>
          <cell r="BO52">
            <v>246.05126497377975</v>
          </cell>
          <cell r="BP52">
            <v>259.06334145671775</v>
          </cell>
          <cell r="BQ52">
            <v>260.94088009319023</v>
          </cell>
          <cell r="BR52">
            <v>278.6405817346959</v>
          </cell>
          <cell r="BS52">
            <v>293.86511231199836</v>
          </cell>
          <cell r="BT52">
            <v>299.95333756629378</v>
          </cell>
        </row>
        <row r="53">
          <cell r="A53" t="str">
            <v>Income Tax Benefit (Expense)</v>
          </cell>
          <cell r="C53">
            <v>67.585999999999999</v>
          </cell>
          <cell r="D53">
            <v>77.647999999999996</v>
          </cell>
          <cell r="E53">
            <v>80.174999999999997</v>
          </cell>
          <cell r="F53">
            <v>-5.7140000000000004</v>
          </cell>
          <cell r="G53">
            <v>-41.768000000000001</v>
          </cell>
          <cell r="H53">
            <v>-59.808999999999997</v>
          </cell>
          <cell r="I53">
            <v>-135.50899999999999</v>
          </cell>
          <cell r="J53">
            <v>-182.565</v>
          </cell>
          <cell r="K53">
            <v>-182.48899999999998</v>
          </cell>
          <cell r="L53">
            <v>-236.07134658084044</v>
          </cell>
          <cell r="M53">
            <v>-109.98966021434671</v>
          </cell>
          <cell r="N53">
            <v>-136.00798940474138</v>
          </cell>
          <cell r="O53">
            <v>-150.77875856743907</v>
          </cell>
          <cell r="P53">
            <v>-162.67984186228153</v>
          </cell>
          <cell r="Q53">
            <v>-172.97258344339869</v>
          </cell>
          <cell r="R53">
            <v>-181.77980080700371</v>
          </cell>
          <cell r="S53">
            <v>-189.05681397870521</v>
          </cell>
          <cell r="T53">
            <v>-194.79889168735951</v>
          </cell>
          <cell r="U53">
            <v>-198.82449773758191</v>
          </cell>
          <cell r="V53">
            <v>-201.34317119617128</v>
          </cell>
          <cell r="Y53">
            <v>22.213999999999999</v>
          </cell>
          <cell r="Z53">
            <v>27.312000000000001</v>
          </cell>
          <cell r="AA53">
            <v>3.1680000000000001</v>
          </cell>
          <cell r="AB53">
            <v>14.891999999999999</v>
          </cell>
          <cell r="AC53">
            <v>22.08</v>
          </cell>
          <cell r="AD53">
            <v>20.405999999999999</v>
          </cell>
          <cell r="AE53">
            <v>16.404</v>
          </cell>
          <cell r="AF53">
            <v>18.757999999999999</v>
          </cell>
          <cell r="AG53">
            <v>13.018000000000001</v>
          </cell>
          <cell r="AH53">
            <v>19.268999999999998</v>
          </cell>
          <cell r="AI53">
            <v>30.396000000000001</v>
          </cell>
          <cell r="AJ53">
            <v>17.492000000000001</v>
          </cell>
          <cell r="AK53">
            <v>4.702</v>
          </cell>
          <cell r="AL53">
            <v>1.4039999999999999</v>
          </cell>
          <cell r="AM53">
            <v>7.6660000000000004</v>
          </cell>
          <cell r="AN53">
            <v>-19.486000000000001</v>
          </cell>
          <cell r="AO53">
            <v>-1.8260000000000001</v>
          </cell>
          <cell r="AP53">
            <v>-12.936</v>
          </cell>
          <cell r="AQ53">
            <v>-13.35</v>
          </cell>
          <cell r="AR53">
            <v>-13.656000000000001</v>
          </cell>
          <cell r="AS53">
            <v>-17.631</v>
          </cell>
          <cell r="AT53">
            <v>-14.566000000000001</v>
          </cell>
          <cell r="AU53">
            <v>14.483000000000001</v>
          </cell>
          <cell r="AV53">
            <v>-42.094999999999999</v>
          </cell>
          <cell r="AW53">
            <v>-40.801000000000002</v>
          </cell>
          <cell r="AX53">
            <v>-44.534999999999997</v>
          </cell>
          <cell r="AY53">
            <v>-34.917999999999999</v>
          </cell>
          <cell r="AZ53">
            <v>-15.255000000000001</v>
          </cell>
          <cell r="BA53">
            <v>-37.106999999999999</v>
          </cell>
          <cell r="BB53">
            <v>-51.427999999999997</v>
          </cell>
          <cell r="BC53">
            <v>-51.347999999999999</v>
          </cell>
          <cell r="BD53">
            <v>-42.682000000000002</v>
          </cell>
          <cell r="BE53">
            <v>-28.388999999999999</v>
          </cell>
          <cell r="BF53">
            <v>-30.352</v>
          </cell>
          <cell r="BG53">
            <v>-70.649000000000001</v>
          </cell>
          <cell r="BH53">
            <v>-53.098999999999997</v>
          </cell>
          <cell r="BI53">
            <v>-71.423000000000002</v>
          </cell>
          <cell r="BJ53">
            <v>-65.876999999999995</v>
          </cell>
          <cell r="BK53">
            <v>-24.681000000000001</v>
          </cell>
          <cell r="BL53">
            <v>-74.090346580840432</v>
          </cell>
          <cell r="BM53">
            <v>-22.559633988908381</v>
          </cell>
          <cell r="BN53">
            <v>-26.816273453778628</v>
          </cell>
          <cell r="BO53">
            <v>-29.526151796853568</v>
          </cell>
          <cell r="BP53">
            <v>-31.087600974806129</v>
          </cell>
          <cell r="BQ53">
            <v>-31.312905611182828</v>
          </cell>
          <cell r="BR53">
            <v>-33.436869808163507</v>
          </cell>
          <cell r="BS53">
            <v>-35.263813477439804</v>
          </cell>
          <cell r="BT53">
            <v>-35.994400507955255</v>
          </cell>
          <cell r="BV53" t="str">
            <v>mstag:taxExpenseIncome</v>
          </cell>
          <cell r="BW53">
            <v>6</v>
          </cell>
          <cell r="BX53" t="str">
            <v>ISO4217:USD</v>
          </cell>
          <cell r="BY53" t="b">
            <v>1</v>
          </cell>
          <cell r="BZ53" t="b">
            <v>0</v>
          </cell>
        </row>
        <row r="54">
          <cell r="A54" t="str">
            <v>Effective Tax Rate</v>
          </cell>
          <cell r="C54">
            <v>0.17512819914853472</v>
          </cell>
          <cell r="D54">
            <v>0.24468624837318048</v>
          </cell>
          <cell r="E54">
            <v>0.25522303962920645</v>
          </cell>
          <cell r="F54">
            <v>-4.2152942738687131E-2</v>
          </cell>
          <cell r="G54">
            <v>0.5894107021901106</v>
          </cell>
          <cell r="H54">
            <v>0.39131771787490244</v>
          </cell>
          <cell r="I54">
            <v>0.36434986018498611</v>
          </cell>
          <cell r="J54">
            <v>0.43314503175661395</v>
          </cell>
          <cell r="K54">
            <v>0.32820286857605319</v>
          </cell>
          <cell r="L54">
            <v>0.44324392798701667</v>
          </cell>
          <cell r="M54">
            <v>0.11999999999999998</v>
          </cell>
          <cell r="N54">
            <v>0.11999999999999997</v>
          </cell>
          <cell r="O54">
            <v>0.11999999999999997</v>
          </cell>
          <cell r="P54">
            <v>0.11999999999999997</v>
          </cell>
          <cell r="Q54">
            <v>0.11999999999999997</v>
          </cell>
          <cell r="R54">
            <v>0.11999999999999997</v>
          </cell>
          <cell r="S54">
            <v>0.11999999999999997</v>
          </cell>
          <cell r="T54">
            <v>0.11999999999999997</v>
          </cell>
          <cell r="U54">
            <v>0.11999999999999997</v>
          </cell>
          <cell r="V54">
            <v>0.11999999999999997</v>
          </cell>
          <cell r="Y54">
            <v>0.28443021766965426</v>
          </cell>
          <cell r="Z54">
            <v>0.2889547185780787</v>
          </cell>
          <cell r="AA54">
            <v>2.1066210941396307E-2</v>
          </cell>
          <cell r="AB54">
            <v>0.23668150031786389</v>
          </cell>
          <cell r="AC54">
            <v>0.2514262289481774</v>
          </cell>
          <cell r="AD54">
            <v>0.19392176987113696</v>
          </cell>
          <cell r="AE54">
            <v>0.28232621379274747</v>
          </cell>
          <cell r="AF54">
            <v>0.28340912868085871</v>
          </cell>
          <cell r="AG54">
            <v>0.22236266739546323</v>
          </cell>
          <cell r="AH54">
            <v>0.23455587880853548</v>
          </cell>
          <cell r="AI54">
            <v>0.34135166093928976</v>
          </cell>
          <cell r="AJ54">
            <v>0.20726100763069344</v>
          </cell>
          <cell r="AK54">
            <v>0.13117589621983533</v>
          </cell>
          <cell r="AL54">
            <v>3.9606194815086461E-2</v>
          </cell>
          <cell r="AM54">
            <v>0.26594047040865892</v>
          </cell>
          <cell r="AN54">
            <v>-0.549923801998081</v>
          </cell>
          <cell r="AO54">
            <v>3.9695652173912741</v>
          </cell>
          <cell r="AP54">
            <v>0.61015989811801352</v>
          </cell>
          <cell r="AQ54">
            <v>0.77951652458250464</v>
          </cell>
          <cell r="AR54">
            <v>0.4257255977803413</v>
          </cell>
          <cell r="AS54">
            <v>0.45444235379024212</v>
          </cell>
          <cell r="AT54">
            <v>0.54582927377651247</v>
          </cell>
          <cell r="AU54">
            <v>-0.31667905715660138</v>
          </cell>
          <cell r="AV54">
            <v>1.0113398841986398</v>
          </cell>
          <cell r="AW54">
            <v>0.49132377202172339</v>
          </cell>
          <cell r="AX54">
            <v>0.46727452050195151</v>
          </cell>
          <cell r="AY54">
            <v>0.36554164398475769</v>
          </cell>
          <cell r="AZ54">
            <v>0.15559182008261516</v>
          </cell>
          <cell r="BA54">
            <v>0.399920246588925</v>
          </cell>
          <cell r="BB54">
            <v>0.50003403047185691</v>
          </cell>
          <cell r="BC54">
            <v>0.43176065990061163</v>
          </cell>
          <cell r="BD54">
            <v>0.39917699321954642</v>
          </cell>
          <cell r="BE54">
            <v>0.22742311482107516</v>
          </cell>
          <cell r="BF54">
            <v>0.23317737982745249</v>
          </cell>
          <cell r="BG54">
            <v>0.43014923010417494</v>
          </cell>
          <cell r="BH54">
            <v>0.38819031187402209</v>
          </cell>
          <cell r="BI54">
            <v>0.43714994127306772</v>
          </cell>
          <cell r="BJ54">
            <v>0.36795187586923367</v>
          </cell>
          <cell r="BK54">
            <v>4.9830405814657661</v>
          </cell>
          <cell r="BL54">
            <v>0.4</v>
          </cell>
          <cell r="BM54">
            <v>0.12</v>
          </cell>
          <cell r="BN54">
            <v>0.12</v>
          </cell>
          <cell r="BO54">
            <v>0.12</v>
          </cell>
          <cell r="BP54">
            <v>0.12</v>
          </cell>
          <cell r="BQ54">
            <v>0.12</v>
          </cell>
          <cell r="BR54">
            <v>0.12</v>
          </cell>
          <cell r="BS54">
            <v>0.12</v>
          </cell>
          <cell r="BT54">
            <v>0.12</v>
          </cell>
        </row>
        <row r="55">
          <cell r="A55" t="str">
            <v>Statutory Tax Rate</v>
          </cell>
          <cell r="C55">
            <v>0.35</v>
          </cell>
          <cell r="D55">
            <v>0.35</v>
          </cell>
          <cell r="E55">
            <v>0.35</v>
          </cell>
          <cell r="F55">
            <v>0.35</v>
          </cell>
          <cell r="G55">
            <v>0.35</v>
          </cell>
          <cell r="H55">
            <v>0.35</v>
          </cell>
          <cell r="I55">
            <v>0.35</v>
          </cell>
          <cell r="J55">
            <v>0.35</v>
          </cell>
          <cell r="K55">
            <v>0.35</v>
          </cell>
          <cell r="L55">
            <v>0.35</v>
          </cell>
          <cell r="M55">
            <v>0.35</v>
          </cell>
          <cell r="N55">
            <v>0.35</v>
          </cell>
          <cell r="O55">
            <v>0.35</v>
          </cell>
          <cell r="P55">
            <v>0.35</v>
          </cell>
          <cell r="Q55">
            <v>0.35</v>
          </cell>
          <cell r="R55">
            <v>0.35</v>
          </cell>
          <cell r="S55">
            <v>0.35</v>
          </cell>
          <cell r="T55">
            <v>0.35</v>
          </cell>
          <cell r="U55">
            <v>0.35</v>
          </cell>
          <cell r="V55">
            <v>0.35</v>
          </cell>
          <cell r="Y55">
            <v>0.35</v>
          </cell>
          <cell r="Z55">
            <v>0.35</v>
          </cell>
          <cell r="AA55">
            <v>0.35</v>
          </cell>
          <cell r="AB55">
            <v>0.35</v>
          </cell>
          <cell r="AC55">
            <v>0.35</v>
          </cell>
          <cell r="AD55">
            <v>0.35</v>
          </cell>
          <cell r="AE55">
            <v>0.35</v>
          </cell>
          <cell r="AF55">
            <v>0.35</v>
          </cell>
          <cell r="AG55">
            <v>0.35</v>
          </cell>
          <cell r="AH55">
            <v>0.35</v>
          </cell>
          <cell r="AI55">
            <v>0.35</v>
          </cell>
          <cell r="AJ55">
            <v>0.35</v>
          </cell>
          <cell r="AK55">
            <v>0.35</v>
          </cell>
          <cell r="AL55">
            <v>0.35</v>
          </cell>
          <cell r="AM55">
            <v>0.35</v>
          </cell>
          <cell r="AN55">
            <v>0.35</v>
          </cell>
          <cell r="AO55">
            <v>0.35</v>
          </cell>
          <cell r="AP55">
            <v>0.35</v>
          </cell>
          <cell r="AQ55">
            <v>0.35</v>
          </cell>
          <cell r="AR55">
            <v>0.35</v>
          </cell>
          <cell r="AS55">
            <v>0.35</v>
          </cell>
          <cell r="AT55">
            <v>0.35</v>
          </cell>
          <cell r="AU55">
            <v>0.35</v>
          </cell>
          <cell r="AV55">
            <v>0.35</v>
          </cell>
          <cell r="AW55">
            <v>0.35</v>
          </cell>
          <cell r="AX55">
            <v>0.35</v>
          </cell>
          <cell r="AY55">
            <v>0.35</v>
          </cell>
          <cell r="AZ55">
            <v>0.35</v>
          </cell>
          <cell r="BA55">
            <v>0.35</v>
          </cell>
          <cell r="BB55">
            <v>0.35</v>
          </cell>
          <cell r="BC55">
            <v>0.35</v>
          </cell>
          <cell r="BD55">
            <v>0.35</v>
          </cell>
          <cell r="BE55">
            <v>0.35</v>
          </cell>
          <cell r="BF55">
            <v>0.35</v>
          </cell>
          <cell r="BG55">
            <v>0.35</v>
          </cell>
          <cell r="BH55">
            <v>0.35</v>
          </cell>
          <cell r="BI55">
            <v>0.35</v>
          </cell>
          <cell r="BJ55">
            <v>0.35</v>
          </cell>
          <cell r="BK55">
            <v>0.35</v>
          </cell>
          <cell r="BL55">
            <v>0.35</v>
          </cell>
          <cell r="BM55">
            <v>0.35</v>
          </cell>
          <cell r="BN55">
            <v>0.35</v>
          </cell>
          <cell r="BO55">
            <v>0.35</v>
          </cell>
          <cell r="BP55">
            <v>0.35</v>
          </cell>
          <cell r="BQ55">
            <v>0.35</v>
          </cell>
          <cell r="BR55">
            <v>0.35</v>
          </cell>
          <cell r="BS55">
            <v>0.35</v>
          </cell>
          <cell r="BT55">
            <v>0.35</v>
          </cell>
          <cell r="BV55" t="str">
            <v>mstag:statutoryTaxRate</v>
          </cell>
          <cell r="BW55">
            <v>0</v>
          </cell>
          <cell r="BX55" t="str">
            <v>ms_eqr_gcim_Decimal:ms_eqr_gcim_decimal</v>
          </cell>
          <cell r="BY55" t="b">
            <v>0</v>
          </cell>
          <cell r="BZ55" t="b">
            <v>0</v>
          </cell>
        </row>
        <row r="56">
          <cell r="A56" t="str">
            <v>Income on Equity Method Investments</v>
          </cell>
          <cell r="C56">
            <v>0</v>
          </cell>
          <cell r="D56">
            <v>-21.221</v>
          </cell>
          <cell r="E56">
            <v>-2.968</v>
          </cell>
          <cell r="F56">
            <v>-2.0779999999999998</v>
          </cell>
          <cell r="G56">
            <v>2.6000000000000002E-2</v>
          </cell>
          <cell r="H56">
            <v>1.9E-2</v>
          </cell>
          <cell r="I56">
            <v>2.2000000000000002E-2</v>
          </cell>
          <cell r="J56">
            <v>2.6000000000000002E-2</v>
          </cell>
          <cell r="K56">
            <v>0.04</v>
          </cell>
          <cell r="L56">
            <v>1.4E-2</v>
          </cell>
          <cell r="M56">
            <v>0</v>
          </cell>
          <cell r="N56">
            <v>0</v>
          </cell>
          <cell r="O56">
            <v>0</v>
          </cell>
          <cell r="P56">
            <v>0</v>
          </cell>
          <cell r="Q56">
            <v>0</v>
          </cell>
          <cell r="R56">
            <v>0</v>
          </cell>
          <cell r="S56">
            <v>0</v>
          </cell>
          <cell r="T56">
            <v>0</v>
          </cell>
          <cell r="U56">
            <v>0</v>
          </cell>
          <cell r="V56">
            <v>0</v>
          </cell>
          <cell r="AC56">
            <v>-19.312999999999999</v>
          </cell>
          <cell r="AD56">
            <v>0</v>
          </cell>
          <cell r="AE56">
            <v>-0.52100000000000002</v>
          </cell>
          <cell r="AF56">
            <v>-1.387</v>
          </cell>
          <cell r="AG56">
            <v>-0.67100000000000004</v>
          </cell>
          <cell r="AH56">
            <v>-0.622</v>
          </cell>
          <cell r="AI56">
            <v>-0.61099999999999999</v>
          </cell>
          <cell r="AJ56">
            <v>-1.0640000000000001</v>
          </cell>
          <cell r="AK56">
            <v>-1.0980000000000001</v>
          </cell>
          <cell r="AL56">
            <v>-0.95199999999999996</v>
          </cell>
          <cell r="AM56">
            <v>-7.0000000000000007E-2</v>
          </cell>
          <cell r="AN56">
            <v>4.2000000000000003E-2</v>
          </cell>
          <cell r="AO56">
            <v>4.0000000000000001E-3</v>
          </cell>
          <cell r="AP56">
            <v>6.0000000000000001E-3</v>
          </cell>
          <cell r="AQ56">
            <v>6.0000000000000001E-3</v>
          </cell>
          <cell r="AR56">
            <v>0.01</v>
          </cell>
          <cell r="AS56">
            <v>2E-3</v>
          </cell>
          <cell r="AT56">
            <v>6.0000000000000001E-3</v>
          </cell>
          <cell r="AU56">
            <v>2E-3</v>
          </cell>
          <cell r="AV56">
            <v>8.9999999999999993E-3</v>
          </cell>
          <cell r="AW56">
            <v>5.0000000000000001E-3</v>
          </cell>
          <cell r="AX56">
            <v>8.0000000000000002E-3</v>
          </cell>
          <cell r="AY56">
            <v>5.0000000000000001E-3</v>
          </cell>
          <cell r="AZ56">
            <v>4.0000000000000001E-3</v>
          </cell>
          <cell r="BA56">
            <v>0.01</v>
          </cell>
          <cell r="BB56">
            <v>7.0000000000000001E-3</v>
          </cell>
          <cell r="BC56">
            <v>3.0000000000000001E-3</v>
          </cell>
          <cell r="BD56">
            <v>6.0000000000000001E-3</v>
          </cell>
          <cell r="BE56">
            <v>8.0000000000000002E-3</v>
          </cell>
          <cell r="BF56">
            <v>0.01</v>
          </cell>
          <cell r="BG56">
            <v>6.0000000000000001E-3</v>
          </cell>
          <cell r="BH56">
            <v>1.6E-2</v>
          </cell>
          <cell r="BI56">
            <v>1E-3</v>
          </cell>
          <cell r="BJ56">
            <v>1.0999999999999999E-2</v>
          </cell>
          <cell r="BK56">
            <v>2E-3</v>
          </cell>
          <cell r="BL56">
            <v>0</v>
          </cell>
          <cell r="BM56">
            <v>0</v>
          </cell>
          <cell r="BN56">
            <v>0</v>
          </cell>
          <cell r="BO56">
            <v>0</v>
          </cell>
          <cell r="BP56">
            <v>0</v>
          </cell>
          <cell r="BQ56">
            <v>0</v>
          </cell>
          <cell r="BR56">
            <v>0</v>
          </cell>
          <cell r="BS56">
            <v>0</v>
          </cell>
          <cell r="BT56">
            <v>0</v>
          </cell>
          <cell r="BV56" t="str">
            <v>mstag:incomeLossFromInvestmentsAccountedForUnderTheEquityMethodNonOperatingIncomeStatement</v>
          </cell>
          <cell r="BW56">
            <v>6</v>
          </cell>
          <cell r="BX56" t="str">
            <v>ISO4217:USD</v>
          </cell>
          <cell r="BY56" t="b">
            <v>0</v>
          </cell>
        </row>
        <row r="57">
          <cell r="A57" t="str">
            <v>Net Income (Loss) from Contin. Ops.</v>
          </cell>
          <cell r="C57">
            <v>-318.33700000000016</v>
          </cell>
          <cell r="D57">
            <v>-260.91000000000008</v>
          </cell>
          <cell r="E57">
            <v>-236.92999999999986</v>
          </cell>
          <cell r="F57">
            <v>-143.34600000000012</v>
          </cell>
          <cell r="G57">
            <v>29.122000000000003</v>
          </cell>
          <cell r="H57">
            <v>93.049999999999784</v>
          </cell>
          <cell r="I57">
            <v>236.43299999999985</v>
          </cell>
          <cell r="J57">
            <v>238.94800000000015</v>
          </cell>
          <cell r="K57">
            <v>373.57600000000002</v>
          </cell>
          <cell r="L57">
            <v>296.54181987126117</v>
          </cell>
          <cell r="M57">
            <v>806.59084157187601</v>
          </cell>
          <cell r="N57">
            <v>997.39192230143715</v>
          </cell>
          <cell r="O57">
            <v>1105.71089616122</v>
          </cell>
          <cell r="P57">
            <v>1192.985506990065</v>
          </cell>
          <cell r="Q57">
            <v>1268.4656119182575</v>
          </cell>
          <cell r="R57">
            <v>1333.0518725846941</v>
          </cell>
          <cell r="S57">
            <v>1386.4166358438388</v>
          </cell>
          <cell r="T57">
            <v>1428.5252057073035</v>
          </cell>
          <cell r="U57">
            <v>1458.0463167422679</v>
          </cell>
          <cell r="V57">
            <v>1476.5165887719231</v>
          </cell>
          <cell r="Y57">
            <v>-55.88600000000001</v>
          </cell>
          <cell r="Z57">
            <v>-67.208000000000013</v>
          </cell>
          <cell r="AA57">
            <v>-147.21499999999997</v>
          </cell>
          <cell r="AB57">
            <v>-48.02800000000002</v>
          </cell>
          <cell r="AC57">
            <v>-85.052000000000035</v>
          </cell>
          <cell r="AD57">
            <v>-84.822000000000003</v>
          </cell>
          <cell r="AE57">
            <v>-42.219999999999985</v>
          </cell>
          <cell r="AF57">
            <v>-48.816000000000017</v>
          </cell>
          <cell r="AG57">
            <v>-46.197000000000003</v>
          </cell>
          <cell r="AH57">
            <v>-63.503999999999998</v>
          </cell>
          <cell r="AI57">
            <v>-59.261000000000017</v>
          </cell>
          <cell r="AJ57">
            <v>-67.967999999999989</v>
          </cell>
          <cell r="AK57">
            <v>-32.241000000000021</v>
          </cell>
          <cell r="AL57">
            <v>-34.997</v>
          </cell>
          <cell r="AM57">
            <v>-21.229999999999993</v>
          </cell>
          <cell r="AN57">
            <v>-54.878</v>
          </cell>
          <cell r="AO57">
            <v>-1.3619999999999965</v>
          </cell>
          <cell r="AP57">
            <v>8.2709999999999937</v>
          </cell>
          <cell r="AQ57">
            <v>3.7820000000000333</v>
          </cell>
          <cell r="AR57">
            <v>18.430999999999987</v>
          </cell>
          <cell r="AS57">
            <v>21.167999999999946</v>
          </cell>
          <cell r="AT57">
            <v>12.125999999999982</v>
          </cell>
          <cell r="AU57">
            <v>60.218999999999973</v>
          </cell>
          <cell r="AV57">
            <v>-0.46299999999998709</v>
          </cell>
          <cell r="AW57">
            <v>42.24700000000005</v>
          </cell>
          <cell r="AX57">
            <v>50.781000000000013</v>
          </cell>
          <cell r="AY57">
            <v>60.611000000000018</v>
          </cell>
          <cell r="AZ57">
            <v>82.793999999999997</v>
          </cell>
          <cell r="BA57">
            <v>55.689000000000014</v>
          </cell>
          <cell r="BB57">
            <v>51.427999999999976</v>
          </cell>
          <cell r="BC57">
            <v>67.581999999999908</v>
          </cell>
          <cell r="BD57">
            <v>64.248999999999995</v>
          </cell>
          <cell r="BE57">
            <v>96.448000000000036</v>
          </cell>
          <cell r="BF57">
            <v>99.824999999999974</v>
          </cell>
          <cell r="BG57">
            <v>93.6</v>
          </cell>
          <cell r="BH57">
            <v>83.703000000000046</v>
          </cell>
          <cell r="BI57">
            <v>91.961299999999994</v>
          </cell>
          <cell r="BJ57">
            <v>113.17100000000001</v>
          </cell>
          <cell r="BK57">
            <v>-19.725999999999988</v>
          </cell>
          <cell r="BL57">
            <v>111.13551987126066</v>
          </cell>
          <cell r="BM57">
            <v>165.43731591866145</v>
          </cell>
          <cell r="BN57">
            <v>196.65267199437662</v>
          </cell>
          <cell r="BO57">
            <v>216.5251131769262</v>
          </cell>
          <cell r="BP57">
            <v>227.97574048191163</v>
          </cell>
          <cell r="BQ57">
            <v>229.6279744820074</v>
          </cell>
          <cell r="BR57">
            <v>245.20371192653238</v>
          </cell>
          <cell r="BS57">
            <v>258.60129883455858</v>
          </cell>
          <cell r="BT57">
            <v>263.95893705833851</v>
          </cell>
        </row>
        <row r="58">
          <cell r="A58" t="str">
            <v>Minority Interest</v>
          </cell>
          <cell r="C58">
            <v>-2.1179999999999999</v>
          </cell>
          <cell r="D58">
            <v>-3.7030000000000003</v>
          </cell>
          <cell r="E58">
            <v>-2.3660000000000001</v>
          </cell>
          <cell r="F58">
            <v>-0.57499999999999996</v>
          </cell>
          <cell r="G58">
            <v>-0.78400000000000003</v>
          </cell>
          <cell r="H58">
            <v>-0.33800000000000002</v>
          </cell>
          <cell r="I58">
            <v>-0.16900000000000001</v>
          </cell>
          <cell r="J58">
            <v>-0.53199999999999992</v>
          </cell>
          <cell r="K58">
            <v>-0.66999999999999993</v>
          </cell>
          <cell r="L58">
            <v>5.7470000000000008</v>
          </cell>
          <cell r="M58">
            <v>-0.79600000000000004</v>
          </cell>
          <cell r="N58">
            <v>-0.79600000000000004</v>
          </cell>
          <cell r="O58">
            <v>-0.79600000000000004</v>
          </cell>
          <cell r="P58">
            <v>-0.79600000000000004</v>
          </cell>
          <cell r="Q58">
            <v>-0.79600000000000004</v>
          </cell>
          <cell r="R58">
            <v>-0.79600000000000004</v>
          </cell>
          <cell r="S58">
            <v>-0.79600000000000004</v>
          </cell>
          <cell r="T58">
            <v>-0.79600000000000004</v>
          </cell>
          <cell r="U58">
            <v>-0.79600000000000004</v>
          </cell>
          <cell r="V58">
            <v>-0.79600000000000004</v>
          </cell>
          <cell r="Y58">
            <v>-0.24299999999999999</v>
          </cell>
          <cell r="Z58">
            <v>-0.49099999999999999</v>
          </cell>
          <cell r="AA58">
            <v>-0.63900000000000001</v>
          </cell>
          <cell r="AB58">
            <v>-0.745</v>
          </cell>
          <cell r="AC58">
            <v>-0.56999999999999995</v>
          </cell>
          <cell r="AD58">
            <v>-0.79300000000000004</v>
          </cell>
          <cell r="AE58">
            <v>-0.90700000000000003</v>
          </cell>
          <cell r="AF58">
            <v>-1.4330000000000001</v>
          </cell>
          <cell r="AG58">
            <v>-1.423</v>
          </cell>
          <cell r="AH58">
            <v>-0.49</v>
          </cell>
          <cell r="AI58">
            <v>-0.27100000000000002</v>
          </cell>
          <cell r="AJ58">
            <v>-0.182</v>
          </cell>
          <cell r="AK58">
            <v>-5.5E-2</v>
          </cell>
          <cell r="AL58">
            <v>-5.6000000000000001E-2</v>
          </cell>
          <cell r="AM58">
            <v>-0.128</v>
          </cell>
          <cell r="AN58">
            <v>-0.33600000000000002</v>
          </cell>
          <cell r="AO58">
            <v>-0.25700000000000001</v>
          </cell>
          <cell r="AP58">
            <v>-0.28000000000000003</v>
          </cell>
          <cell r="AQ58">
            <v>-0.06</v>
          </cell>
          <cell r="AR58">
            <v>-0.187</v>
          </cell>
          <cell r="AS58">
            <v>-8.7999999999999995E-2</v>
          </cell>
          <cell r="AT58">
            <v>-9.6000000000000002E-2</v>
          </cell>
          <cell r="AU58">
            <v>-0.08</v>
          </cell>
          <cell r="AV58">
            <v>-7.3999999999999996E-2</v>
          </cell>
          <cell r="AW58">
            <v>-7.2999999999999995E-2</v>
          </cell>
          <cell r="AX58">
            <v>-9.8000000000000004E-2</v>
          </cell>
          <cell r="AY58">
            <v>-9.5000000000000001E-2</v>
          </cell>
          <cell r="AZ58">
            <v>9.7000000000000003E-2</v>
          </cell>
          <cell r="BA58">
            <v>-0.158</v>
          </cell>
          <cell r="BB58">
            <v>-0.19900000000000001</v>
          </cell>
          <cell r="BC58">
            <v>-0.223</v>
          </cell>
          <cell r="BD58">
            <v>4.8000000000000001E-2</v>
          </cell>
          <cell r="BE58">
            <v>-0.16500000000000001</v>
          </cell>
          <cell r="BF58">
            <v>-0.154</v>
          </cell>
          <cell r="BG58">
            <v>-0.16200000000000001</v>
          </cell>
          <cell r="BH58">
            <v>-0.189</v>
          </cell>
          <cell r="BI58">
            <v>-0.11899999999999999</v>
          </cell>
          <cell r="BJ58">
            <v>2.04</v>
          </cell>
          <cell r="BK58">
            <v>4.0250000000000004</v>
          </cell>
          <cell r="BL58">
            <v>-0.19900000000000001</v>
          </cell>
          <cell r="BM58">
            <v>-0.19900000000000001</v>
          </cell>
          <cell r="BN58">
            <v>-0.19900000000000001</v>
          </cell>
          <cell r="BO58">
            <v>-0.19900000000000001</v>
          </cell>
          <cell r="BP58">
            <v>-0.19900000000000001</v>
          </cell>
          <cell r="BQ58">
            <v>-0.19900000000000001</v>
          </cell>
          <cell r="BR58">
            <v>-0.19900000000000001</v>
          </cell>
          <cell r="BS58">
            <v>-0.19900000000000001</v>
          </cell>
          <cell r="BT58">
            <v>-0.19900000000000001</v>
          </cell>
          <cell r="BV58" t="str">
            <v>mstag:minorityInterestsInNetIncome</v>
          </cell>
          <cell r="BW58">
            <v>6</v>
          </cell>
          <cell r="BX58" t="str">
            <v>ISO4217:USD</v>
          </cell>
          <cell r="BY58" t="b">
            <v>1</v>
          </cell>
          <cell r="BZ58" t="b">
            <v>0</v>
          </cell>
        </row>
        <row r="59">
          <cell r="A59" t="str">
            <v>Discontinued Ops.</v>
          </cell>
          <cell r="C59">
            <v>-821.42300000000023</v>
          </cell>
          <cell r="D59">
            <v>-60.707999999999998</v>
          </cell>
          <cell r="E59">
            <v>-8.2910000000000004</v>
          </cell>
          <cell r="F59">
            <v>-37.437999999999995</v>
          </cell>
          <cell r="G59">
            <v>-0.85399999999999998</v>
          </cell>
          <cell r="H59">
            <v>-36.396000000000001</v>
          </cell>
          <cell r="I59">
            <v>110.98199999999999</v>
          </cell>
          <cell r="J59">
            <v>8.1790000000000003</v>
          </cell>
          <cell r="K59">
            <v>3.0000000000000006E-2</v>
          </cell>
          <cell r="L59">
            <v>0</v>
          </cell>
          <cell r="M59">
            <v>0</v>
          </cell>
          <cell r="N59">
            <v>0</v>
          </cell>
          <cell r="O59">
            <v>0</v>
          </cell>
          <cell r="P59">
            <v>0</v>
          </cell>
          <cell r="Q59">
            <v>0</v>
          </cell>
          <cell r="R59">
            <v>0</v>
          </cell>
          <cell r="S59">
            <v>0</v>
          </cell>
          <cell r="T59">
            <v>0</v>
          </cell>
          <cell r="U59">
            <v>0</v>
          </cell>
          <cell r="V59">
            <v>0</v>
          </cell>
          <cell r="Y59">
            <v>-578.2600000000001</v>
          </cell>
          <cell r="Z59">
            <v>-33.469000000000001</v>
          </cell>
          <cell r="AA59">
            <v>-206.023</v>
          </cell>
          <cell r="AB59">
            <v>-3.6709999999999998</v>
          </cell>
          <cell r="AC59">
            <v>-11.385</v>
          </cell>
          <cell r="AD59">
            <v>-27.515999999999998</v>
          </cell>
          <cell r="AE59">
            <v>-15.164</v>
          </cell>
          <cell r="AF59">
            <v>-6.6429999999999998</v>
          </cell>
          <cell r="AG59">
            <v>-0.61799999999999999</v>
          </cell>
          <cell r="AH59">
            <v>-1.2030000000000001</v>
          </cell>
          <cell r="AI59">
            <v>-0.59</v>
          </cell>
          <cell r="AJ59">
            <v>-5.88</v>
          </cell>
          <cell r="AK59">
            <v>-8.3000000000000004E-2</v>
          </cell>
          <cell r="AL59">
            <v>-1.0980000000000001</v>
          </cell>
          <cell r="AM59">
            <v>-0.72199999999999998</v>
          </cell>
          <cell r="AN59">
            <v>-35.534999999999997</v>
          </cell>
          <cell r="AO59">
            <v>-0.318</v>
          </cell>
          <cell r="AP59">
            <v>-0.32700000000000001</v>
          </cell>
          <cell r="AQ59">
            <v>-0.25</v>
          </cell>
          <cell r="AR59">
            <v>4.1000000000000002E-2</v>
          </cell>
          <cell r="AS59">
            <v>1.1479999999999999</v>
          </cell>
          <cell r="AT59">
            <v>-32.021000000000001</v>
          </cell>
          <cell r="AU59">
            <v>-0.51100000000000001</v>
          </cell>
          <cell r="AV59">
            <v>-5.0119999999999996</v>
          </cell>
          <cell r="AW59">
            <v>-1.9E-2</v>
          </cell>
          <cell r="AX59">
            <v>108.10299999999999</v>
          </cell>
          <cell r="AY59">
            <v>-0.05</v>
          </cell>
          <cell r="AZ59">
            <v>2.948</v>
          </cell>
          <cell r="BA59">
            <v>3.07</v>
          </cell>
          <cell r="BB59">
            <v>5.0599999999999996</v>
          </cell>
          <cell r="BC59">
            <v>-4.0000000000000001E-3</v>
          </cell>
          <cell r="BD59">
            <v>5.2999999999999999E-2</v>
          </cell>
          <cell r="BE59">
            <v>3.5000000000000003E-2</v>
          </cell>
          <cell r="BF59">
            <v>-6.0000000000000001E-3</v>
          </cell>
          <cell r="BG59">
            <v>1E-3</v>
          </cell>
          <cell r="BH59">
            <v>0</v>
          </cell>
          <cell r="BI59">
            <v>0</v>
          </cell>
          <cell r="BJ59">
            <v>0</v>
          </cell>
          <cell r="BK59">
            <v>0</v>
          </cell>
          <cell r="BL59">
            <v>0</v>
          </cell>
          <cell r="BM59">
            <v>0</v>
          </cell>
          <cell r="BN59">
            <v>0</v>
          </cell>
          <cell r="BO59">
            <v>0</v>
          </cell>
          <cell r="BP59">
            <v>0</v>
          </cell>
          <cell r="BQ59">
            <v>0</v>
          </cell>
          <cell r="BR59">
            <v>0</v>
          </cell>
          <cell r="BS59">
            <v>0</v>
          </cell>
          <cell r="BT59">
            <v>0</v>
          </cell>
          <cell r="BV59" t="str">
            <v>mstag:otherProvisionsOneTime</v>
          </cell>
          <cell r="BW59">
            <v>6</v>
          </cell>
          <cell r="BX59" t="str">
            <v>ISO4217:USD</v>
          </cell>
          <cell r="BY59" t="b">
            <v>1</v>
          </cell>
          <cell r="BZ59" t="b">
            <v>0</v>
          </cell>
        </row>
        <row r="60">
          <cell r="A60" t="str">
            <v>Net Income (Loss) to Common</v>
          </cell>
          <cell r="C60">
            <v>-1139.7600000000004</v>
          </cell>
          <cell r="D60">
            <v>-321.61800000000005</v>
          </cell>
          <cell r="E60">
            <v>-245.22099999999986</v>
          </cell>
          <cell r="F60">
            <v>-180.78400000000011</v>
          </cell>
          <cell r="G60">
            <v>28.268000000000004</v>
          </cell>
          <cell r="H60">
            <v>56.653999999999783</v>
          </cell>
          <cell r="I60">
            <v>347.41499999999985</v>
          </cell>
          <cell r="J60">
            <v>247.12700000000015</v>
          </cell>
          <cell r="K60">
            <v>373.60599999999999</v>
          </cell>
          <cell r="L60">
            <v>296.54181987126117</v>
          </cell>
          <cell r="M60">
            <v>806.59084157187601</v>
          </cell>
          <cell r="N60">
            <v>997.39192230143715</v>
          </cell>
          <cell r="O60">
            <v>1105.71089616122</v>
          </cell>
          <cell r="P60">
            <v>1192.985506990065</v>
          </cell>
          <cell r="Q60">
            <v>1268.4656119182575</v>
          </cell>
          <cell r="R60">
            <v>1333.0518725846941</v>
          </cell>
          <cell r="S60">
            <v>1386.4166358438388</v>
          </cell>
          <cell r="T60">
            <v>1428.5252057073035</v>
          </cell>
          <cell r="U60">
            <v>1458.0463167422679</v>
          </cell>
          <cell r="V60">
            <v>1476.5165887719231</v>
          </cell>
          <cell r="Y60">
            <v>-634.14600000000007</v>
          </cell>
          <cell r="Z60">
            <v>-100.67700000000002</v>
          </cell>
          <cell r="AA60">
            <v>-353.23799999999994</v>
          </cell>
          <cell r="AB60">
            <v>-51.699000000000019</v>
          </cell>
          <cell r="AC60">
            <v>-96.43700000000004</v>
          </cell>
          <cell r="AD60">
            <v>-112.33799999999999</v>
          </cell>
          <cell r="AE60">
            <v>-57.383999999999986</v>
          </cell>
          <cell r="AF60">
            <v>-55.459000000000017</v>
          </cell>
          <cell r="AG60">
            <v>-46.815000000000005</v>
          </cell>
          <cell r="AH60">
            <v>-64.706999999999994</v>
          </cell>
          <cell r="AI60">
            <v>-59.85100000000002</v>
          </cell>
          <cell r="AJ60">
            <v>-73.847999999999985</v>
          </cell>
          <cell r="AK60">
            <v>-32.324000000000019</v>
          </cell>
          <cell r="AL60">
            <v>-36.094999999999999</v>
          </cell>
          <cell r="AM60">
            <v>-21.951999999999995</v>
          </cell>
          <cell r="AN60">
            <v>-90.412999999999997</v>
          </cell>
          <cell r="AO60">
            <v>-1.6799999999999966</v>
          </cell>
          <cell r="AP60">
            <v>7.9439999999999937</v>
          </cell>
          <cell r="AQ60">
            <v>3.5320000000000333</v>
          </cell>
          <cell r="AR60">
            <v>18.471999999999987</v>
          </cell>
          <cell r="AS60">
            <v>22.315999999999946</v>
          </cell>
          <cell r="AT60">
            <v>-19.895000000000017</v>
          </cell>
          <cell r="AU60">
            <v>59.70799999999997</v>
          </cell>
          <cell r="AV60">
            <v>-5.4749999999999863</v>
          </cell>
          <cell r="AW60">
            <v>42.228000000000051</v>
          </cell>
          <cell r="AX60">
            <v>158.88400000000001</v>
          </cell>
          <cell r="AY60">
            <v>60.561000000000021</v>
          </cell>
          <cell r="AZ60">
            <v>85.74199999999999</v>
          </cell>
          <cell r="BA60">
            <v>58.759000000000015</v>
          </cell>
          <cell r="BB60">
            <v>56.487999999999978</v>
          </cell>
          <cell r="BC60">
            <v>67.577999999999903</v>
          </cell>
          <cell r="BD60">
            <v>64.301999999999992</v>
          </cell>
          <cell r="BE60">
            <v>96.483000000000033</v>
          </cell>
          <cell r="BF60">
            <v>99.818999999999974</v>
          </cell>
          <cell r="BG60">
            <v>93.600999999999999</v>
          </cell>
          <cell r="BH60">
            <v>83.703000000000046</v>
          </cell>
          <cell r="BI60">
            <v>91.961299999999994</v>
          </cell>
          <cell r="BJ60">
            <v>113.17100000000001</v>
          </cell>
          <cell r="BK60">
            <v>-19.725999999999988</v>
          </cell>
          <cell r="BL60">
            <v>111.13551987126066</v>
          </cell>
          <cell r="BM60">
            <v>165.43731591866145</v>
          </cell>
          <cell r="BN60">
            <v>196.65267199437662</v>
          </cell>
          <cell r="BO60">
            <v>216.5251131769262</v>
          </cell>
          <cell r="BP60">
            <v>227.97574048191163</v>
          </cell>
          <cell r="BQ60">
            <v>229.6279744820074</v>
          </cell>
          <cell r="BR60">
            <v>245.20371192653238</v>
          </cell>
          <cell r="BS60">
            <v>258.60129883455858</v>
          </cell>
          <cell r="BT60">
            <v>263.95893705833851</v>
          </cell>
        </row>
        <row r="61">
          <cell r="A61" t="str">
            <v>Net Income Attributable to AMT Corp.</v>
          </cell>
          <cell r="C61">
            <v>-1141.8780000000004</v>
          </cell>
          <cell r="D61">
            <v>-325.32100000000003</v>
          </cell>
          <cell r="E61">
            <v>-247.58699999999988</v>
          </cell>
          <cell r="F61">
            <v>-181.35900000000009</v>
          </cell>
          <cell r="G61">
            <v>27.484000000000005</v>
          </cell>
          <cell r="H61">
            <v>56.315999999999782</v>
          </cell>
          <cell r="I61">
            <v>347.24599999999987</v>
          </cell>
          <cell r="J61">
            <v>246.59500000000014</v>
          </cell>
          <cell r="K61">
            <v>372.93599999999998</v>
          </cell>
          <cell r="L61">
            <v>302.28881987126118</v>
          </cell>
          <cell r="M61">
            <v>805.79484157187596</v>
          </cell>
          <cell r="N61">
            <v>996.5959223014371</v>
          </cell>
          <cell r="O61">
            <v>1104.91489616122</v>
          </cell>
          <cell r="P61">
            <v>1192.189506990065</v>
          </cell>
          <cell r="Q61">
            <v>1267.6696119182575</v>
          </cell>
          <cell r="R61">
            <v>1332.2558725846941</v>
          </cell>
          <cell r="S61">
            <v>1385.6206358438387</v>
          </cell>
          <cell r="T61">
            <v>1427.7292057073034</v>
          </cell>
          <cell r="U61">
            <v>1457.2503167422678</v>
          </cell>
          <cell r="V61">
            <v>1475.7205887719231</v>
          </cell>
          <cell r="W61">
            <v>0.38769790452456498</v>
          </cell>
          <cell r="Y61">
            <v>-634.38900000000012</v>
          </cell>
          <cell r="Z61">
            <v>-101.16800000000002</v>
          </cell>
          <cell r="AA61">
            <v>-353.87699999999995</v>
          </cell>
          <cell r="AB61">
            <v>-52.444000000000017</v>
          </cell>
          <cell r="AC61">
            <v>-97.007000000000033</v>
          </cell>
          <cell r="AD61">
            <v>-113.131</v>
          </cell>
          <cell r="AE61">
            <v>-58.290999999999983</v>
          </cell>
          <cell r="AF61">
            <v>-56.892000000000017</v>
          </cell>
          <cell r="AG61">
            <v>-48.238000000000007</v>
          </cell>
          <cell r="AH61">
            <v>-65.196999999999989</v>
          </cell>
          <cell r="AI61">
            <v>-60.122000000000021</v>
          </cell>
          <cell r="AJ61">
            <v>-74.029999999999987</v>
          </cell>
          <cell r="AK61">
            <v>-32.379000000000019</v>
          </cell>
          <cell r="AL61">
            <v>-36.150999999999996</v>
          </cell>
          <cell r="AM61">
            <v>-22.079999999999995</v>
          </cell>
          <cell r="AN61">
            <v>-90.748999999999995</v>
          </cell>
          <cell r="AO61">
            <v>-1.9369999999999967</v>
          </cell>
          <cell r="AP61">
            <v>7.6639999999999935</v>
          </cell>
          <cell r="AQ61">
            <v>3.4720000000000333</v>
          </cell>
          <cell r="AR61">
            <v>18.284999999999986</v>
          </cell>
          <cell r="AS61">
            <v>22.227999999999945</v>
          </cell>
          <cell r="AT61">
            <v>-19.991000000000017</v>
          </cell>
          <cell r="AU61">
            <v>59.627999999999972</v>
          </cell>
          <cell r="AV61">
            <v>-5.5489999999999862</v>
          </cell>
          <cell r="AW61">
            <v>42.155000000000051</v>
          </cell>
          <cell r="AX61">
            <v>158.786</v>
          </cell>
          <cell r="AY61">
            <v>60.466000000000022</v>
          </cell>
          <cell r="AZ61">
            <v>85.838999999999984</v>
          </cell>
          <cell r="BA61">
            <v>58.601000000000013</v>
          </cell>
          <cell r="BB61">
            <v>56.28899999999998</v>
          </cell>
          <cell r="BC61">
            <v>67.354999999999905</v>
          </cell>
          <cell r="BD61">
            <v>64.349999999999994</v>
          </cell>
          <cell r="BE61">
            <v>96.318000000000026</v>
          </cell>
          <cell r="BF61">
            <v>99.664999999999978</v>
          </cell>
          <cell r="BG61">
            <v>93.438999999999993</v>
          </cell>
          <cell r="BH61">
            <v>83.514000000000053</v>
          </cell>
          <cell r="BI61">
            <v>91.842299999999994</v>
          </cell>
          <cell r="BJ61">
            <v>115.21100000000001</v>
          </cell>
          <cell r="BK61">
            <v>-15.700999999999988</v>
          </cell>
          <cell r="BL61">
            <v>110.93651987126066</v>
          </cell>
          <cell r="BM61">
            <v>165.23831591866144</v>
          </cell>
          <cell r="BN61">
            <v>196.45367199437661</v>
          </cell>
          <cell r="BO61">
            <v>216.32611317692619</v>
          </cell>
          <cell r="BP61">
            <v>227.77674048191162</v>
          </cell>
          <cell r="BQ61">
            <v>229.42897448200739</v>
          </cell>
          <cell r="BR61">
            <v>245.00471192653237</v>
          </cell>
          <cell r="BS61">
            <v>258.40229883455856</v>
          </cell>
          <cell r="BT61">
            <v>263.75993705833849</v>
          </cell>
        </row>
        <row r="63">
          <cell r="A63" t="str">
            <v>Basic Shares (Avg)</v>
          </cell>
          <cell r="C63">
            <v>195.45374999999999</v>
          </cell>
          <cell r="D63">
            <v>201.73512499999998</v>
          </cell>
          <cell r="E63">
            <v>218.80824999999999</v>
          </cell>
          <cell r="F63">
            <v>300.92175000000003</v>
          </cell>
          <cell r="G63">
            <v>419.3245</v>
          </cell>
          <cell r="H63">
            <v>413.16699999999997</v>
          </cell>
          <cell r="I63">
            <v>398.24771900000002</v>
          </cell>
          <cell r="J63">
            <v>399.28694000000002</v>
          </cell>
          <cell r="K63">
            <v>400.13710900000001</v>
          </cell>
          <cell r="L63">
            <v>395.79431447842239</v>
          </cell>
          <cell r="M63">
            <v>393.14866627768043</v>
          </cell>
          <cell r="N63">
            <v>393.57838490412138</v>
          </cell>
          <cell r="O63">
            <v>393.84868670351023</v>
          </cell>
          <cell r="P63">
            <v>393.96372348798826</v>
          </cell>
          <cell r="Q63">
            <v>394.01634318169715</v>
          </cell>
          <cell r="R63">
            <v>394.04044944419434</v>
          </cell>
          <cell r="S63">
            <v>394.01286873567392</v>
          </cell>
          <cell r="T63">
            <v>393.90482764276237</v>
          </cell>
          <cell r="U63">
            <v>393.73312182081418</v>
          </cell>
          <cell r="V63">
            <v>393.51104092604015</v>
          </cell>
          <cell r="Y63">
            <v>195.28800000000001</v>
          </cell>
          <cell r="Z63">
            <v>195.36099999999999</v>
          </cell>
          <cell r="AA63">
            <v>195.565</v>
          </cell>
          <cell r="AB63">
            <v>195.601</v>
          </cell>
          <cell r="AC63">
            <v>195.703</v>
          </cell>
          <cell r="AD63">
            <v>202.91300000000001</v>
          </cell>
          <cell r="AE63">
            <v>212.05</v>
          </cell>
          <cell r="AF63">
            <v>219.66200000000001</v>
          </cell>
          <cell r="AG63">
            <v>220.40799999999999</v>
          </cell>
          <cell r="AH63">
            <v>223.578</v>
          </cell>
          <cell r="AI63">
            <v>224.839</v>
          </cell>
          <cell r="AJ63">
            <v>228.46899999999999</v>
          </cell>
          <cell r="AK63">
            <v>230.15799999999999</v>
          </cell>
          <cell r="AL63">
            <v>230.79300000000001</v>
          </cell>
          <cell r="AM63">
            <v>334.14100000000002</v>
          </cell>
          <cell r="AN63">
            <v>412.59500000000003</v>
          </cell>
          <cell r="AO63">
            <v>417.37900000000002</v>
          </cell>
          <cell r="AP63">
            <v>423.25200000000001</v>
          </cell>
          <cell r="AQ63">
            <v>425.94200000000001</v>
          </cell>
          <cell r="AR63">
            <v>426.05399999999997</v>
          </cell>
          <cell r="AS63">
            <v>421.62700000000001</v>
          </cell>
          <cell r="AT63">
            <v>417.68200000000002</v>
          </cell>
          <cell r="AU63">
            <v>410.07100000000003</v>
          </cell>
          <cell r="AV63">
            <v>402.80927100000002</v>
          </cell>
          <cell r="AW63">
            <v>397.77205249999997</v>
          </cell>
          <cell r="AX63">
            <v>396.1116725</v>
          </cell>
          <cell r="AY63">
            <v>394.09108450000002</v>
          </cell>
          <cell r="AZ63">
            <v>394.48064150000005</v>
          </cell>
          <cell r="BA63">
            <v>397.65871199999998</v>
          </cell>
          <cell r="BB63">
            <v>395.81000299999999</v>
          </cell>
          <cell r="BC63">
            <v>401.05979300000001</v>
          </cell>
          <cell r="BD63">
            <v>401.59698400000002</v>
          </cell>
          <cell r="BE63">
            <v>402.346</v>
          </cell>
          <cell r="BF63">
            <v>402.733</v>
          </cell>
          <cell r="BG63">
            <v>400.60199999999998</v>
          </cell>
          <cell r="BH63">
            <v>398.97</v>
          </cell>
          <cell r="BI63">
            <v>397.76799999999997</v>
          </cell>
          <cell r="BJ63">
            <v>396.59899999999999</v>
          </cell>
          <cell r="BK63">
            <v>395.18299999999999</v>
          </cell>
          <cell r="BL63">
            <v>393.18930297842235</v>
          </cell>
          <cell r="BM63">
            <v>392.97535388384756</v>
          </cell>
          <cell r="BN63">
            <v>393.11427127814528</v>
          </cell>
          <cell r="BO63">
            <v>393.23231352694035</v>
          </cell>
          <cell r="BP63">
            <v>393.33066745347833</v>
          </cell>
          <cell r="BQ63">
            <v>393.43545240605403</v>
          </cell>
          <cell r="BR63">
            <v>393.54772409419263</v>
          </cell>
          <cell r="BS63">
            <v>393.64347820673072</v>
          </cell>
          <cell r="BT63">
            <v>393.72365382419741</v>
          </cell>
          <cell r="BV63" t="str">
            <v>mstag:averageBasicSharesOutstanding</v>
          </cell>
          <cell r="BW63">
            <v>6</v>
          </cell>
          <cell r="BX63" t="str">
            <v>ms_eqr_gcim_Decimal:ms_eqr_gcim_decimal</v>
          </cell>
          <cell r="BY63" t="b">
            <v>0</v>
          </cell>
          <cell r="BZ63" t="b">
            <v>0</v>
          </cell>
        </row>
        <row r="64">
          <cell r="A64" t="str">
            <v>Diluted Shares Outstanding</v>
          </cell>
        </row>
        <row r="65">
          <cell r="A65" t="str">
            <v>% Dilution</v>
          </cell>
          <cell r="C65">
            <v>0</v>
          </cell>
          <cell r="D65">
            <v>3.1136744282880935E-2</v>
          </cell>
          <cell r="E65">
            <v>2.5205859468278913E-2</v>
          </cell>
          <cell r="F65">
            <v>3.3231230377996912E-3</v>
          </cell>
          <cell r="G65">
            <v>2.8181634986746529E-2</v>
          </cell>
          <cell r="H65">
            <v>3.1250680717482382E-2</v>
          </cell>
          <cell r="I65">
            <v>4.754021202567138E-2</v>
          </cell>
          <cell r="J65">
            <v>1.9646422695417831E-2</v>
          </cell>
          <cell r="K65">
            <v>1.0647952674641692E-2</v>
          </cell>
          <cell r="L65">
            <v>4.6388015163953966E-3</v>
          </cell>
          <cell r="M65">
            <v>6.0000000000000001E-3</v>
          </cell>
          <cell r="N65">
            <v>6.0000000000000001E-3</v>
          </cell>
          <cell r="O65">
            <v>6.0000000000000001E-3</v>
          </cell>
          <cell r="P65">
            <v>6.0000000000000001E-3</v>
          </cell>
          <cell r="Q65">
            <v>6.0000000000000001E-3</v>
          </cell>
          <cell r="R65">
            <v>6.0000000000000001E-3</v>
          </cell>
          <cell r="S65">
            <v>6.0000000000000001E-3</v>
          </cell>
          <cell r="T65">
            <v>6.0000000000000001E-3</v>
          </cell>
          <cell r="U65">
            <v>6.0000000000000001E-3</v>
          </cell>
          <cell r="V65">
            <v>6.0000000000000001E-3</v>
          </cell>
          <cell r="BA65">
            <v>2.6634115336570341E-2</v>
          </cell>
          <cell r="BB65">
            <v>3.2899615728003706E-2</v>
          </cell>
          <cell r="BC65">
            <v>1.1639678375837681E-2</v>
          </cell>
          <cell r="BD65">
            <v>1.0256590970812551E-2</v>
          </cell>
          <cell r="BE65">
            <v>9.2805694601163502E-3</v>
          </cell>
          <cell r="BF65">
            <v>5.688632418997086E-3</v>
          </cell>
          <cell r="BG65">
            <v>7.1217817185136312E-3</v>
          </cell>
          <cell r="BH65">
            <v>1.0181216632829448E-2</v>
          </cell>
          <cell r="BI65">
            <v>1.0385450815550756E-2</v>
          </cell>
          <cell r="BJ65">
            <v>9.2057720770855056E-3</v>
          </cell>
          <cell r="BK65">
            <v>0</v>
          </cell>
          <cell r="BL65">
            <v>0</v>
          </cell>
          <cell r="BM65">
            <v>0</v>
          </cell>
          <cell r="BN65">
            <v>0</v>
          </cell>
          <cell r="BO65">
            <v>0</v>
          </cell>
          <cell r="BP65">
            <v>0</v>
          </cell>
          <cell r="BQ65">
            <v>0</v>
          </cell>
          <cell r="BR65">
            <v>0</v>
          </cell>
          <cell r="BS65">
            <v>0</v>
          </cell>
          <cell r="BT65">
            <v>0</v>
          </cell>
        </row>
        <row r="66">
          <cell r="A66" t="str">
            <v>Average Diluted Shares Outstanding</v>
          </cell>
          <cell r="C66">
            <v>195.45374999999999</v>
          </cell>
          <cell r="D66">
            <v>208.01650000000001</v>
          </cell>
          <cell r="E66">
            <v>224.32350000000002</v>
          </cell>
          <cell r="F66">
            <v>301.92175000000003</v>
          </cell>
          <cell r="G66">
            <v>431.14175</v>
          </cell>
          <cell r="H66">
            <v>426.07875000000001</v>
          </cell>
          <cell r="I66">
            <v>417.18049999999999</v>
          </cell>
          <cell r="J66">
            <v>407.13149999999996</v>
          </cell>
          <cell r="K66">
            <v>404.39774999999997</v>
          </cell>
          <cell r="L66">
            <v>397.63032574460556</v>
          </cell>
          <cell r="M66">
            <v>393.16315153560288</v>
          </cell>
          <cell r="N66">
            <v>393.58757713279363</v>
          </cell>
          <cell r="O66">
            <v>396.21177882373127</v>
          </cell>
          <cell r="P66">
            <v>396.32750582891617</v>
          </cell>
          <cell r="Q66">
            <v>396.38044124078732</v>
          </cell>
          <cell r="R66">
            <v>396.40469214085948</v>
          </cell>
          <cell r="S66">
            <v>396.37694594808795</v>
          </cell>
          <cell r="T66">
            <v>396.26825660861897</v>
          </cell>
          <cell r="U66">
            <v>396.09552055173907</v>
          </cell>
          <cell r="V66">
            <v>395.87210717159638</v>
          </cell>
          <cell r="Y66">
            <v>195.28800000000001</v>
          </cell>
          <cell r="Z66">
            <v>195.36099999999999</v>
          </cell>
          <cell r="AA66">
            <v>195.565</v>
          </cell>
          <cell r="AB66">
            <v>195.601</v>
          </cell>
          <cell r="AC66">
            <v>195.703</v>
          </cell>
          <cell r="AD66">
            <v>202.91300000000001</v>
          </cell>
          <cell r="AE66">
            <v>213.78800000000001</v>
          </cell>
          <cell r="AF66">
            <v>219.66200000000001</v>
          </cell>
          <cell r="AG66">
            <v>220.40799999999999</v>
          </cell>
          <cell r="AH66">
            <v>223.578</v>
          </cell>
          <cell r="AI66">
            <v>224.839</v>
          </cell>
          <cell r="AJ66">
            <v>228.46899999999999</v>
          </cell>
          <cell r="AK66">
            <v>230.15799999999999</v>
          </cell>
          <cell r="AL66">
            <v>230.79300000000001</v>
          </cell>
          <cell r="AM66">
            <v>334.14100000000002</v>
          </cell>
          <cell r="AN66">
            <v>412.59500000000003</v>
          </cell>
          <cell r="AO66">
            <v>417.37900000000002</v>
          </cell>
          <cell r="AP66">
            <v>435.601</v>
          </cell>
          <cell r="AQ66">
            <v>435.13799999999998</v>
          </cell>
          <cell r="AR66">
            <v>436.44900000000001</v>
          </cell>
          <cell r="AS66">
            <v>439.55700000000002</v>
          </cell>
          <cell r="AT66">
            <v>429.846</v>
          </cell>
          <cell r="AU66">
            <v>418.012</v>
          </cell>
          <cell r="AV66">
            <v>416.9</v>
          </cell>
          <cell r="AW66">
            <v>421.62200000000001</v>
          </cell>
          <cell r="AX66">
            <v>421.61700000000002</v>
          </cell>
          <cell r="AY66">
            <v>416.541</v>
          </cell>
          <cell r="AZ66">
            <v>408.94200000000001</v>
          </cell>
          <cell r="BA66">
            <v>408.25</v>
          </cell>
          <cell r="BB66">
            <v>408.83199999999999</v>
          </cell>
          <cell r="BC66">
            <v>405.72800000000001</v>
          </cell>
          <cell r="BD66">
            <v>405.71600000000001</v>
          </cell>
          <cell r="BE66">
            <v>406.08</v>
          </cell>
          <cell r="BF66">
            <v>405.024</v>
          </cell>
          <cell r="BG66">
            <v>403.45499999999998</v>
          </cell>
          <cell r="BH66">
            <v>403.03199999999998</v>
          </cell>
          <cell r="BI66">
            <v>401.899</v>
          </cell>
          <cell r="BJ66">
            <v>400.25</v>
          </cell>
          <cell r="BK66">
            <v>395.18299999999999</v>
          </cell>
          <cell r="BL66">
            <v>393.18930297842235</v>
          </cell>
          <cell r="BM66">
            <v>392.97535388384756</v>
          </cell>
          <cell r="BN66">
            <v>393.11427127814528</v>
          </cell>
          <cell r="BO66">
            <v>393.23231352694035</v>
          </cell>
          <cell r="BP66">
            <v>393.33066745347833</v>
          </cell>
          <cell r="BQ66">
            <v>393.43545240605403</v>
          </cell>
          <cell r="BR66">
            <v>393.54772409419263</v>
          </cell>
          <cell r="BS66">
            <v>393.64347820673072</v>
          </cell>
          <cell r="BT66">
            <v>393.72365382419741</v>
          </cell>
          <cell r="BV66" t="str">
            <v>mstag:averageDilutedSharesOutstanding</v>
          </cell>
          <cell r="BW66">
            <v>6</v>
          </cell>
          <cell r="BX66" t="str">
            <v>ms_eqr_gcim_Decimal:ms_eqr_gcim_decimal</v>
          </cell>
          <cell r="BY66" t="b">
            <v>0</v>
          </cell>
          <cell r="BZ66" t="b">
            <v>0</v>
          </cell>
        </row>
        <row r="67">
          <cell r="A67" t="str">
            <v>Basic Shares (EOP)</v>
          </cell>
          <cell r="C67">
            <v>195.45374999999999</v>
          </cell>
          <cell r="D67">
            <v>208.01650000000001</v>
          </cell>
          <cell r="E67">
            <v>229.6</v>
          </cell>
          <cell r="F67">
            <v>412.59500000000003</v>
          </cell>
          <cell r="G67">
            <v>426.05399999999997</v>
          </cell>
          <cell r="H67">
            <v>399.51854200000002</v>
          </cell>
          <cell r="I67">
            <v>396.97689600000001</v>
          </cell>
          <cell r="J67">
            <v>401.59698400000002</v>
          </cell>
          <cell r="K67">
            <v>398.677234</v>
          </cell>
          <cell r="L67">
            <v>392.91139495684473</v>
          </cell>
          <cell r="M67">
            <v>393.38593759851614</v>
          </cell>
          <cell r="N67">
            <v>393.77083220972662</v>
          </cell>
          <cell r="O67">
            <v>393.92654119729389</v>
          </cell>
          <cell r="P67">
            <v>394.00090577868264</v>
          </cell>
          <cell r="Q67">
            <v>394.03178058471161</v>
          </cell>
          <cell r="R67">
            <v>394.04911830367701</v>
          </cell>
          <cell r="S67">
            <v>393.97661916767089</v>
          </cell>
          <cell r="T67">
            <v>393.83303611785379</v>
          </cell>
          <cell r="U67">
            <v>393.6332075237745</v>
          </cell>
          <cell r="V67">
            <v>393.3888743283058</v>
          </cell>
          <cell r="Y67">
            <v>195.28800000000001</v>
          </cell>
          <cell r="Z67">
            <v>195.36099999999999</v>
          </cell>
          <cell r="AA67">
            <v>195.565</v>
          </cell>
          <cell r="AB67">
            <v>195.601</v>
          </cell>
          <cell r="AC67">
            <v>196.3</v>
          </cell>
          <cell r="AD67">
            <v>204.7</v>
          </cell>
          <cell r="AE67">
            <v>219.4</v>
          </cell>
          <cell r="AF67">
            <v>219.9</v>
          </cell>
          <cell r="AG67">
            <v>221.1</v>
          </cell>
          <cell r="AH67">
            <v>224.1</v>
          </cell>
          <cell r="AI67">
            <v>226.6</v>
          </cell>
          <cell r="AJ67">
            <v>229.6</v>
          </cell>
          <cell r="AK67">
            <v>230.6</v>
          </cell>
          <cell r="AL67">
            <v>230.6</v>
          </cell>
          <cell r="AM67">
            <v>334.14100000000002</v>
          </cell>
          <cell r="AN67">
            <v>412.59500000000003</v>
          </cell>
          <cell r="AO67">
            <v>417.37900000000002</v>
          </cell>
          <cell r="AP67">
            <v>435.601</v>
          </cell>
          <cell r="AQ67">
            <v>425.5</v>
          </cell>
          <cell r="AR67">
            <v>426.05399999999997</v>
          </cell>
          <cell r="AS67">
            <v>419.7</v>
          </cell>
          <cell r="AT67">
            <v>413.5</v>
          </cell>
          <cell r="AU67">
            <v>406.1</v>
          </cell>
          <cell r="AV67">
            <v>399.51854200000002</v>
          </cell>
          <cell r="AW67">
            <v>396.02556299999998</v>
          </cell>
          <cell r="AX67">
            <v>396.19778200000002</v>
          </cell>
          <cell r="AY67">
            <v>391.98438700000003</v>
          </cell>
          <cell r="AZ67">
            <v>396.97689600000001</v>
          </cell>
          <cell r="BA67">
            <v>397.65871199999998</v>
          </cell>
          <cell r="BB67">
            <v>395.81000299999999</v>
          </cell>
          <cell r="BC67">
            <v>401.05979300000001</v>
          </cell>
          <cell r="BD67">
            <v>401.59698400000002</v>
          </cell>
          <cell r="BE67">
            <v>403.69167900000002</v>
          </cell>
          <cell r="BF67">
            <v>401.74510299999997</v>
          </cell>
          <cell r="BG67">
            <v>399.610995</v>
          </cell>
          <cell r="BH67">
            <v>398.677234</v>
          </cell>
          <cell r="BI67">
            <v>397.06609800000001</v>
          </cell>
          <cell r="BJ67">
            <v>395.99612300000001</v>
          </cell>
          <cell r="BK67">
            <v>393.46721100000002</v>
          </cell>
          <cell r="BL67">
            <v>392.91139495684473</v>
          </cell>
          <cell r="BM67">
            <v>393.03931281085039</v>
          </cell>
          <cell r="BN67">
            <v>393.18922974544017</v>
          </cell>
          <cell r="BO67">
            <v>393.27539730844052</v>
          </cell>
          <cell r="BP67">
            <v>393.38593759851614</v>
          </cell>
          <cell r="BQ67">
            <v>393.48496721359191</v>
          </cell>
          <cell r="BR67">
            <v>393.61048097479329</v>
          </cell>
          <cell r="BS67">
            <v>393.67647543866809</v>
          </cell>
          <cell r="BT67">
            <v>393.77083220972668</v>
          </cell>
          <cell r="BV67" t="str">
            <v>mstag:periodEndBasicSharesOutstanding</v>
          </cell>
          <cell r="BW67">
            <v>6</v>
          </cell>
          <cell r="BX67" t="str">
            <v>ms_eqr_gcim_Decimal:ms_eqr_gcim_decimal</v>
          </cell>
          <cell r="BY67" t="b">
            <v>0</v>
          </cell>
          <cell r="BZ67" t="b">
            <v>0</v>
          </cell>
        </row>
        <row r="69">
          <cell r="A69" t="str">
            <v>Net Income from Cont. Ops. per Share</v>
          </cell>
          <cell r="C69">
            <v>-1.6287075586935538</v>
          </cell>
          <cell r="D69">
            <v>-1.2542755021837213</v>
          </cell>
          <cell r="E69">
            <v>-1.0561978571126067</v>
          </cell>
          <cell r="F69">
            <v>-0.47477864711634754</v>
          </cell>
          <cell r="G69">
            <v>6.7546230445091449E-2</v>
          </cell>
          <cell r="H69">
            <v>0.21838685923670162</v>
          </cell>
          <cell r="I69">
            <v>0.56674029586713626</v>
          </cell>
          <cell r="J69">
            <v>0.58690619615529671</v>
          </cell>
          <cell r="K69">
            <v>0.92378357693632085</v>
          </cell>
          <cell r="L69">
            <v>0.74577264527285414</v>
          </cell>
          <cell r="M69">
            <v>2.0515423137227429</v>
          </cell>
          <cell r="N69">
            <v>2.5341041746470681</v>
          </cell>
          <cell r="O69">
            <v>2.7907067766734275</v>
          </cell>
          <cell r="P69">
            <v>3.0101002061286266</v>
          </cell>
          <cell r="Q69">
            <v>3.2001216002171731</v>
          </cell>
          <cell r="R69">
            <v>3.3628559374140909</v>
          </cell>
          <cell r="S69">
            <v>3.497722685479828</v>
          </cell>
          <cell r="T69">
            <v>3.6049448369471859</v>
          </cell>
          <cell r="U69">
            <v>3.6810472249504116</v>
          </cell>
          <cell r="V69">
            <v>3.729781821005909</v>
          </cell>
          <cell r="Y69">
            <v>-0.28617221744295585</v>
          </cell>
          <cell r="Z69">
            <v>-0.3440195330695483</v>
          </cell>
          <cell r="AA69">
            <v>-0.75276762201825453</v>
          </cell>
          <cell r="AB69">
            <v>-0.24554066697000537</v>
          </cell>
          <cell r="AC69">
            <v>-0.43459732349529662</v>
          </cell>
          <cell r="AD69">
            <v>-0.41802151661056708</v>
          </cell>
          <cell r="AE69">
            <v>-0.19748535932793226</v>
          </cell>
          <cell r="AF69">
            <v>-0.22223233877502716</v>
          </cell>
          <cell r="AG69">
            <v>-0.20959765525752244</v>
          </cell>
          <cell r="AH69">
            <v>-0.28403510184365183</v>
          </cell>
          <cell r="AI69">
            <v>-0.26357082178803509</v>
          </cell>
          <cell r="AJ69">
            <v>-0.297493314191422</v>
          </cell>
          <cell r="AK69">
            <v>-0.14008203060506272</v>
          </cell>
          <cell r="AL69">
            <v>-0.15163804794772803</v>
          </cell>
          <cell r="AM69">
            <v>-6.353605214565107E-2</v>
          </cell>
          <cell r="AN69">
            <v>-0.13300694385535453</v>
          </cell>
          <cell r="AO69">
            <v>-3.2632211970415295E-3</v>
          </cell>
          <cell r="AP69">
            <v>1.8987559716345907E-2</v>
          </cell>
          <cell r="AQ69">
            <v>8.6914955715199169E-3</v>
          </cell>
          <cell r="AR69">
            <v>4.2229447197725249E-2</v>
          </cell>
          <cell r="AS69">
            <v>4.8157576833038597E-2</v>
          </cell>
          <cell r="AT69">
            <v>2.8210103153222275E-2</v>
          </cell>
          <cell r="AU69">
            <v>0.14406045759451874</v>
          </cell>
          <cell r="AV69">
            <v>-1.1105780762772539E-3</v>
          </cell>
          <cell r="AW69">
            <v>0.10020112802462881</v>
          </cell>
          <cell r="AX69">
            <v>0.12044343562996751</v>
          </cell>
          <cell r="AY69">
            <v>0.14551028590222817</v>
          </cell>
          <cell r="AZ69">
            <v>0.20245902841967808</v>
          </cell>
          <cell r="BA69">
            <v>0.13640906307409678</v>
          </cell>
          <cell r="BB69">
            <v>0.12579250156543514</v>
          </cell>
          <cell r="BC69">
            <v>0.16656972158687572</v>
          </cell>
          <cell r="BD69">
            <v>0.15835954214277967</v>
          </cell>
          <cell r="BE69">
            <v>0.23750985027580782</v>
          </cell>
          <cell r="BF69">
            <v>0.24646687603697554</v>
          </cell>
          <cell r="BG69">
            <v>0.23199613339777669</v>
          </cell>
          <cell r="BH69">
            <v>0.20768326088251068</v>
          </cell>
          <cell r="BI69">
            <v>0.2288169415698969</v>
          </cell>
          <cell r="BJ69">
            <v>0.28275078076202376</v>
          </cell>
          <cell r="BK69">
            <v>-4.9916114812631085E-2</v>
          </cell>
          <cell r="BL69">
            <v>0.28265143285792699</v>
          </cell>
          <cell r="BM69">
            <v>0.42098649262253751</v>
          </cell>
          <cell r="BN69">
            <v>0.50024302438828627</v>
          </cell>
          <cell r="BO69">
            <v>0.55062899392700104</v>
          </cell>
          <cell r="BP69">
            <v>0.57960326856251487</v>
          </cell>
          <cell r="BQ69">
            <v>0.58364840554585973</v>
          </cell>
          <cell r="BR69">
            <v>0.62305966192767193</v>
          </cell>
          <cell r="BS69">
            <v>0.65694292717012392</v>
          </cell>
          <cell r="BT69">
            <v>0.67041676184433541</v>
          </cell>
        </row>
        <row r="70">
          <cell r="A70" t="str">
            <v>Net Income Attribut. To AMT Corp. per Share</v>
          </cell>
          <cell r="C70">
            <v>-5.8421902879837324</v>
          </cell>
          <cell r="D70">
            <v>-1.5639192083320315</v>
          </cell>
          <cell r="E70">
            <v>-1.1037051401212974</v>
          </cell>
          <cell r="F70">
            <v>-0.60068213038643314</v>
          </cell>
          <cell r="G70">
            <v>6.3747015917618749E-2</v>
          </cell>
          <cell r="H70">
            <v>0.13217274975576646</v>
          </cell>
          <cell r="I70">
            <v>0.83236392880299981</v>
          </cell>
          <cell r="J70">
            <v>0.60568882535495328</v>
          </cell>
          <cell r="K70">
            <v>0.92220097663748135</v>
          </cell>
          <cell r="L70">
            <v>0.76022576825646493</v>
          </cell>
          <cell r="M70">
            <v>2.0495177089323624</v>
          </cell>
          <cell r="N70">
            <v>2.5320817530914925</v>
          </cell>
          <cell r="O70">
            <v>2.788697750080722</v>
          </cell>
          <cell r="P70">
            <v>3.0080917661685103</v>
          </cell>
          <cell r="Q70">
            <v>3.1981134284781532</v>
          </cell>
          <cell r="R70">
            <v>3.3608478885292477</v>
          </cell>
          <cell r="S70">
            <v>3.4957144960325426</v>
          </cell>
          <cell r="T70">
            <v>3.6029360966892292</v>
          </cell>
          <cell r="U70">
            <v>3.6790376086869121</v>
          </cell>
          <cell r="V70">
            <v>3.727771070600463</v>
          </cell>
          <cell r="W70">
            <v>0.40028804790835881</v>
          </cell>
          <cell r="Y70">
            <v>-3.247234853139978</v>
          </cell>
          <cell r="Z70">
            <v>-0.51533827120049558</v>
          </cell>
          <cell r="AA70">
            <v>-1.806243448469818</v>
          </cell>
          <cell r="AB70">
            <v>-0.264308464680651</v>
          </cell>
          <cell r="AC70">
            <v>-0.49277221095231061</v>
          </cell>
          <cell r="AD70">
            <v>-0.55362643103201858</v>
          </cell>
          <cell r="AE70">
            <v>-0.26841543959436442</v>
          </cell>
          <cell r="AF70">
            <v>-0.25247425590224987</v>
          </cell>
          <cell r="AG70">
            <v>-0.2124015462233676</v>
          </cell>
          <cell r="AH70">
            <v>-0.28941577436062577</v>
          </cell>
          <cell r="AI70">
            <v>-0.2661949216995273</v>
          </cell>
          <cell r="AJ70">
            <v>-0.32322984737535504</v>
          </cell>
          <cell r="AK70">
            <v>-0.14068161871410084</v>
          </cell>
          <cell r="AL70">
            <v>-0.15663819959877465</v>
          </cell>
          <cell r="AM70">
            <v>-6.6079888430333286E-2</v>
          </cell>
          <cell r="AN70">
            <v>-0.21994692131509105</v>
          </cell>
          <cell r="AO70">
            <v>-4.6408659755282286E-3</v>
          </cell>
          <cell r="AP70">
            <v>1.7594082658212433E-2</v>
          </cell>
          <cell r="AQ70">
            <v>7.9790779017232076E-3</v>
          </cell>
          <cell r="AR70">
            <v>4.1894929304454785E-2</v>
          </cell>
          <cell r="AS70">
            <v>5.056909570317375E-2</v>
          </cell>
          <cell r="AT70">
            <v>-4.6507353796475991E-2</v>
          </cell>
          <cell r="AU70">
            <v>0.1426466225849975</v>
          </cell>
          <cell r="AV70">
            <v>-1.3310146318061853E-2</v>
          </cell>
          <cell r="AW70">
            <v>9.9982923092248627E-2</v>
          </cell>
          <cell r="AX70">
            <v>0.37661194875918191</v>
          </cell>
          <cell r="AY70">
            <v>0.14516218091376365</v>
          </cell>
          <cell r="AZ70">
            <v>0.20990507211291573</v>
          </cell>
          <cell r="BA70">
            <v>0.14354194733619111</v>
          </cell>
          <cell r="BB70">
            <v>0.13768247103944892</v>
          </cell>
          <cell r="BC70">
            <v>0.166010233456897</v>
          </cell>
          <cell r="BD70">
            <v>0.15860848475288131</v>
          </cell>
          <cell r="BE70">
            <v>0.23718971631205682</v>
          </cell>
          <cell r="BF70">
            <v>0.24607183771825861</v>
          </cell>
          <cell r="BG70">
            <v>0.23159708021960318</v>
          </cell>
          <cell r="BH70">
            <v>0.20721431548859659</v>
          </cell>
          <cell r="BI70">
            <v>0.22852084727754982</v>
          </cell>
          <cell r="BJ70">
            <v>0.28784759525296694</v>
          </cell>
          <cell r="BK70">
            <v>-3.9730960086845811E-2</v>
          </cell>
          <cell r="BL70">
            <v>0.28214531532499165</v>
          </cell>
          <cell r="BM70">
            <v>0.42048009954207266</v>
          </cell>
          <cell r="BN70">
            <v>0.49973681025529892</v>
          </cell>
          <cell r="BO70">
            <v>0.55012293175165439</v>
          </cell>
          <cell r="BP70">
            <v>0.57909733293006505</v>
          </cell>
          <cell r="BQ70">
            <v>0.58314260466090384</v>
          </cell>
          <cell r="BR70">
            <v>0.62255400533809813</v>
          </cell>
          <cell r="BS70">
            <v>0.65643739358194775</v>
          </cell>
          <cell r="BT70">
            <v>0.66991133120010782</v>
          </cell>
        </row>
        <row r="72">
          <cell r="A72" t="str">
            <v>ModelWare Calculations</v>
          </cell>
          <cell r="O72" t="str">
            <v>NA</v>
          </cell>
          <cell r="P72" t="str">
            <v>NA</v>
          </cell>
          <cell r="Q72" t="str">
            <v>NA</v>
          </cell>
          <cell r="R72" t="str">
            <v>NA</v>
          </cell>
          <cell r="S72" t="str">
            <v>NA</v>
          </cell>
          <cell r="T72" t="str">
            <v>NA</v>
          </cell>
          <cell r="U72" t="str">
            <v>NA</v>
          </cell>
          <cell r="V72" t="str">
            <v>NA</v>
          </cell>
        </row>
        <row r="73">
          <cell r="A73" t="str">
            <v>Operating Revenue</v>
          </cell>
          <cell r="J73">
            <v>1724.114</v>
          </cell>
          <cell r="K73">
            <v>1985.335</v>
          </cell>
          <cell r="L73">
            <v>2442.4844406660486</v>
          </cell>
          <cell r="M73">
            <v>2911.4640299651196</v>
          </cell>
          <cell r="N73">
            <v>3227.6786398245722</v>
          </cell>
          <cell r="O73">
            <v>3388.5406501778916</v>
          </cell>
          <cell r="P73">
            <v>3526.7089335217506</v>
          </cell>
          <cell r="Q73">
            <v>3659.6765510326509</v>
          </cell>
          <cell r="R73">
            <v>3778.2293790847666</v>
          </cell>
          <cell r="S73">
            <v>3881.2017590953283</v>
          </cell>
          <cell r="T73">
            <v>3968.3319358093891</v>
          </cell>
          <cell r="U73">
            <v>4037.2462401908761</v>
          </cell>
          <cell r="V73">
            <v>4089.8958364881769</v>
          </cell>
          <cell r="BA73">
            <v>408.678</v>
          </cell>
          <cell r="BB73">
            <v>423.35799999999995</v>
          </cell>
          <cell r="BC73">
            <v>444.10499999999996</v>
          </cell>
          <cell r="BD73">
            <v>447.97300000000001</v>
          </cell>
          <cell r="BE73">
            <v>454.43399999999997</v>
          </cell>
          <cell r="BF73">
            <v>469.93700000000001</v>
          </cell>
          <cell r="BG73">
            <v>513.322</v>
          </cell>
          <cell r="BH73">
            <v>547.64200000000005</v>
          </cell>
          <cell r="BI73">
            <v>562.69499999999994</v>
          </cell>
          <cell r="BJ73">
            <v>597.23500000000001</v>
          </cell>
          <cell r="BK73">
            <v>630.40300000000002</v>
          </cell>
          <cell r="BL73">
            <v>652.1514406660483</v>
          </cell>
          <cell r="BM73">
            <v>664.45131054564422</v>
          </cell>
          <cell r="BN73">
            <v>718.50656307370389</v>
          </cell>
          <cell r="BO73">
            <v>751.69668040056069</v>
          </cell>
          <cell r="BP73">
            <v>776.80947594521069</v>
          </cell>
          <cell r="BQ73">
            <v>772.8307446102441</v>
          </cell>
          <cell r="BR73">
            <v>799.15879914573384</v>
          </cell>
          <cell r="BS73">
            <v>820.692295097223</v>
          </cell>
          <cell r="BT73">
            <v>834.99680097137116</v>
          </cell>
        </row>
        <row r="74">
          <cell r="A74" t="str">
            <v>Operating Exp. (Ex Share Based Comp)</v>
          </cell>
          <cell r="J74">
            <v>972.01800000000003</v>
          </cell>
          <cell r="K74">
            <v>1112.5250000000001</v>
          </cell>
          <cell r="L74">
            <v>1420.1578916864473</v>
          </cell>
          <cell r="M74">
            <v>1620.5247286107642</v>
          </cell>
          <cell r="N74">
            <v>1726.4659853265059</v>
          </cell>
          <cell r="O74">
            <v>1736.2723549939039</v>
          </cell>
          <cell r="P74">
            <v>1782.2670897738926</v>
          </cell>
          <cell r="Q74">
            <v>1833.533190492908</v>
          </cell>
          <cell r="R74">
            <v>1882.9936970649455</v>
          </cell>
          <cell r="S74">
            <v>1929.72924558879</v>
          </cell>
          <cell r="T74">
            <v>1973.6279072845432</v>
          </cell>
          <cell r="U74">
            <v>2013.6605166234967</v>
          </cell>
          <cell r="V74">
            <v>2050.2690807648878</v>
          </cell>
          <cell r="BA74">
            <v>230.86599999999999</v>
          </cell>
          <cell r="BB74">
            <v>242.06099999999998</v>
          </cell>
          <cell r="BC74">
            <v>249.05199999999999</v>
          </cell>
          <cell r="BD74">
            <v>250.03899999999999</v>
          </cell>
          <cell r="BE74">
            <v>257.26600000000002</v>
          </cell>
          <cell r="BF74">
            <v>262.95600000000002</v>
          </cell>
          <cell r="BG74">
            <v>282.298</v>
          </cell>
          <cell r="BH74">
            <v>310.005</v>
          </cell>
          <cell r="BI74">
            <v>320.33299999999997</v>
          </cell>
          <cell r="BJ74">
            <v>350.26900000000001</v>
          </cell>
          <cell r="BK74">
            <v>377.14499999999998</v>
          </cell>
          <cell r="BL74">
            <v>372.41089168644714</v>
          </cell>
          <cell r="BM74">
            <v>382.2037206169972</v>
          </cell>
          <cell r="BN74">
            <v>401.52102498443412</v>
          </cell>
          <cell r="BO74">
            <v>413.68717657839682</v>
          </cell>
          <cell r="BP74">
            <v>423.11280643093613</v>
          </cell>
          <cell r="BQ74">
            <v>418.68897476157213</v>
          </cell>
          <cell r="BR74">
            <v>428.50365991173294</v>
          </cell>
          <cell r="BS74">
            <v>436.73102851211075</v>
          </cell>
          <cell r="BT74">
            <v>442.54232214109004</v>
          </cell>
        </row>
        <row r="75">
          <cell r="A75" t="str">
            <v>EBITDA</v>
          </cell>
          <cell r="J75">
            <v>1180.9250000000002</v>
          </cell>
          <cell r="K75">
            <v>1347.748</v>
          </cell>
          <cell r="L75">
            <v>1584.1703752296014</v>
          </cell>
          <cell r="M75">
            <v>1899.6846804226077</v>
          </cell>
          <cell r="N75">
            <v>2122.0781174777685</v>
          </cell>
          <cell r="O75">
            <v>2244.7461118657193</v>
          </cell>
          <cell r="P75">
            <v>2336.1055787614168</v>
          </cell>
          <cell r="Q75">
            <v>2423.9947553852789</v>
          </cell>
          <cell r="R75">
            <v>2502.285984603026</v>
          </cell>
          <cell r="S75">
            <v>2570.4468457851262</v>
          </cell>
          <cell r="T75">
            <v>2628.0687491998037</v>
          </cell>
          <cell r="U75">
            <v>2673.5731586637175</v>
          </cell>
          <cell r="V75">
            <v>2708.2575515914632</v>
          </cell>
          <cell r="BA75">
            <v>281.17900000000003</v>
          </cell>
          <cell r="BB75">
            <v>287.34499999999997</v>
          </cell>
          <cell r="BC75">
            <v>304.18099999999998</v>
          </cell>
          <cell r="BD75">
            <v>308.22000000000003</v>
          </cell>
          <cell r="BE75">
            <v>311.50199999999995</v>
          </cell>
          <cell r="BF75">
            <v>320.96899999999999</v>
          </cell>
          <cell r="BG75">
            <v>349.99199999999996</v>
          </cell>
          <cell r="BH75">
            <v>365.28500000000008</v>
          </cell>
          <cell r="BI75">
            <v>377.09199999999998</v>
          </cell>
          <cell r="BJ75">
            <v>389.11399999999998</v>
          </cell>
          <cell r="BK75">
            <v>398.86900000000003</v>
          </cell>
          <cell r="BL75">
            <v>419.09537522960119</v>
          </cell>
          <cell r="BM75">
            <v>433.46381677239702</v>
          </cell>
          <cell r="BN75">
            <v>468.81750926192598</v>
          </cell>
          <cell r="BO75">
            <v>490.50401321550368</v>
          </cell>
          <cell r="BP75">
            <v>506.89934117278091</v>
          </cell>
          <cell r="BQ75">
            <v>508.10333721571561</v>
          </cell>
          <cell r="BR75">
            <v>525.42522366686853</v>
          </cell>
          <cell r="BS75">
            <v>539.58215515715813</v>
          </cell>
          <cell r="BT75">
            <v>548.96740143802595</v>
          </cell>
        </row>
        <row r="76">
          <cell r="A76" t="str">
            <v>PTOP (Pre-tax Operating Profit)</v>
          </cell>
          <cell r="J76">
            <v>766.30600000000015</v>
          </cell>
          <cell r="K76">
            <v>887.02200000000005</v>
          </cell>
          <cell r="L76">
            <v>1036.4115489796013</v>
          </cell>
          <cell r="M76">
            <v>1304.9313013543554</v>
          </cell>
          <cell r="N76">
            <v>1515.2046544980667</v>
          </cell>
          <cell r="O76">
            <v>1666.2602951839876</v>
          </cell>
          <cell r="P76">
            <v>1758.4338437478582</v>
          </cell>
          <cell r="Q76">
            <v>1840.135360539743</v>
          </cell>
          <cell r="R76">
            <v>1909.2276820198213</v>
          </cell>
          <cell r="S76">
            <v>1965.4645135065384</v>
          </cell>
          <cell r="T76">
            <v>2008.696028524846</v>
          </cell>
          <cell r="U76">
            <v>2037.5777235673795</v>
          </cell>
          <cell r="V76">
            <v>2053.6187557232893</v>
          </cell>
          <cell r="BA76">
            <v>181.31100000000004</v>
          </cell>
          <cell r="BB76">
            <v>184.88199999999998</v>
          </cell>
          <cell r="BC76">
            <v>198.63799999999998</v>
          </cell>
          <cell r="BD76">
            <v>201.47500000000002</v>
          </cell>
          <cell r="BE76">
            <v>200.66699999999997</v>
          </cell>
          <cell r="BF76">
            <v>210.56599999999997</v>
          </cell>
          <cell r="BG76">
            <v>234.60899999999998</v>
          </cell>
          <cell r="BH76">
            <v>241.18000000000006</v>
          </cell>
          <cell r="BI76">
            <v>245.86099999999999</v>
          </cell>
          <cell r="BJ76">
            <v>250.55599999999998</v>
          </cell>
          <cell r="BK76">
            <v>256.75600000000003</v>
          </cell>
          <cell r="BL76">
            <v>283.23854897960115</v>
          </cell>
          <cell r="BM76">
            <v>285.74558992864706</v>
          </cell>
          <cell r="BN76">
            <v>320.4835380892697</v>
          </cell>
          <cell r="BO76">
            <v>341.50750382216381</v>
          </cell>
          <cell r="BP76">
            <v>357.19466951427455</v>
          </cell>
          <cell r="BQ76">
            <v>357.63976984867196</v>
          </cell>
          <cell r="BR76">
            <v>374.15313923400095</v>
          </cell>
          <cell r="BS76">
            <v>387.45926658511223</v>
          </cell>
          <cell r="BT76">
            <v>395.95247883028122</v>
          </cell>
        </row>
        <row r="77">
          <cell r="A77" t="str">
            <v>NOPAT (Net Operating Profit After Tax)</v>
          </cell>
          <cell r="J77">
            <v>498.09890000000013</v>
          </cell>
          <cell r="K77">
            <v>576.5643</v>
          </cell>
          <cell r="L77">
            <v>673.66750683674093</v>
          </cell>
          <cell r="M77">
            <v>848.20534588033104</v>
          </cell>
          <cell r="N77">
            <v>984.88302542374333</v>
          </cell>
          <cell r="O77">
            <v>1083.069191869592</v>
          </cell>
          <cell r="P77">
            <v>1142.9819984361079</v>
          </cell>
          <cell r="Q77">
            <v>1196.087984350833</v>
          </cell>
          <cell r="R77">
            <v>1240.9979933128839</v>
          </cell>
          <cell r="S77">
            <v>1277.55193377925</v>
          </cell>
          <cell r="T77">
            <v>1305.6524185411499</v>
          </cell>
          <cell r="U77">
            <v>1324.4255203187968</v>
          </cell>
          <cell r="V77">
            <v>1334.8521912201381</v>
          </cell>
          <cell r="BA77">
            <v>117.85215000000002</v>
          </cell>
          <cell r="BB77">
            <v>120.17329999999998</v>
          </cell>
          <cell r="BC77">
            <v>129.1147</v>
          </cell>
          <cell r="BD77">
            <v>130.95875000000001</v>
          </cell>
          <cell r="BE77">
            <v>130.43355</v>
          </cell>
          <cell r="BF77">
            <v>136.86789999999999</v>
          </cell>
          <cell r="BG77">
            <v>152.49584999999999</v>
          </cell>
          <cell r="BH77">
            <v>156.76700000000005</v>
          </cell>
          <cell r="BI77">
            <v>159.80965</v>
          </cell>
          <cell r="BJ77">
            <v>162.8614</v>
          </cell>
          <cell r="BK77">
            <v>166.89140000000003</v>
          </cell>
          <cell r="BL77">
            <v>184.10505683674074</v>
          </cell>
          <cell r="BM77">
            <v>185.7346334536206</v>
          </cell>
          <cell r="BN77">
            <v>208.3142997580253</v>
          </cell>
          <cell r="BO77">
            <v>221.97987748440647</v>
          </cell>
          <cell r="BP77">
            <v>232.17653518427846</v>
          </cell>
          <cell r="BQ77">
            <v>232.46585040163677</v>
          </cell>
          <cell r="BR77">
            <v>243.19954050210063</v>
          </cell>
          <cell r="BS77">
            <v>251.84852328032295</v>
          </cell>
          <cell r="BT77">
            <v>257.36911123968281</v>
          </cell>
        </row>
        <row r="78">
          <cell r="A78" t="str">
            <v>NOPAT Margin</v>
          </cell>
          <cell r="J78">
            <v>0.28890137195104276</v>
          </cell>
          <cell r="K78">
            <v>0.2904115930057144</v>
          </cell>
          <cell r="L78">
            <v>0.27581240462397233</v>
          </cell>
          <cell r="M78">
            <v>0.29133292980799519</v>
          </cell>
          <cell r="N78">
            <v>0.3051366431812037</v>
          </cell>
          <cell r="O78">
            <v>0.31962703230747225</v>
          </cell>
          <cell r="P78">
            <v>0.3240930907486978</v>
          </cell>
          <cell r="Q78">
            <v>0.32682887891098816</v>
          </cell>
          <cell r="R78">
            <v>0.32846020418524763</v>
          </cell>
          <cell r="S78">
            <v>0.32916400977748589</v>
          </cell>
          <cell r="T78">
            <v>0.32901794498570502</v>
          </cell>
          <cell r="U78">
            <v>0.32805170691203112</v>
          </cell>
          <cell r="V78">
            <v>0.32637804105209683</v>
          </cell>
          <cell r="BA78">
            <v>0.28837409892384719</v>
          </cell>
          <cell r="BB78">
            <v>0.28385739728551251</v>
          </cell>
          <cell r="BC78">
            <v>0.29073012012924876</v>
          </cell>
          <cell r="BD78">
            <v>0.29233625687262405</v>
          </cell>
          <cell r="BE78">
            <v>0.28702418833097876</v>
          </cell>
          <cell r="BF78">
            <v>0.29124733740905695</v>
          </cell>
          <cell r="BG78">
            <v>0.29707639649187056</v>
          </cell>
          <cell r="BH78">
            <v>0.28625817596166847</v>
          </cell>
          <cell r="BI78">
            <v>0.28400758848043794</v>
          </cell>
          <cell r="BJ78">
            <v>0.27269232379214214</v>
          </cell>
          <cell r="BK78">
            <v>0.26473763608358469</v>
          </cell>
          <cell r="BL78">
            <v>0.28230414801922776</v>
          </cell>
          <cell r="BM78">
            <v>0.27953084071893275</v>
          </cell>
          <cell r="BN78">
            <v>0.28992678767870428</v>
          </cell>
          <cell r="BO78">
            <v>0.29530511876960647</v>
          </cell>
          <cell r="BP78">
            <v>0.29888478754944303</v>
          </cell>
          <cell r="BQ78">
            <v>0.30079788106627992</v>
          </cell>
          <cell r="BR78">
            <v>0.30431941782042621</v>
          </cell>
          <cell r="BS78">
            <v>0.30687326393199271</v>
          </cell>
          <cell r="BT78">
            <v>0.30822766139975549</v>
          </cell>
        </row>
        <row r="79">
          <cell r="A79" t="str">
            <v>NOPAT (Before Amortization of Intangibles)</v>
          </cell>
        </row>
        <row r="80">
          <cell r="A80" t="str">
            <v>NOPAT (Before Amortization of Intangibles) Margin</v>
          </cell>
        </row>
        <row r="81">
          <cell r="A81" t="str">
            <v>Net Financing Income</v>
          </cell>
          <cell r="J81">
            <v>161.25264999999999</v>
          </cell>
          <cell r="K81">
            <v>156.64610000000002</v>
          </cell>
          <cell r="L81">
            <v>197.925443642875</v>
          </cell>
          <cell r="M81">
            <v>218.73721971928614</v>
          </cell>
          <cell r="N81">
            <v>211.88228281472732</v>
          </cell>
          <cell r="O81">
            <v>230.0601162959635</v>
          </cell>
          <cell r="P81">
            <v>225.50872168208252</v>
          </cell>
          <cell r="Q81">
            <v>222.86235736575642</v>
          </cell>
          <cell r="R81">
            <v>220.06660560828024</v>
          </cell>
          <cell r="S81">
            <v>217.20339139459642</v>
          </cell>
          <cell r="T81">
            <v>214.20095523461876</v>
          </cell>
          <cell r="U81">
            <v>211.16869090689426</v>
          </cell>
          <cell r="V81">
            <v>207.95254724087644</v>
          </cell>
          <cell r="BA81">
            <v>39.694849999999995</v>
          </cell>
          <cell r="BB81">
            <v>40.411800000000007</v>
          </cell>
          <cell r="BC81">
            <v>41.200900000000004</v>
          </cell>
          <cell r="BD81">
            <v>39.945100000000004</v>
          </cell>
          <cell r="BE81">
            <v>37.644750000000002</v>
          </cell>
          <cell r="BF81">
            <v>35.997</v>
          </cell>
          <cell r="BG81">
            <v>39.6175</v>
          </cell>
          <cell r="BH81">
            <v>43.38685000000001</v>
          </cell>
          <cell r="BI81">
            <v>46.879950000000008</v>
          </cell>
          <cell r="BJ81">
            <v>46.670650000000002</v>
          </cell>
          <cell r="BK81">
            <v>49.383100000000006</v>
          </cell>
          <cell r="BL81">
            <v>54.991743642875008</v>
          </cell>
          <cell r="BM81">
            <v>54.853916013700101</v>
          </cell>
          <cell r="BN81">
            <v>54.812935216724462</v>
          </cell>
          <cell r="BO81">
            <v>54.651505251449706</v>
          </cell>
          <cell r="BP81">
            <v>54.418863237411912</v>
          </cell>
          <cell r="BQ81">
            <v>53.521578341063204</v>
          </cell>
          <cell r="BR81">
            <v>53.186612374548304</v>
          </cell>
          <cell r="BS81">
            <v>52.791150277524032</v>
          </cell>
          <cell r="BT81">
            <v>52.38294182159175</v>
          </cell>
        </row>
        <row r="82">
          <cell r="A82" t="str">
            <v>Other Income and Expenses</v>
          </cell>
          <cell r="J82">
            <v>-62.388249999999971</v>
          </cell>
          <cell r="K82">
            <v>-9.6051999999999964</v>
          </cell>
          <cell r="L82">
            <v>-21.987543322604978</v>
          </cell>
          <cell r="M82">
            <v>176.32671541083124</v>
          </cell>
          <cell r="N82">
            <v>223.59517969242114</v>
          </cell>
          <cell r="O82">
            <v>251.90582058759162</v>
          </cell>
          <cell r="P82">
            <v>274.71623023603973</v>
          </cell>
          <cell r="Q82">
            <v>294.44398493318096</v>
          </cell>
          <cell r="R82">
            <v>311.32448488009049</v>
          </cell>
          <cell r="S82">
            <v>325.2720934591851</v>
          </cell>
          <cell r="T82">
            <v>336.27774240077264</v>
          </cell>
          <cell r="U82">
            <v>343.9934873303655</v>
          </cell>
          <cell r="V82">
            <v>348.82094479266192</v>
          </cell>
          <cell r="BA82">
            <v>-19.518299999999989</v>
          </cell>
          <cell r="BB82">
            <v>-21.514499999999998</v>
          </cell>
          <cell r="BC82">
            <v>-17.182800000000007</v>
          </cell>
          <cell r="BD82">
            <v>-4.1726499999999991</v>
          </cell>
          <cell r="BE82">
            <v>7.8441999999999954</v>
          </cell>
          <cell r="BF82">
            <v>10.581099999999987</v>
          </cell>
          <cell r="BG82">
            <v>-23.383350000000007</v>
          </cell>
          <cell r="BH82">
            <v>-4.6471499999999857</v>
          </cell>
          <cell r="BI82">
            <v>-23.091700000000014</v>
          </cell>
          <cell r="BJ82">
            <v>-12.95975</v>
          </cell>
          <cell r="BK82">
            <v>32.240700000000004</v>
          </cell>
          <cell r="BL82">
            <v>-18.176793322605043</v>
          </cell>
          <cell r="BM82">
            <v>34.35759847874111</v>
          </cell>
          <cell r="BN82">
            <v>42.952307453075669</v>
          </cell>
          <cell r="BO82">
            <v>48.997740943969298</v>
          </cell>
          <cell r="BP82">
            <v>50.019068535045093</v>
          </cell>
          <cell r="BQ82">
            <v>50.484702421433695</v>
          </cell>
          <cell r="BR82">
            <v>54.991783798980038</v>
          </cell>
          <cell r="BS82">
            <v>59.344925831759603</v>
          </cell>
          <cell r="BT82">
            <v>58.773767640247613</v>
          </cell>
        </row>
        <row r="83">
          <cell r="A83" t="str">
            <v>PBT</v>
          </cell>
          <cell r="J83">
            <v>421.48700000000014</v>
          </cell>
          <cell r="K83">
            <v>556.02499999999998</v>
          </cell>
          <cell r="L83">
            <v>532.5991664521016</v>
          </cell>
          <cell r="M83">
            <v>916.58050178622273</v>
          </cell>
          <cell r="N83">
            <v>1133.3999117061785</v>
          </cell>
          <cell r="O83">
            <v>1256.4896547286592</v>
          </cell>
          <cell r="P83">
            <v>1355.6653488523466</v>
          </cell>
          <cell r="Q83">
            <v>1441.4381953616562</v>
          </cell>
          <cell r="R83">
            <v>1514.8316733916979</v>
          </cell>
          <cell r="S83">
            <v>1575.4734498225439</v>
          </cell>
          <cell r="T83">
            <v>1623.3240973946631</v>
          </cell>
          <cell r="U83">
            <v>1656.8708144798497</v>
          </cell>
          <cell r="V83">
            <v>1677.8597599680945</v>
          </cell>
          <cell r="BA83">
            <v>92.786000000000016</v>
          </cell>
          <cell r="BB83">
            <v>102.84899999999998</v>
          </cell>
          <cell r="BC83">
            <v>118.92699999999991</v>
          </cell>
          <cell r="BD83">
            <v>106.925</v>
          </cell>
          <cell r="BE83">
            <v>124.82900000000004</v>
          </cell>
          <cell r="BF83">
            <v>130.16699999999997</v>
          </cell>
          <cell r="BG83">
            <v>164.24299999999999</v>
          </cell>
          <cell r="BH83">
            <v>136.78600000000003</v>
          </cell>
          <cell r="BI83">
            <v>163.38329999999999</v>
          </cell>
          <cell r="BJ83">
            <v>179.03700000000001</v>
          </cell>
          <cell r="BK83">
            <v>4.9530000000000127</v>
          </cell>
          <cell r="BL83">
            <v>185.22586645210109</v>
          </cell>
          <cell r="BM83">
            <v>187.99694990756984</v>
          </cell>
          <cell r="BN83">
            <v>223.46894544815524</v>
          </cell>
          <cell r="BO83">
            <v>246.05126497377975</v>
          </cell>
          <cell r="BP83">
            <v>259.06334145671775</v>
          </cell>
          <cell r="BQ83">
            <v>260.94088009319023</v>
          </cell>
          <cell r="BR83">
            <v>278.6405817346959</v>
          </cell>
          <cell r="BS83">
            <v>293.86511231199836</v>
          </cell>
          <cell r="BT83">
            <v>299.95333756629378</v>
          </cell>
        </row>
        <row r="84">
          <cell r="A84" t="str">
            <v>Net Income</v>
          </cell>
          <cell r="J84">
            <v>273.43455000000012</v>
          </cell>
          <cell r="K84">
            <v>360.74624999999997</v>
          </cell>
          <cell r="L84">
            <v>351.93645819386609</v>
          </cell>
          <cell r="M84">
            <v>594.98132616104476</v>
          </cell>
          <cell r="N84">
            <v>735.91394260901598</v>
          </cell>
          <cell r="O84">
            <v>815.92227557362844</v>
          </cell>
          <cell r="P84">
            <v>880.38647675402524</v>
          </cell>
          <cell r="Q84">
            <v>936.13882698507655</v>
          </cell>
          <cell r="R84">
            <v>983.84458770460367</v>
          </cell>
          <cell r="S84">
            <v>1023.2617423846534</v>
          </cell>
          <cell r="T84">
            <v>1054.3646633065309</v>
          </cell>
          <cell r="U84">
            <v>1076.1700294119023</v>
          </cell>
          <cell r="V84">
            <v>1089.8128439792615</v>
          </cell>
          <cell r="BA84">
            <v>60.15290000000001</v>
          </cell>
          <cell r="BB84">
            <v>66.652849999999987</v>
          </cell>
          <cell r="BC84">
            <v>77.079549999999941</v>
          </cell>
          <cell r="BD84">
            <v>69.549250000000001</v>
          </cell>
          <cell r="BE84">
            <v>80.973850000000013</v>
          </cell>
          <cell r="BF84">
            <v>84.454549999999983</v>
          </cell>
          <cell r="BG84">
            <v>106.59594999999999</v>
          </cell>
          <cell r="BH84">
            <v>88.721900000000034</v>
          </cell>
          <cell r="BI84">
            <v>106.080145</v>
          </cell>
          <cell r="BJ84">
            <v>118.41405000000002</v>
          </cell>
          <cell r="BK84">
            <v>7.2444500000000094</v>
          </cell>
          <cell r="BL84">
            <v>120.19781319386571</v>
          </cell>
          <cell r="BM84">
            <v>121.99901743992041</v>
          </cell>
          <cell r="BN84">
            <v>145.05581454130089</v>
          </cell>
          <cell r="BO84">
            <v>159.73432223295683</v>
          </cell>
          <cell r="BP84">
            <v>168.19217194686652</v>
          </cell>
          <cell r="BQ84">
            <v>169.41257206057364</v>
          </cell>
          <cell r="BR84">
            <v>180.91737812755233</v>
          </cell>
          <cell r="BS84">
            <v>190.81332300279894</v>
          </cell>
          <cell r="BT84">
            <v>194.77066941809096</v>
          </cell>
        </row>
        <row r="85">
          <cell r="A85" t="str">
            <v>ModelWare EPS (Diluted)</v>
          </cell>
          <cell r="J85">
            <v>0.67161236602915797</v>
          </cell>
          <cell r="K85">
            <v>0.8920580047737654</v>
          </cell>
          <cell r="L85">
            <v>0.88508455066858194</v>
          </cell>
          <cell r="M85">
            <v>1.5133191496639182</v>
          </cell>
          <cell r="N85">
            <v>1.8697590710814633</v>
          </cell>
          <cell r="O85">
            <v>2.0593084789047125</v>
          </cell>
          <cell r="P85">
            <v>2.2213610304758009</v>
          </cell>
          <cell r="Q85">
            <v>2.3617180102395738</v>
          </cell>
          <cell r="R85">
            <v>2.4819196321596562</v>
          </cell>
          <cell r="S85">
            <v>2.5815369759639508</v>
          </cell>
          <cell r="T85">
            <v>2.6607346052143965</v>
          </cell>
          <cell r="U85">
            <v>2.7169457203476002</v>
          </cell>
          <cell r="V85">
            <v>2.7529417310193738</v>
          </cell>
          <cell r="BA85">
            <v>0.14734329454990816</v>
          </cell>
          <cell r="BB85">
            <v>0.16303237026455852</v>
          </cell>
          <cell r="BC85">
            <v>0.1899783845334804</v>
          </cell>
          <cell r="BD85">
            <v>0.17142348342190103</v>
          </cell>
          <cell r="BE85">
            <v>0.19940368892829002</v>
          </cell>
          <cell r="BF85">
            <v>0.20851739649996046</v>
          </cell>
          <cell r="BG85">
            <v>0.26420778029767877</v>
          </cell>
          <cell r="BH85">
            <v>0.2201361182238632</v>
          </cell>
          <cell r="BI85">
            <v>0.26394727282227626</v>
          </cell>
          <cell r="BJ85">
            <v>0.29585021861336669</v>
          </cell>
          <cell r="BK85">
            <v>1.8331886746140419E-2</v>
          </cell>
          <cell r="BL85">
            <v>0.30569960139648561</v>
          </cell>
          <cell r="BM85">
            <v>0.31044953897027311</v>
          </cell>
          <cell r="BN85">
            <v>0.36899147433563317</v>
          </cell>
          <cell r="BO85">
            <v>0.40620853561164277</v>
          </cell>
          <cell r="BP85">
            <v>0.42761011501031676</v>
          </cell>
          <cell r="BQ85">
            <v>0.43059813502959954</v>
          </cell>
          <cell r="BR85">
            <v>0.45970886642518388</v>
          </cell>
          <cell r="BS85">
            <v>0.48473640125339262</v>
          </cell>
          <cell r="BT85">
            <v>0.49468876844533838</v>
          </cell>
        </row>
        <row r="87">
          <cell r="A87" t="str">
            <v>Growth and Margins</v>
          </cell>
        </row>
        <row r="89">
          <cell r="A89" t="str">
            <v>As a % of Revenue</v>
          </cell>
        </row>
        <row r="90">
          <cell r="A90" t="str">
            <v>Gross Margin</v>
          </cell>
          <cell r="C90">
            <v>46.991873148473942</v>
          </cell>
          <cell r="D90">
            <v>56.344143700073936</v>
          </cell>
          <cell r="E90">
            <v>63.757252426909695</v>
          </cell>
          <cell r="F90">
            <v>72.890474668337575</v>
          </cell>
          <cell r="G90">
            <v>73.922809201562174</v>
          </cell>
          <cell r="H90">
            <v>75.310759209498315</v>
          </cell>
          <cell r="I90">
            <v>75.534733518083414</v>
          </cell>
          <cell r="J90">
            <v>75.849914796817373</v>
          </cell>
          <cell r="K90">
            <v>76.095419664691349</v>
          </cell>
          <cell r="L90">
            <v>74.209142621952878</v>
          </cell>
          <cell r="M90">
            <v>74.267850848055943</v>
          </cell>
          <cell r="N90">
            <v>74.312763528166641</v>
          </cell>
          <cell r="O90">
            <v>74.332296028339201</v>
          </cell>
          <cell r="P90">
            <v>74.443641268194142</v>
          </cell>
          <cell r="Q90">
            <v>74.552889504818353</v>
          </cell>
          <cell r="R90">
            <v>74.658732621622534</v>
          </cell>
          <cell r="S90">
            <v>74.767610200738744</v>
          </cell>
          <cell r="T90">
            <v>74.873439810085614</v>
          </cell>
          <cell r="U90">
            <v>74.976119523935097</v>
          </cell>
          <cell r="V90">
            <v>75.07614108785998</v>
          </cell>
          <cell r="Y90">
            <v>40.241458395850294</v>
          </cell>
          <cell r="Z90">
            <v>48.152101159572346</v>
          </cell>
          <cell r="AA90">
            <v>47.603832039600796</v>
          </cell>
          <cell r="AB90">
            <v>52.404114414541347</v>
          </cell>
          <cell r="AC90">
            <v>54.67309109601343</v>
          </cell>
          <cell r="AD90">
            <v>54.710124256911719</v>
          </cell>
          <cell r="AE90">
            <v>53.797746074895393</v>
          </cell>
          <cell r="AF90">
            <v>62.556049763161539</v>
          </cell>
          <cell r="AG90">
            <v>63.009283670337879</v>
          </cell>
          <cell r="AH90">
            <v>64.209017249785248</v>
          </cell>
          <cell r="AI90">
            <v>64.080251657166869</v>
          </cell>
          <cell r="AJ90">
            <v>63.703057998007537</v>
          </cell>
          <cell r="AK90">
            <v>73.064468010089229</v>
          </cell>
          <cell r="AL90">
            <v>74.109858555780079</v>
          </cell>
          <cell r="AM90">
            <v>72.751240811948065</v>
          </cell>
          <cell r="AN90">
            <v>72.160585127996754</v>
          </cell>
          <cell r="AO90">
            <v>74.528805370635652</v>
          </cell>
          <cell r="AP90">
            <v>73.689249776746664</v>
          </cell>
          <cell r="AQ90">
            <v>73.741929486276007</v>
          </cell>
          <cell r="AR90">
            <v>73.751799221670041</v>
          </cell>
          <cell r="AS90">
            <v>75.237038760305722</v>
          </cell>
          <cell r="AT90">
            <v>74.878286270691333</v>
          </cell>
          <cell r="AU90">
            <v>75.848579240175738</v>
          </cell>
          <cell r="AV90">
            <v>75.266587677725099</v>
          </cell>
          <cell r="AW90">
            <v>76.30513051305131</v>
          </cell>
          <cell r="AX90">
            <v>75.395704648894679</v>
          </cell>
          <cell r="AY90">
            <v>74.623718443660408</v>
          </cell>
          <cell r="AZ90">
            <v>75.860836002782108</v>
          </cell>
          <cell r="BA90">
            <v>76.092424843030457</v>
          </cell>
          <cell r="BB90">
            <v>75.771569215652008</v>
          </cell>
          <cell r="BC90">
            <v>75.547674536427195</v>
          </cell>
          <cell r="BD90">
            <v>76.002348355816096</v>
          </cell>
          <cell r="BE90">
            <v>76.571075227645821</v>
          </cell>
          <cell r="BF90">
            <v>76.124672030506218</v>
          </cell>
          <cell r="BG90">
            <v>76.043691873716696</v>
          </cell>
          <cell r="BH90">
            <v>75.724104433188117</v>
          </cell>
          <cell r="BI90">
            <v>75.950026213135004</v>
          </cell>
          <cell r="BJ90">
            <v>74.703927264812009</v>
          </cell>
          <cell r="BK90">
            <v>73.202380064815685</v>
          </cell>
          <cell r="BL90">
            <v>73.227126755274469</v>
          </cell>
          <cell r="BM90">
            <v>74.209905744532449</v>
          </cell>
          <cell r="BN90">
            <v>74.262040206192779</v>
          </cell>
          <cell r="BO90">
            <v>74.287570028377687</v>
          </cell>
          <cell r="BP90">
            <v>74.303707570669019</v>
          </cell>
          <cell r="BQ90">
            <v>74.293124107038409</v>
          </cell>
          <cell r="BR90">
            <v>74.309576047312007</v>
          </cell>
          <cell r="BS90">
            <v>74.32096845062388</v>
          </cell>
          <cell r="BT90">
            <v>74.325927093788692</v>
          </cell>
        </row>
        <row r="91">
          <cell r="A91" t="str">
            <v>Rental &amp; Management</v>
          </cell>
          <cell r="C91">
            <v>58.380711535567599</v>
          </cell>
          <cell r="D91">
            <v>61.807141231924632</v>
          </cell>
          <cell r="E91">
            <v>65.326655192264425</v>
          </cell>
          <cell r="F91">
            <v>73.350061628674865</v>
          </cell>
          <cell r="G91">
            <v>74.325460485847728</v>
          </cell>
          <cell r="H91">
            <v>75.914725012710591</v>
          </cell>
          <cell r="I91">
            <v>76.534208986868435</v>
          </cell>
          <cell r="J91">
            <v>76.984811977799353</v>
          </cell>
          <cell r="K91">
            <v>76.883121175517317</v>
          </cell>
          <cell r="L91">
            <v>74.895347764196885</v>
          </cell>
          <cell r="M91">
            <v>75</v>
          </cell>
          <cell r="N91">
            <v>74.999999999999986</v>
          </cell>
          <cell r="O91">
            <v>75</v>
          </cell>
          <cell r="P91">
            <v>75.099999999999994</v>
          </cell>
          <cell r="Q91">
            <v>75.199999999999989</v>
          </cell>
          <cell r="R91">
            <v>75.299999999999983</v>
          </cell>
          <cell r="S91">
            <v>75.399999999999977</v>
          </cell>
          <cell r="T91">
            <v>75.499999999999972</v>
          </cell>
          <cell r="U91">
            <v>75.599999999999966</v>
          </cell>
          <cell r="V91">
            <v>75.69999999999996</v>
          </cell>
          <cell r="Y91">
            <v>55.015363227778614</v>
          </cell>
          <cell r="Z91">
            <v>56.776778748191525</v>
          </cell>
          <cell r="AA91">
            <v>59.029386218876667</v>
          </cell>
          <cell r="AB91">
            <v>62.08144307625836</v>
          </cell>
          <cell r="AC91">
            <v>60.074285480192813</v>
          </cell>
          <cell r="AD91">
            <v>61.896706074409543</v>
          </cell>
          <cell r="AE91">
            <v>62.029925470785685</v>
          </cell>
          <cell r="AF91">
            <v>63.063521449676941</v>
          </cell>
          <cell r="AG91">
            <v>64.225646509819171</v>
          </cell>
          <cell r="AH91">
            <v>65.200164690578617</v>
          </cell>
          <cell r="AI91">
            <v>65.79630285916798</v>
          </cell>
          <cell r="AJ91">
            <v>66.004748664790512</v>
          </cell>
          <cell r="AK91">
            <v>73.439995593985799</v>
          </cell>
          <cell r="AL91">
            <v>74.758002047570812</v>
          </cell>
          <cell r="AM91">
            <v>73.244475461193062</v>
          </cell>
          <cell r="AN91">
            <v>72.52866654336971</v>
          </cell>
          <cell r="AO91">
            <v>74.849411400149876</v>
          </cell>
          <cell r="AP91">
            <v>74.036212125471238</v>
          </cell>
          <cell r="AQ91">
            <v>74.080814208202753</v>
          </cell>
          <cell r="AR91">
            <v>74.345861120587372</v>
          </cell>
          <cell r="AS91">
            <v>75.793647353256532</v>
          </cell>
          <cell r="AT91">
            <v>75.508516855534182</v>
          </cell>
          <cell r="AU91">
            <v>76.594920013496065</v>
          </cell>
          <cell r="AV91">
            <v>75.754018372788394</v>
          </cell>
          <cell r="AW91">
            <v>76.755360537778458</v>
          </cell>
          <cell r="AX91">
            <v>76.075536695087465</v>
          </cell>
          <cell r="AY91">
            <v>76.243166766397223</v>
          </cell>
          <cell r="AZ91">
            <v>77.062638056569284</v>
          </cell>
          <cell r="BA91">
            <v>77.246954769198908</v>
          </cell>
          <cell r="BB91">
            <v>77.300608972073832</v>
          </cell>
          <cell r="BC91">
            <v>76.510539457638927</v>
          </cell>
          <cell r="BD91">
            <v>76.920337226589339</v>
          </cell>
          <cell r="BE91">
            <v>77.372706830277281</v>
          </cell>
          <cell r="BF91">
            <v>76.828608419627528</v>
          </cell>
          <cell r="BG91">
            <v>76.913735117171953</v>
          </cell>
          <cell r="BH91">
            <v>76.495795827715639</v>
          </cell>
          <cell r="BI91">
            <v>76.610659373828099</v>
          </cell>
          <cell r="BJ91">
            <v>75.279143736543801</v>
          </cell>
          <cell r="BK91">
            <v>73.932512263991356</v>
          </cell>
          <cell r="BL91">
            <v>74</v>
          </cell>
          <cell r="BM91">
            <v>75</v>
          </cell>
          <cell r="BN91">
            <v>75</v>
          </cell>
          <cell r="BO91">
            <v>75</v>
          </cell>
          <cell r="BP91">
            <v>75</v>
          </cell>
          <cell r="BQ91">
            <v>75</v>
          </cell>
          <cell r="BR91">
            <v>75</v>
          </cell>
          <cell r="BS91">
            <v>75</v>
          </cell>
          <cell r="BT91">
            <v>75</v>
          </cell>
        </row>
        <row r="92">
          <cell r="A92" t="str">
            <v>Network Development Svcs.</v>
          </cell>
          <cell r="C92">
            <v>8.1854450405832999</v>
          </cell>
          <cell r="D92">
            <v>8.0316241633724825</v>
          </cell>
          <cell r="E92">
            <v>15.455526576130937</v>
          </cell>
          <cell r="F92">
            <v>44.448881789137381</v>
          </cell>
          <cell r="G92">
            <v>51.576103272290609</v>
          </cell>
          <cell r="H92">
            <v>47.183121591168877</v>
          </cell>
          <cell r="I92">
            <v>42.26043168563988</v>
          </cell>
          <cell r="J92">
            <v>41.851905052608892</v>
          </cell>
          <cell r="K92">
            <v>44.943017033617913</v>
          </cell>
          <cell r="L92">
            <v>47.320625613360548</v>
          </cell>
          <cell r="M92">
            <v>41.999999999999993</v>
          </cell>
          <cell r="N92">
            <v>41.999999999999993</v>
          </cell>
          <cell r="O92">
            <v>42</v>
          </cell>
          <cell r="P92">
            <v>42</v>
          </cell>
          <cell r="Q92">
            <v>42</v>
          </cell>
          <cell r="R92">
            <v>42</v>
          </cell>
          <cell r="S92">
            <v>42</v>
          </cell>
          <cell r="T92">
            <v>42</v>
          </cell>
          <cell r="U92">
            <v>42</v>
          </cell>
          <cell r="V92">
            <v>42</v>
          </cell>
          <cell r="Y92">
            <v>9.0760643172540245</v>
          </cell>
          <cell r="Z92">
            <v>14.485511531638087</v>
          </cell>
          <cell r="AA92">
            <v>4.6920023922144267</v>
          </cell>
          <cell r="AB92">
            <v>3.474758507697036</v>
          </cell>
          <cell r="AC92">
            <v>1.9526824391869444</v>
          </cell>
          <cell r="AD92">
            <v>7.985962509629374</v>
          </cell>
          <cell r="AE92">
            <v>8.3923154701718907</v>
          </cell>
          <cell r="AF92">
            <v>35.153922542204562</v>
          </cell>
          <cell r="AG92">
            <v>15.516014234875444</v>
          </cell>
          <cell r="AH92">
            <v>28.905419766206158</v>
          </cell>
          <cell r="AI92">
            <v>13.496208930075809</v>
          </cell>
          <cell r="AJ92">
            <v>8.4247595828254092</v>
          </cell>
          <cell r="AK92">
            <v>48.581687612208263</v>
          </cell>
          <cell r="AL92">
            <v>39.437844103158511</v>
          </cell>
          <cell r="AM92">
            <v>40.227560050568904</v>
          </cell>
          <cell r="AN92">
            <v>49.099937926753576</v>
          </cell>
          <cell r="AO92">
            <v>50.096385542168676</v>
          </cell>
          <cell r="AP92">
            <v>54.179838426413774</v>
          </cell>
          <cell r="AQ92">
            <v>58.083238958097397</v>
          </cell>
          <cell r="AR92">
            <v>43.048837572164146</v>
          </cell>
          <cell r="AS92">
            <v>45.352986811481777</v>
          </cell>
          <cell r="AT92">
            <v>45.97280334728034</v>
          </cell>
          <cell r="AU92">
            <v>45.98303950011158</v>
          </cell>
          <cell r="AV92">
            <v>51.388154415653098</v>
          </cell>
          <cell r="AW92">
            <v>55.773686135837096</v>
          </cell>
          <cell r="AX92">
            <v>47.554608417687803</v>
          </cell>
          <cell r="AY92">
            <v>31.676976869284562</v>
          </cell>
          <cell r="AZ92">
            <v>42.038398401256153</v>
          </cell>
          <cell r="BA92">
            <v>40.185374283245615</v>
          </cell>
          <cell r="BB92">
            <v>38.321189859697711</v>
          </cell>
          <cell r="BC92">
            <v>45.022091310751108</v>
          </cell>
          <cell r="BD92">
            <v>44.732310582341889</v>
          </cell>
          <cell r="BE92">
            <v>43.057648831951774</v>
          </cell>
          <cell r="BF92">
            <v>52.244351961950052</v>
          </cell>
          <cell r="BG92">
            <v>43.833790089622987</v>
          </cell>
          <cell r="BH92">
            <v>39.388884010887701</v>
          </cell>
          <cell r="BI92">
            <v>53.435162094763079</v>
          </cell>
          <cell r="BJ92">
            <v>49.634219169901463</v>
          </cell>
          <cell r="BK92">
            <v>44.418082718820138</v>
          </cell>
          <cell r="BL92">
            <v>42</v>
          </cell>
          <cell r="BM92">
            <v>42</v>
          </cell>
          <cell r="BN92">
            <v>42</v>
          </cell>
          <cell r="BO92">
            <v>42</v>
          </cell>
          <cell r="BP92">
            <v>42</v>
          </cell>
          <cell r="BQ92">
            <v>42</v>
          </cell>
          <cell r="BR92">
            <v>42</v>
          </cell>
          <cell r="BS92">
            <v>42</v>
          </cell>
          <cell r="BT92">
            <v>42</v>
          </cell>
        </row>
        <row r="93">
          <cell r="A93" t="str">
            <v xml:space="preserve">Corporate, General &amp; Administrative </v>
          </cell>
          <cell r="C93">
            <v>5.2781971102005611</v>
          </cell>
          <cell r="D93">
            <v>3.8950664714325067</v>
          </cell>
          <cell r="E93">
            <v>3.8870178020547352</v>
          </cell>
          <cell r="F93">
            <v>10.819698852438542</v>
          </cell>
          <cell r="G93">
            <v>9.0954428659807114</v>
          </cell>
          <cell r="H93">
            <v>9.0817345121564443</v>
          </cell>
          <cell r="I93">
            <v>7.8799927706488342</v>
          </cell>
          <cell r="J93">
            <v>8.179505531536778</v>
          </cell>
          <cell r="K93">
            <v>8.9261006328906713</v>
          </cell>
          <cell r="L93">
            <v>9.9268344488269094</v>
          </cell>
          <cell r="M93">
            <v>9.4999999999999982</v>
          </cell>
          <cell r="N93">
            <v>8.9999999999999982</v>
          </cell>
          <cell r="O93">
            <v>8.5</v>
          </cell>
          <cell r="P93">
            <v>8.6</v>
          </cell>
          <cell r="Q93">
            <v>8.6999999999999993</v>
          </cell>
          <cell r="R93">
            <v>8.7999999999999989</v>
          </cell>
          <cell r="S93">
            <v>8.8999999999999986</v>
          </cell>
          <cell r="T93">
            <v>8.9999999999999982</v>
          </cell>
          <cell r="U93">
            <v>9.0999999999999979</v>
          </cell>
          <cell r="V93">
            <v>9.1999999999999975</v>
          </cell>
          <cell r="Y93">
            <v>6.4839027736099784</v>
          </cell>
          <cell r="Z93">
            <v>6.3031772161821547</v>
          </cell>
          <cell r="AA93">
            <v>4.579698878511083</v>
          </cell>
          <cell r="AB93">
            <v>3.7407355220515712</v>
          </cell>
          <cell r="AC93">
            <v>4.1172499643890079</v>
          </cell>
          <cell r="AD93">
            <v>3.9735968325327193</v>
          </cell>
          <cell r="AE93">
            <v>3.4745336429893934</v>
          </cell>
          <cell r="AF93">
            <v>4.0692880401090603</v>
          </cell>
          <cell r="AG93">
            <v>4.0754542600020143</v>
          </cell>
          <cell r="AH93">
            <v>3.860306920808859</v>
          </cell>
          <cell r="AI93">
            <v>3.7931015418977116</v>
          </cell>
          <cell r="AJ93">
            <v>3.8317018235370557</v>
          </cell>
          <cell r="AK93">
            <v>11.338992704293348</v>
          </cell>
          <cell r="AL93">
            <v>10.95341912155695</v>
          </cell>
          <cell r="AM93">
            <v>11.522742553239709</v>
          </cell>
          <cell r="AN93">
            <v>9.8216984965461211</v>
          </cell>
          <cell r="AO93">
            <v>8.3649335692817637</v>
          </cell>
          <cell r="AP93">
            <v>8.3663993764250613</v>
          </cell>
          <cell r="AQ93">
            <v>9.5064878983527592</v>
          </cell>
          <cell r="AR93">
            <v>10.086303406526364</v>
          </cell>
          <cell r="AS93">
            <v>9.1862094792807429</v>
          </cell>
          <cell r="AT93">
            <v>8.5142415525789374</v>
          </cell>
          <cell r="AU93">
            <v>9.185358488512863</v>
          </cell>
          <cell r="AV93">
            <v>9.4215470548408931</v>
          </cell>
          <cell r="AW93">
            <v>8.5416971929751107</v>
          </cell>
          <cell r="AX93">
            <v>7.1590031697009104</v>
          </cell>
          <cell r="AY93">
            <v>7.68933803766725</v>
          </cell>
          <cell r="AZ93">
            <v>8.1469617264721172</v>
          </cell>
          <cell r="BA93">
            <v>8.1465114344300407</v>
          </cell>
          <cell r="BB93">
            <v>8.7455534086990205</v>
          </cell>
          <cell r="BC93">
            <v>7.8618795104761263</v>
          </cell>
          <cell r="BD93">
            <v>7.9895440126971948</v>
          </cell>
          <cell r="BE93">
            <v>8.7937962388377642</v>
          </cell>
          <cell r="BF93">
            <v>8.5871084847543404</v>
          </cell>
          <cell r="BG93">
            <v>8.5603188641827153</v>
          </cell>
          <cell r="BH93">
            <v>9.6696381942948122</v>
          </cell>
          <cell r="BI93">
            <v>9.55650929899857</v>
          </cell>
          <cell r="BJ93">
            <v>10.152452552177953</v>
          </cell>
          <cell r="BK93">
            <v>10.485197564097886</v>
          </cell>
          <cell r="BL93">
            <v>9.5</v>
          </cell>
          <cell r="BM93">
            <v>9.5</v>
          </cell>
          <cell r="BN93">
            <v>9.5</v>
          </cell>
          <cell r="BO93">
            <v>9.5</v>
          </cell>
          <cell r="BP93">
            <v>9.5</v>
          </cell>
          <cell r="BQ93">
            <v>9</v>
          </cell>
          <cell r="BR93">
            <v>9</v>
          </cell>
          <cell r="BS93">
            <v>9</v>
          </cell>
          <cell r="BT93">
            <v>9</v>
          </cell>
        </row>
        <row r="94">
          <cell r="A94" t="str">
            <v>TV Azteca</v>
          </cell>
          <cell r="C94">
            <v>1.977514954087829</v>
          </cell>
          <cell r="D94">
            <v>2.0618467025240297</v>
          </cell>
          <cell r="E94">
            <v>2.0258681685676279</v>
          </cell>
          <cell r="F94">
            <v>1.5063728717402673</v>
          </cell>
          <cell r="G94">
            <v>1.0785002106445725</v>
          </cell>
          <cell r="H94">
            <v>0.97535758076718726</v>
          </cell>
          <cell r="I94">
            <v>0.89444394240616909</v>
          </cell>
          <cell r="J94">
            <v>0.82419143977718412</v>
          </cell>
          <cell r="K94">
            <v>0.71584896251766073</v>
          </cell>
          <cell r="L94">
            <v>0.5766669283739273</v>
          </cell>
          <cell r="M94">
            <v>0.48058295950053792</v>
          </cell>
          <cell r="N94">
            <v>0.43350040575168541</v>
          </cell>
          <cell r="O94">
            <v>0.41292111987104091</v>
          </cell>
          <cell r="P94">
            <v>0.39674382728340646</v>
          </cell>
          <cell r="Q94">
            <v>0.38232886991206583</v>
          </cell>
          <cell r="R94">
            <v>0.37033220051317806</v>
          </cell>
          <cell r="S94">
            <v>0.36050689627795607</v>
          </cell>
          <cell r="T94">
            <v>0.35259147234481947</v>
          </cell>
          <cell r="U94">
            <v>0.34657286594781689</v>
          </cell>
          <cell r="V94">
            <v>0.34211140232887566</v>
          </cell>
          <cell r="Y94">
            <v>1.8374630256783986</v>
          </cell>
          <cell r="Z94">
            <v>2.0930190488250515</v>
          </cell>
          <cell r="AA94">
            <v>2.0086198026819702</v>
          </cell>
          <cell r="AB94">
            <v>1.9861913484570948</v>
          </cell>
          <cell r="AC94">
            <v>2.168864226126701</v>
          </cell>
          <cell r="AD94">
            <v>2.0127565865291364</v>
          </cell>
          <cell r="AE94">
            <v>1.8852274794781509</v>
          </cell>
          <cell r="AF94">
            <v>2.2082854339831597</v>
          </cell>
          <cell r="AG94">
            <v>2.0972682192770939</v>
          </cell>
          <cell r="AH94">
            <v>2.1196573259350404</v>
          </cell>
          <cell r="AI94">
            <v>1.9814131943100715</v>
          </cell>
          <cell r="AJ94">
            <v>1.9166630571317191</v>
          </cell>
          <cell r="AK94">
            <v>1.8974261614819237</v>
          </cell>
          <cell r="AL94">
            <v>1.9057747527384878</v>
          </cell>
          <cell r="AM94">
            <v>1.3631934004668627</v>
          </cell>
          <cell r="AN94">
            <v>1.1510767980495733</v>
          </cell>
          <cell r="AO94">
            <v>1.0917296330627417</v>
          </cell>
          <cell r="AP94">
            <v>1.0998487094269678</v>
          </cell>
          <cell r="AQ94">
            <v>1.0747690176239328</v>
          </cell>
          <cell r="AR94">
            <v>1.0490276798777418</v>
          </cell>
          <cell r="AS94">
            <v>0.9924136248347396</v>
          </cell>
          <cell r="AT94">
            <v>0.9999358300109088</v>
          </cell>
          <cell r="AU94">
            <v>0.97501258212386255</v>
          </cell>
          <cell r="AV94">
            <v>0.93649500677048092</v>
          </cell>
          <cell r="AW94">
            <v>0.92651707031168229</v>
          </cell>
          <cell r="AX94">
            <v>0.91027308192457734</v>
          </cell>
          <cell r="AY94">
            <v>0.87619848119080879</v>
          </cell>
          <cell r="AZ94">
            <v>0.86744839882054448</v>
          </cell>
          <cell r="BA94">
            <v>0.85617527735772425</v>
          </cell>
          <cell r="BB94">
            <v>0.84680105253709637</v>
          </cell>
          <cell r="BC94">
            <v>0.80724153071908678</v>
          </cell>
          <cell r="BD94">
            <v>0.79044942440727439</v>
          </cell>
          <cell r="BE94">
            <v>0.76996879634886484</v>
          </cell>
          <cell r="BF94">
            <v>0.76286821424999518</v>
          </cell>
          <cell r="BG94">
            <v>0.69839204242171582</v>
          </cell>
          <cell r="BH94">
            <v>0.64695549282195297</v>
          </cell>
          <cell r="BI94">
            <v>0.62182887710038304</v>
          </cell>
          <cell r="BJ94">
            <v>0.60110341825244662</v>
          </cell>
          <cell r="BK94">
            <v>0.55488314617792112</v>
          </cell>
          <cell r="BL94">
            <v>0.53637848233954077</v>
          </cell>
          <cell r="BM94">
            <v>0.5264494093822254</v>
          </cell>
          <cell r="BN94">
            <v>0.48684315213988905</v>
          </cell>
          <cell r="BO94">
            <v>0.46534727253764141</v>
          </cell>
          <cell r="BP94">
            <v>0.45030346672119104</v>
          </cell>
          <cell r="BQ94">
            <v>0.45262174472162336</v>
          </cell>
          <cell r="BR94">
            <v>0.43771025279821862</v>
          </cell>
          <cell r="BS94">
            <v>0.42622551971023576</v>
          </cell>
          <cell r="BT94">
            <v>0.41892376065760917</v>
          </cell>
        </row>
        <row r="95">
          <cell r="A95" t="str">
            <v>EBITDA</v>
          </cell>
          <cell r="C95">
            <v>43.691190992361207</v>
          </cell>
          <cell r="D95">
            <v>54.510923931165458</v>
          </cell>
          <cell r="E95">
            <v>61.896102793422578</v>
          </cell>
          <cell r="F95">
            <v>63.577148687639308</v>
          </cell>
          <cell r="G95">
            <v>65.905866546226051</v>
          </cell>
          <cell r="H95">
            <v>67.204382278109065</v>
          </cell>
          <cell r="I95">
            <v>68.549184689840743</v>
          </cell>
          <cell r="J95">
            <v>68.494600705057792</v>
          </cell>
          <cell r="K95">
            <v>67.885167994318337</v>
          </cell>
          <cell r="L95">
            <v>64.858975101499908</v>
          </cell>
          <cell r="M95">
            <v>65.248433807556495</v>
          </cell>
          <cell r="N95">
            <v>65.746263933918343</v>
          </cell>
          <cell r="O95">
            <v>66.24521714821023</v>
          </cell>
          <cell r="P95">
            <v>66.240385095477549</v>
          </cell>
          <cell r="Q95">
            <v>66.235218374730422</v>
          </cell>
          <cell r="R95">
            <v>66.229064822135726</v>
          </cell>
          <cell r="S95">
            <v>66.228117097016707</v>
          </cell>
          <cell r="T95">
            <v>66.226031282430441</v>
          </cell>
          <cell r="U95">
            <v>66.222692389882923</v>
          </cell>
          <cell r="V95">
            <v>66.21825249018886</v>
          </cell>
          <cell r="Y95">
            <v>35.595018647918721</v>
          </cell>
          <cell r="Z95">
            <v>43.941942992215246</v>
          </cell>
          <cell r="AA95">
            <v>45.032752963771678</v>
          </cell>
          <cell r="AB95">
            <v>50.649570240946872</v>
          </cell>
          <cell r="AC95">
            <v>52.724705357751112</v>
          </cell>
          <cell r="AD95">
            <v>52.749284010908134</v>
          </cell>
          <cell r="AE95">
            <v>52.20843991138414</v>
          </cell>
          <cell r="AF95">
            <v>60.695047157035631</v>
          </cell>
          <cell r="AG95">
            <v>61.031097629612951</v>
          </cell>
          <cell r="AH95">
            <v>62.46836765491144</v>
          </cell>
          <cell r="AI95">
            <v>62.268563309579214</v>
          </cell>
          <cell r="AJ95">
            <v>61.788019231602199</v>
          </cell>
          <cell r="AK95">
            <v>63.622901467277806</v>
          </cell>
          <cell r="AL95">
            <v>65.062214186961612</v>
          </cell>
          <cell r="AM95">
            <v>62.591691659175218</v>
          </cell>
          <cell r="AN95">
            <v>63.489963429500207</v>
          </cell>
          <cell r="AO95">
            <v>67.255601434416633</v>
          </cell>
          <cell r="AP95">
            <v>66.422699109748578</v>
          </cell>
          <cell r="AQ95">
            <v>65.310210605547184</v>
          </cell>
          <cell r="AR95">
            <v>64.71452349502141</v>
          </cell>
          <cell r="AS95">
            <v>67.043242905859714</v>
          </cell>
          <cell r="AT95">
            <v>67.363980548123308</v>
          </cell>
          <cell r="AU95">
            <v>67.638233333786744</v>
          </cell>
          <cell r="AV95">
            <v>66.781535629654698</v>
          </cell>
          <cell r="AW95">
            <v>68.689950390387892</v>
          </cell>
          <cell r="AX95">
            <v>69.146974561118341</v>
          </cell>
          <cell r="AY95">
            <v>67.810578887183965</v>
          </cell>
          <cell r="AZ95">
            <v>68.581322675130536</v>
          </cell>
          <cell r="BA95">
            <v>68.802088685958154</v>
          </cell>
          <cell r="BB95">
            <v>67.872816859490086</v>
          </cell>
          <cell r="BC95">
            <v>68.493036556670148</v>
          </cell>
          <cell r="BD95">
            <v>68.803253767526172</v>
          </cell>
          <cell r="BE95">
            <v>68.547247785156927</v>
          </cell>
          <cell r="BF95">
            <v>68.300431760001871</v>
          </cell>
          <cell r="BG95">
            <v>68.181765051955693</v>
          </cell>
          <cell r="BH95">
            <v>66.701421731715243</v>
          </cell>
          <cell r="BI95">
            <v>67.015345791236825</v>
          </cell>
          <cell r="BJ95">
            <v>65.152578130886496</v>
          </cell>
          <cell r="BK95">
            <v>63.272065646895712</v>
          </cell>
          <cell r="BL95">
            <v>64.263505237613998</v>
          </cell>
          <cell r="BM95">
            <v>65.236355153914673</v>
          </cell>
          <cell r="BN95">
            <v>65.248883358332677</v>
          </cell>
          <cell r="BO95">
            <v>65.252917300915342</v>
          </cell>
          <cell r="BP95">
            <v>65.254011037390214</v>
          </cell>
          <cell r="BQ95">
            <v>65.745745851760034</v>
          </cell>
          <cell r="BR95">
            <v>65.747286300110233</v>
          </cell>
          <cell r="BS95">
            <v>65.747193970334123</v>
          </cell>
          <cell r="BT95">
            <v>65.744850854446298</v>
          </cell>
        </row>
        <row r="96">
          <cell r="A96" t="str">
            <v>Depreciation</v>
          </cell>
          <cell r="C96">
            <v>44.565735559515574</v>
          </cell>
          <cell r="D96">
            <v>48.173449120721401</v>
          </cell>
          <cell r="E96">
            <v>46.620581326238913</v>
          </cell>
          <cell r="F96">
            <v>43.528799114296781</v>
          </cell>
          <cell r="G96">
            <v>40.08327102555441</v>
          </cell>
          <cell r="H96">
            <v>35.900738297699981</v>
          </cell>
          <cell r="I96">
            <v>25.436522280458661</v>
          </cell>
          <cell r="J96">
            <v>24.048235789512759</v>
          </cell>
          <cell r="K96">
            <v>23.206461378054584</v>
          </cell>
          <cell r="L96">
            <v>22.426297467042616</v>
          </cell>
          <cell r="M96">
            <v>20.427983067864922</v>
          </cell>
          <cell r="N96">
            <v>18.802164982963916</v>
          </cell>
          <cell r="O96">
            <v>17.071827562445279</v>
          </cell>
          <cell r="P96">
            <v>16.379909595677887</v>
          </cell>
          <cell r="Q96">
            <v>15.953852388424558</v>
          </cell>
          <cell r="R96">
            <v>15.696725716713008</v>
          </cell>
          <cell r="S96">
            <v>15.587500208172731</v>
          </cell>
          <cell r="T96">
            <v>15.607885900014285</v>
          </cell>
          <cell r="U96">
            <v>15.753199018801212</v>
          </cell>
          <cell r="V96">
            <v>16.006246174481667</v>
          </cell>
          <cell r="Y96">
            <v>40.233956359583317</v>
          </cell>
          <cell r="Z96">
            <v>48.121951072438598</v>
          </cell>
          <cell r="AA96">
            <v>44.984738147771317</v>
          </cell>
          <cell r="AB96">
            <v>45.384810483302807</v>
          </cell>
          <cell r="AC96">
            <v>52.062031250967699</v>
          </cell>
          <cell r="AD96">
            <v>48.026038041555893</v>
          </cell>
          <cell r="AE96">
            <v>44.211072701392382</v>
          </cell>
          <cell r="AF96">
            <v>49.006602586865853</v>
          </cell>
          <cell r="AG96">
            <v>48.192735394659671</v>
          </cell>
          <cell r="AH96">
            <v>49.604160378891649</v>
          </cell>
          <cell r="AI96">
            <v>45.095394209452628</v>
          </cell>
          <cell r="AJ96">
            <v>43.894291159527008</v>
          </cell>
          <cell r="AK96">
            <v>44.463670635458769</v>
          </cell>
          <cell r="AL96">
            <v>45.083483994469852</v>
          </cell>
          <cell r="AM96">
            <v>44.099627567555316</v>
          </cell>
          <cell r="AN96">
            <v>41.52685900040634</v>
          </cell>
          <cell r="AO96">
            <v>41.590904125664387</v>
          </cell>
          <cell r="AP96">
            <v>40.756698367105201</v>
          </cell>
          <cell r="AQ96">
            <v>39.391304087061087</v>
          </cell>
          <cell r="AR96">
            <v>38.686079503385209</v>
          </cell>
          <cell r="AS96">
            <v>36.937192530512888</v>
          </cell>
          <cell r="AT96">
            <v>36.726716756458153</v>
          </cell>
          <cell r="AU96">
            <v>35.769685922983804</v>
          </cell>
          <cell r="AV96">
            <v>34.278996699390646</v>
          </cell>
          <cell r="AW96">
            <v>25.399284114457956</v>
          </cell>
          <cell r="AX96">
            <v>25.321287792587775</v>
          </cell>
          <cell r="AY96">
            <v>25.506269730347835</v>
          </cell>
          <cell r="AZ96">
            <v>25.512583144757595</v>
          </cell>
          <cell r="BA96">
            <v>24.436842697673963</v>
          </cell>
          <cell r="BB96">
            <v>24.202448046334311</v>
          </cell>
          <cell r="BC96">
            <v>23.765325767554973</v>
          </cell>
          <cell r="BD96">
            <v>23.828445017891703</v>
          </cell>
          <cell r="BE96">
            <v>24.389680349621727</v>
          </cell>
          <cell r="BF96">
            <v>23.49314908168542</v>
          </cell>
          <cell r="BG96">
            <v>22.477704053206367</v>
          </cell>
          <cell r="BH96">
            <v>22.661702352997029</v>
          </cell>
          <cell r="BI96">
            <v>23.321870640400221</v>
          </cell>
          <cell r="BJ96">
            <v>23.199912932095405</v>
          </cell>
          <cell r="BK96">
            <v>22.543198557113463</v>
          </cell>
          <cell r="BL96">
            <v>20.832097850040508</v>
          </cell>
          <cell r="BM96">
            <v>22.231610427925034</v>
          </cell>
          <cell r="BN96">
            <v>20.644762176993538</v>
          </cell>
          <cell r="BO96">
            <v>19.821360567129716</v>
          </cell>
          <cell r="BP96">
            <v>19.271736029783597</v>
          </cell>
          <cell r="BQ96">
            <v>19.469148764640025</v>
          </cell>
          <cell r="BR96">
            <v>18.928914327736972</v>
          </cell>
          <cell r="BS96">
            <v>18.535922596181397</v>
          </cell>
          <cell r="BT96">
            <v>18.325210639099325</v>
          </cell>
        </row>
        <row r="97">
          <cell r="A97" t="str">
            <v>Operating Margin</v>
          </cell>
          <cell r="C97">
            <v>-16.246609082551121</v>
          </cell>
          <cell r="D97">
            <v>-0.31372776432724797</v>
          </cell>
          <cell r="E97">
            <v>9.8709421786998082</v>
          </cell>
          <cell r="F97">
            <v>14.301016314805667</v>
          </cell>
          <cell r="G97">
            <v>21.550344052801574</v>
          </cell>
          <cell r="H97">
            <v>25.975872480595129</v>
          </cell>
          <cell r="I97">
            <v>38.076716468863573</v>
          </cell>
          <cell r="J97">
            <v>38.991505202092213</v>
          </cell>
          <cell r="K97">
            <v>39.508596785932852</v>
          </cell>
          <cell r="L97">
            <v>38.433184398244016</v>
          </cell>
          <cell r="M97">
            <v>42.559595056003502</v>
          </cell>
          <cell r="N97">
            <v>44.780810476740172</v>
          </cell>
          <cell r="O97">
            <v>47.112797513589747</v>
          </cell>
          <cell r="P97">
            <v>47.88061264986851</v>
          </cell>
          <cell r="Q97">
            <v>48.373437812153483</v>
          </cell>
          <cell r="R97">
            <v>48.684277672558778</v>
          </cell>
          <cell r="S97">
            <v>48.841586476771937</v>
          </cell>
          <cell r="T97">
            <v>48.858615153356361</v>
          </cell>
          <cell r="U97">
            <v>48.739997674116267</v>
          </cell>
          <cell r="V97">
            <v>48.50477457212434</v>
          </cell>
          <cell r="Y97">
            <v>-4.4905045655249349</v>
          </cell>
          <cell r="Z97">
            <v>-9.2982868720490703</v>
          </cell>
          <cell r="AA97">
            <v>-49.519280235043951</v>
          </cell>
          <cell r="AB97">
            <v>-2.2984359588558658</v>
          </cell>
          <cell r="AC97">
            <v>-3.7952027349241773</v>
          </cell>
          <cell r="AD97">
            <v>-1.8547255280063013</v>
          </cell>
          <cell r="AE97">
            <v>2.0206128193328241</v>
          </cell>
          <cell r="AF97">
            <v>2.0698538041613701</v>
          </cell>
          <cell r="AG97">
            <v>8.4222500014811246</v>
          </cell>
          <cell r="AH97">
            <v>7.6260070113528267</v>
          </cell>
          <cell r="AI97">
            <v>11.58883464819411</v>
          </cell>
          <cell r="AJ97">
            <v>11.606640100489455</v>
          </cell>
          <cell r="AK97">
            <v>15.755471779989685</v>
          </cell>
          <cell r="AL97">
            <v>16.351164521961078</v>
          </cell>
          <cell r="AM97">
            <v>14.041005340968329</v>
          </cell>
          <cell r="AN97">
            <v>12.399837464445351</v>
          </cell>
          <cell r="AO97">
            <v>21.132053094638419</v>
          </cell>
          <cell r="AP97">
            <v>21.718329482021584</v>
          </cell>
          <cell r="AQ97">
            <v>21.593441030146916</v>
          </cell>
          <cell r="AR97">
            <v>21.742594314755685</v>
          </cell>
          <cell r="AS97">
            <v>24.430170735997535</v>
          </cell>
          <cell r="AT97">
            <v>26.029579574971468</v>
          </cell>
          <cell r="AU97">
            <v>26.794074839832959</v>
          </cell>
          <cell r="AV97">
            <v>26.570434157075152</v>
          </cell>
          <cell r="AW97">
            <v>37.902162309254194</v>
          </cell>
          <cell r="AX97">
            <v>39.313942620286092</v>
          </cell>
          <cell r="AY97">
            <v>37.717827926932969</v>
          </cell>
          <cell r="AZ97">
            <v>37.406814196569385</v>
          </cell>
          <cell r="BA97">
            <v>36.773450002202232</v>
          </cell>
          <cell r="BB97">
            <v>39.315898128770449</v>
          </cell>
          <cell r="BC97">
            <v>40.323121784262717</v>
          </cell>
          <cell r="BD97">
            <v>39.388311349121494</v>
          </cell>
          <cell r="BE97">
            <v>39.356430196684236</v>
          </cell>
          <cell r="BF97">
            <v>40.157723269289278</v>
          </cell>
          <cell r="BG97">
            <v>41.566891736570803</v>
          </cell>
          <cell r="BH97">
            <v>37.148538643858586</v>
          </cell>
          <cell r="BI97">
            <v>38.795439803090488</v>
          </cell>
          <cell r="BJ97">
            <v>37.805721365961467</v>
          </cell>
          <cell r="BK97">
            <v>36.215722323656458</v>
          </cell>
          <cell r="BL97">
            <v>40.83875805098203</v>
          </cell>
          <cell r="BM97">
            <v>40.467914753277576</v>
          </cell>
          <cell r="BN97">
            <v>42.351532154070952</v>
          </cell>
          <cell r="BO97">
            <v>43.452700050252915</v>
          </cell>
          <cell r="BP97">
            <v>43.676947825776111</v>
          </cell>
          <cell r="BQ97">
            <v>43.966129999141366</v>
          </cell>
          <cell r="BR97">
            <v>44.66798583905782</v>
          </cell>
          <cell r="BS97">
            <v>45.276928856885718</v>
          </cell>
          <cell r="BT97">
            <v>45.155200402163999</v>
          </cell>
        </row>
        <row r="98">
          <cell r="A98" t="str">
            <v>Net Income, Continuing</v>
          </cell>
          <cell r="C98">
            <v>-45.165459745979163</v>
          </cell>
          <cell r="D98">
            <v>-37.825652028937199</v>
          </cell>
          <cell r="E98">
            <v>-33.528146491948014</v>
          </cell>
          <cell r="F98">
            <v>-15.17232473808885</v>
          </cell>
          <cell r="G98">
            <v>2.2105914368237078</v>
          </cell>
          <cell r="H98">
            <v>6.388190532159256</v>
          </cell>
          <cell r="I98">
            <v>14.837301945900347</v>
          </cell>
          <cell r="J98">
            <v>13.85917636536796</v>
          </cell>
          <cell r="K98">
            <v>18.816773995320691</v>
          </cell>
          <cell r="L98">
            <v>12.140991153679417</v>
          </cell>
          <cell r="M98">
            <v>27.703960387981823</v>
          </cell>
          <cell r="N98">
            <v>30.901215195192002</v>
          </cell>
          <cell r="O98">
            <v>32.630887757039964</v>
          </cell>
          <cell r="P98">
            <v>33.827160944602156</v>
          </cell>
          <cell r="Q98">
            <v>34.660593476774189</v>
          </cell>
          <cell r="R98">
            <v>35.282449497748885</v>
          </cell>
          <cell r="S98">
            <v>35.721323494581725</v>
          </cell>
          <cell r="T98">
            <v>35.998127898943984</v>
          </cell>
          <cell r="U98">
            <v>36.114872118212269</v>
          </cell>
          <cell r="V98">
            <v>36.101569521627383</v>
          </cell>
          <cell r="Y98">
            <v>-29.947057058344416</v>
          </cell>
          <cell r="Z98">
            <v>-40.52654112170385</v>
          </cell>
          <cell r="AA98">
            <v>-84.148823065403022</v>
          </cell>
          <cell r="AB98">
            <v>-27.069465971537284</v>
          </cell>
          <cell r="AC98">
            <v>-52.67454030854605</v>
          </cell>
          <cell r="AD98">
            <v>-48.391734462180949</v>
          </cell>
          <cell r="AE98">
            <v>-22.592763038196846</v>
          </cell>
          <cell r="AF98">
            <v>-29.381210614696634</v>
          </cell>
          <cell r="AG98">
            <v>-27.369350261566083</v>
          </cell>
          <cell r="AH98">
            <v>-36.858356743203395</v>
          </cell>
          <cell r="AI98">
            <v>-32.76242391406506</v>
          </cell>
          <cell r="AJ98">
            <v>-36.799930696929003</v>
          </cell>
          <cell r="AK98">
            <v>-17.488541129885288</v>
          </cell>
          <cell r="AL98">
            <v>-18.609486334148677</v>
          </cell>
          <cell r="AM98">
            <v>-8.0190068971769151</v>
          </cell>
          <cell r="AN98">
            <v>-17.839252336448599</v>
          </cell>
          <cell r="AO98">
            <v>-0.4250816924618212</v>
          </cell>
          <cell r="AP98">
            <v>2.5381832242384048</v>
          </cell>
          <cell r="AQ98">
            <v>1.1341452077716934</v>
          </cell>
          <cell r="AR98">
            <v>5.4586756543835806</v>
          </cell>
          <cell r="AS98">
            <v>6.0055493454836233</v>
          </cell>
          <cell r="AT98">
            <v>3.3831534248639126</v>
          </cell>
          <cell r="AU98">
            <v>16.382333337867426</v>
          </cell>
          <cell r="AV98">
            <v>-0.12245049085984763</v>
          </cell>
          <cell r="AW98">
            <v>11.054099596006123</v>
          </cell>
          <cell r="AX98">
            <v>12.897482526007806</v>
          </cell>
          <cell r="AY98">
            <v>14.809611306039077</v>
          </cell>
          <cell r="AZ98">
            <v>20.276545096540982</v>
          </cell>
          <cell r="BA98">
            <v>13.626620468926639</v>
          </cell>
          <cell r="BB98">
            <v>12.147638641527969</v>
          </cell>
          <cell r="BC98">
            <v>15.21757242093647</v>
          </cell>
          <cell r="BD98">
            <v>14.34215901404772</v>
          </cell>
          <cell r="BE98">
            <v>21.223764066949226</v>
          </cell>
          <cell r="BF98">
            <v>21.242209062065761</v>
          </cell>
          <cell r="BG98">
            <v>18.234168806324295</v>
          </cell>
          <cell r="BH98">
            <v>15.284255042527789</v>
          </cell>
          <cell r="BI98">
            <v>16.343009978762918</v>
          </cell>
          <cell r="BJ98">
            <v>18.949157366865641</v>
          </cell>
          <cell r="BK98">
            <v>-3.1291094744155701</v>
          </cell>
          <cell r="BL98">
            <v>17.041366918971597</v>
          </cell>
          <cell r="BM98">
            <v>24.898335407421367</v>
          </cell>
          <cell r="BN98">
            <v>27.369641712542592</v>
          </cell>
          <cell r="BO98">
            <v>28.804851587417584</v>
          </cell>
          <cell r="BP98">
            <v>29.347703335430353</v>
          </cell>
          <cell r="BQ98">
            <v>29.712582746408977</v>
          </cell>
          <cell r="BR98">
            <v>30.682726910927403</v>
          </cell>
          <cell r="BS98">
            <v>31.510140935820957</v>
          </cell>
          <cell r="BT98">
            <v>31.611969860395746</v>
          </cell>
        </row>
        <row r="99">
          <cell r="A99" t="str">
            <v>Net Income</v>
          </cell>
          <cell r="C99">
            <v>-161.7084548766785</v>
          </cell>
          <cell r="D99">
            <v>-46.626846630036106</v>
          </cell>
          <cell r="E99">
            <v>-34.70141227747429</v>
          </cell>
          <cell r="F99">
            <v>-19.134915208311735</v>
          </cell>
          <cell r="G99">
            <v>2.1457660440949309</v>
          </cell>
          <cell r="H99">
            <v>3.8894846470601827</v>
          </cell>
          <cell r="I99">
            <v>21.801953430929565</v>
          </cell>
          <cell r="J99">
            <v>14.333564949881513</v>
          </cell>
          <cell r="K99">
            <v>18.818285075314744</v>
          </cell>
          <cell r="L99">
            <v>12.140991153679417</v>
          </cell>
          <cell r="M99">
            <v>27.703960387981823</v>
          </cell>
          <cell r="N99">
            <v>30.901215195192002</v>
          </cell>
          <cell r="O99">
            <v>32.630887757039964</v>
          </cell>
          <cell r="P99">
            <v>33.827160944602156</v>
          </cell>
          <cell r="Q99">
            <v>34.660593476774189</v>
          </cell>
          <cell r="R99">
            <v>35.282449497748885</v>
          </cell>
          <cell r="S99">
            <v>35.721323494581725</v>
          </cell>
          <cell r="T99">
            <v>35.998127898943984</v>
          </cell>
          <cell r="U99">
            <v>36.114872118212269</v>
          </cell>
          <cell r="V99">
            <v>36.101569521627383</v>
          </cell>
          <cell r="Y99">
            <v>-339.81330646889876</v>
          </cell>
          <cell r="Z99">
            <v>-60.708406447294649</v>
          </cell>
          <cell r="AA99">
            <v>-201.91259017068123</v>
          </cell>
          <cell r="AB99">
            <v>-29.13850922925181</v>
          </cell>
          <cell r="AC99">
            <v>-59.725516669040765</v>
          </cell>
          <cell r="AD99">
            <v>-64.08986661494049</v>
          </cell>
          <cell r="AE99">
            <v>-30.707321510750546</v>
          </cell>
          <cell r="AF99">
            <v>-33.379477209940603</v>
          </cell>
          <cell r="AG99">
            <v>-27.735483526965304</v>
          </cell>
          <cell r="AH99">
            <v>-37.556589975158452</v>
          </cell>
          <cell r="AI99">
            <v>-33.08860521558374</v>
          </cell>
          <cell r="AJ99">
            <v>-39.983540520639316</v>
          </cell>
          <cell r="AK99">
            <v>-17.533562962762073</v>
          </cell>
          <cell r="AL99">
            <v>-19.19334255024992</v>
          </cell>
          <cell r="AM99">
            <v>-8.2917211213767139</v>
          </cell>
          <cell r="AN99">
            <v>-29.390654205607476</v>
          </cell>
          <cell r="AO99">
            <v>-0.52432984092207047</v>
          </cell>
          <cell r="AP99">
            <v>2.4378343046003974</v>
          </cell>
          <cell r="AQ99">
            <v>1.0591752707164526</v>
          </cell>
          <cell r="AR99">
            <v>5.4708185496052035</v>
          </cell>
          <cell r="AS99">
            <v>6.3312471274476829</v>
          </cell>
          <cell r="AT99">
            <v>-5.5507040563803152</v>
          </cell>
          <cell r="AU99">
            <v>16.243317872056796</v>
          </cell>
          <cell r="AV99">
            <v>-1.4479836662152976</v>
          </cell>
          <cell r="AW99">
            <v>11.04912816863083</v>
          </cell>
          <cell r="AX99">
            <v>40.353746749024708</v>
          </cell>
          <cell r="AY99">
            <v>14.79739437239169</v>
          </cell>
          <cell r="AZ99">
            <v>20.998520782515843</v>
          </cell>
          <cell r="BA99">
            <v>14.377823127254224</v>
          </cell>
          <cell r="BB99">
            <v>13.342844590157735</v>
          </cell>
          <cell r="BC99">
            <v>15.216671733036085</v>
          </cell>
          <cell r="BD99">
            <v>14.353990084223826</v>
          </cell>
          <cell r="BE99">
            <v>21.231465955452286</v>
          </cell>
          <cell r="BF99">
            <v>21.240932295179988</v>
          </cell>
          <cell r="BG99">
            <v>18.23436361582009</v>
          </cell>
          <cell r="BH99">
            <v>15.284255042527789</v>
          </cell>
          <cell r="BI99">
            <v>16.343009978762918</v>
          </cell>
          <cell r="BJ99">
            <v>18.949157366865641</v>
          </cell>
          <cell r="BK99">
            <v>-3.1291094744155701</v>
          </cell>
          <cell r="BL99">
            <v>17.041366918971597</v>
          </cell>
          <cell r="BM99">
            <v>24.898335407421367</v>
          </cell>
          <cell r="BN99">
            <v>27.369641712542592</v>
          </cell>
          <cell r="BO99">
            <v>28.804851587417584</v>
          </cell>
          <cell r="BP99">
            <v>29.347703335430353</v>
          </cell>
          <cell r="BQ99">
            <v>29.712582746408977</v>
          </cell>
          <cell r="BR99">
            <v>30.682726910927403</v>
          </cell>
          <cell r="BS99">
            <v>31.510140935820957</v>
          </cell>
          <cell r="BT99">
            <v>31.611969860395746</v>
          </cell>
        </row>
        <row r="101">
          <cell r="A101" t="str">
            <v>YoY Growth</v>
          </cell>
        </row>
        <row r="102">
          <cell r="A102" t="str">
            <v>Revenue</v>
          </cell>
          <cell r="D102">
            <v>-2.1358523546303743</v>
          </cell>
          <cell r="E102">
            <v>2.4486423010568803</v>
          </cell>
          <cell r="F102">
            <v>33.697393371635556</v>
          </cell>
          <cell r="G102">
            <v>39.437396405111855</v>
          </cell>
          <cell r="H102">
            <v>10.567070370468755</v>
          </cell>
          <cell r="I102">
            <v>9.3993247260389712</v>
          </cell>
          <cell r="J102">
            <v>8.196402393718504</v>
          </cell>
          <cell r="K102">
            <v>15.15102829627275</v>
          </cell>
          <cell r="L102">
            <v>23.026312469484921</v>
          </cell>
          <cell r="M102">
            <v>19.200924333060797</v>
          </cell>
          <cell r="N102">
            <v>10.861017227241554</v>
          </cell>
          <cell r="O102">
            <v>4.9838298140505888</v>
          </cell>
          <cell r="P102">
            <v>4.0775158868643135</v>
          </cell>
          <cell r="Q102">
            <v>3.7703031357940731</v>
          </cell>
          <cell r="R102">
            <v>3.2394345893399734</v>
          </cell>
          <cell r="S102">
            <v>2.7254136707683285</v>
          </cell>
          <cell r="T102">
            <v>2.2449277858301864</v>
          </cell>
          <cell r="U102">
            <v>1.7366063498776008</v>
          </cell>
          <cell r="V102">
            <v>1.304096732400728</v>
          </cell>
          <cell r="AC102">
            <v>-13.476336434174996</v>
          </cell>
          <cell r="AD102">
            <v>5.6953514595657229</v>
          </cell>
          <cell r="AE102">
            <v>6.8181038720519727</v>
          </cell>
          <cell r="AF102">
            <v>-6.3564886571790824</v>
          </cell>
          <cell r="AG102">
            <v>4.5359113626933123</v>
          </cell>
          <cell r="AH102">
            <v>-1.7058226172681601</v>
          </cell>
          <cell r="AI102">
            <v>-3.2069736828023276</v>
          </cell>
          <cell r="AJ102">
            <v>11.164210006801213</v>
          </cell>
          <cell r="AK102">
            <v>9.2208707810250488</v>
          </cell>
          <cell r="AL102">
            <v>9.1519049056253401</v>
          </cell>
          <cell r="AM102">
            <v>46.364737037057502</v>
          </cell>
          <cell r="AN102">
            <v>66.557478234504259</v>
          </cell>
          <cell r="AO102">
            <v>73.80000542431722</v>
          </cell>
          <cell r="AP102">
            <v>73.276082101456979</v>
          </cell>
          <cell r="AQ102">
            <v>25.957332688690315</v>
          </cell>
          <cell r="AR102">
            <v>9.7589597724502255</v>
          </cell>
          <cell r="AS102">
            <v>10.007521636408455</v>
          </cell>
          <cell r="AT102">
            <v>9.9919291235887506</v>
          </cell>
          <cell r="AU102">
            <v>10.231297249802807</v>
          </cell>
          <cell r="AV102">
            <v>11.984741415565425</v>
          </cell>
          <cell r="AW102">
            <v>8.4289905071012416</v>
          </cell>
          <cell r="AX102">
            <v>9.8500933254841438</v>
          </cell>
          <cell r="AY102">
            <v>11.339690139695602</v>
          </cell>
          <cell r="AZ102">
            <v>7.9902251184834183</v>
          </cell>
          <cell r="BA102">
            <v>6.9322629937412339</v>
          </cell>
          <cell r="BB102">
            <v>7.5254998374512105</v>
          </cell>
          <cell r="BC102">
            <v>8.5120263494824719</v>
          </cell>
          <cell r="BD102">
            <v>9.7101811306707475</v>
          </cell>
          <cell r="BE102">
            <v>11.196100597536439</v>
          </cell>
          <cell r="BF102">
            <v>11.002272308542672</v>
          </cell>
          <cell r="BG102">
            <v>15.585728600218429</v>
          </cell>
          <cell r="BH102">
            <v>22.248885535512187</v>
          </cell>
          <cell r="BI102">
            <v>23.823261463710899</v>
          </cell>
          <cell r="BJ102">
            <v>27.08831183754419</v>
          </cell>
          <cell r="BK102">
            <v>22.808490577064688</v>
          </cell>
          <cell r="BL102">
            <v>19.083532794425608</v>
          </cell>
          <cell r="BM102">
            <v>18.083741733202597</v>
          </cell>
          <cell r="BN102">
            <v>20.305501699281493</v>
          </cell>
          <cell r="BO102">
            <v>19.240657230463796</v>
          </cell>
          <cell r="BP102">
            <v>19.114890730264733</v>
          </cell>
          <cell r="BQ102">
            <v>16.3111175107171</v>
          </cell>
          <cell r="BR102">
            <v>11.224982514704829</v>
          </cell>
          <cell r="BS102">
            <v>9.178650976600867</v>
          </cell>
          <cell r="BT102">
            <v>7.4905529383970215</v>
          </cell>
        </row>
        <row r="103">
          <cell r="A103" t="str">
            <v>Rental &amp; Management</v>
          </cell>
          <cell r="D103">
            <v>13.72548659768842</v>
          </cell>
          <cell r="E103">
            <v>10.444620516155489</v>
          </cell>
          <cell r="F103">
            <v>35.846305349623478</v>
          </cell>
          <cell r="G103">
            <v>39.182715576674475</v>
          </cell>
          <cell r="H103">
            <v>10.193204684761547</v>
          </cell>
          <cell r="I103">
            <v>8.4896299023475166</v>
          </cell>
          <cell r="J103">
            <v>7.8462995342704067</v>
          </cell>
          <cell r="K103">
            <v>16.060284580621186</v>
          </cell>
          <cell r="L103">
            <v>22.998125395574533</v>
          </cell>
          <cell r="M103">
            <v>19.53085308764684</v>
          </cell>
          <cell r="N103">
            <v>11.015321442508853</v>
          </cell>
          <cell r="O103">
            <v>5.0472907022587998</v>
          </cell>
          <cell r="P103">
            <v>4.1204192924137351</v>
          </cell>
          <cell r="Q103">
            <v>3.8061176706521316</v>
          </cell>
          <cell r="R103">
            <v>3.2640729898952836</v>
          </cell>
          <cell r="S103">
            <v>2.7592928636350544</v>
          </cell>
          <cell r="T103">
            <v>2.2689539393321523</v>
          </cell>
          <cell r="U103">
            <v>1.7506458972184946</v>
          </cell>
          <cell r="V103">
            <v>1.3098499870868308</v>
          </cell>
          <cell r="AC103">
            <v>15.68786976406189</v>
          </cell>
          <cell r="AD103">
            <v>15.073058772733816</v>
          </cell>
          <cell r="AE103">
            <v>14.499855240301107</v>
          </cell>
          <cell r="AF103">
            <v>10.125027003672503</v>
          </cell>
          <cell r="AG103">
            <v>12.367713126954438</v>
          </cell>
          <cell r="AH103">
            <v>10.315569130308845</v>
          </cell>
          <cell r="AI103">
            <v>10.590228391901025</v>
          </cell>
          <cell r="AJ103">
            <v>8.696958179566705</v>
          </cell>
          <cell r="AK103">
            <v>10.325928446432053</v>
          </cell>
          <cell r="AL103">
            <v>10.157112425188132</v>
          </cell>
          <cell r="AM103">
            <v>49.069427137516719</v>
          </cell>
          <cell r="AN103">
            <v>70.766948841878488</v>
          </cell>
          <cell r="AO103">
            <v>74.180205981164306</v>
          </cell>
          <cell r="AP103">
            <v>73.430872817684929</v>
          </cell>
          <cell r="AQ103">
            <v>25.158843671752496</v>
          </cell>
          <cell r="AR103">
            <v>9.3942376284710463</v>
          </cell>
          <cell r="AS103">
            <v>9.4131708504738185</v>
          </cell>
          <cell r="AT103">
            <v>9.5593264807023672</v>
          </cell>
          <cell r="AU103">
            <v>9.8712328011691053</v>
          </cell>
          <cell r="AV103">
            <v>11.867937458677623</v>
          </cell>
          <cell r="AW103">
            <v>8.0785136505899793</v>
          </cell>
          <cell r="AX103">
            <v>9.5696671655619792</v>
          </cell>
          <cell r="AY103">
            <v>9.9750991988801765</v>
          </cell>
          <cell r="AZ103">
            <v>6.4134740978226912</v>
          </cell>
          <cell r="BA103">
            <v>5.8729942270103086</v>
          </cell>
          <cell r="BB103">
            <v>5.8302089539812085</v>
          </cell>
          <cell r="BC103">
            <v>9.1605898639945504</v>
          </cell>
          <cell r="BD103">
            <v>10.368412910555836</v>
          </cell>
          <cell r="BE103">
            <v>12.090254503759335</v>
          </cell>
          <cell r="BF103">
            <v>12.226153101037252</v>
          </cell>
          <cell r="BG103">
            <v>16.095697113988749</v>
          </cell>
          <cell r="BH103">
            <v>23.220748304790707</v>
          </cell>
          <cell r="BI103">
            <v>23.170984502656488</v>
          </cell>
          <cell r="BJ103">
            <v>27.899956405633542</v>
          </cell>
          <cell r="BK103">
            <v>23.005636017694322</v>
          </cell>
          <cell r="BL103">
            <v>18.675418257063047</v>
          </cell>
          <cell r="BM103">
            <v>18.638419303883481</v>
          </cell>
          <cell r="BN103">
            <v>20.313822642664125</v>
          </cell>
          <cell r="BO103">
            <v>19.625714184690302</v>
          </cell>
          <cell r="BP103">
            <v>19.487490246598771</v>
          </cell>
          <cell r="BQ103">
            <v>16.611621983386126</v>
          </cell>
          <cell r="BR103">
            <v>11.388864682835397</v>
          </cell>
          <cell r="BS103">
            <v>9.2915859135558776</v>
          </cell>
          <cell r="BT103">
            <v>7.5644883781893713</v>
          </cell>
        </row>
        <row r="104">
          <cell r="A104" t="str">
            <v>Network Development Svcs.</v>
          </cell>
          <cell r="D104">
            <v>-56.181918233094464</v>
          </cell>
          <cell r="E104">
            <v>-68.264524139112069</v>
          </cell>
          <cell r="F104">
            <v>-32.439967622987673</v>
          </cell>
          <cell r="G104">
            <v>55.19834930777423</v>
          </cell>
          <cell r="H104">
            <v>31.316207059227175</v>
          </cell>
          <cell r="I104">
            <v>51.765243802867488</v>
          </cell>
          <cell r="J104">
            <v>19.851944306957336</v>
          </cell>
          <cell r="K104">
            <v>-12.087478004812002</v>
          </cell>
          <cell r="L104">
            <v>24.141068583799672</v>
          </cell>
          <cell r="M104">
            <v>6.2728735459449902</v>
          </cell>
          <cell r="N104">
            <v>4.0604009999999802</v>
          </cell>
          <cell r="O104">
            <v>2.0000000000000018</v>
          </cell>
          <cell r="P104">
            <v>2.0000000000000018</v>
          </cell>
          <cell r="Q104">
            <v>2.0000000000000018</v>
          </cell>
          <cell r="R104">
            <v>2.0000000000000018</v>
          </cell>
          <cell r="S104">
            <v>1.0000000000000009</v>
          </cell>
          <cell r="T104">
            <v>1.0000000000000009</v>
          </cell>
          <cell r="U104">
            <v>1.0000000000000009</v>
          </cell>
          <cell r="V104">
            <v>1.0000000000000009</v>
          </cell>
          <cell r="AC104">
            <v>-74.997917187369822</v>
          </cell>
          <cell r="AD104">
            <v>-30.910703725606147</v>
          </cell>
          <cell r="AE104">
            <v>-22.03283857989452</v>
          </cell>
          <cell r="AF104">
            <v>-89.688363996313612</v>
          </cell>
          <cell r="AG104">
            <v>-71.909363545484837</v>
          </cell>
          <cell r="AH104">
            <v>-79.863904818967725</v>
          </cell>
          <cell r="AI104">
            <v>-79.306858198807575</v>
          </cell>
          <cell r="AJ104">
            <v>144.38927507447866</v>
          </cell>
          <cell r="AK104">
            <v>-33.926453143534985</v>
          </cell>
          <cell r="AL104">
            <v>-26.652497343251859</v>
          </cell>
          <cell r="AM104">
            <v>-33.361415332771685</v>
          </cell>
          <cell r="AN104">
            <v>-34.538805363673298</v>
          </cell>
          <cell r="AO104">
            <v>49.012567324955114</v>
          </cell>
          <cell r="AP104">
            <v>64.995653433787311</v>
          </cell>
          <cell r="AQ104">
            <v>78.609355246523393</v>
          </cell>
          <cell r="AR104">
            <v>32.609145458307466</v>
          </cell>
          <cell r="AS104">
            <v>55.301204819277096</v>
          </cell>
          <cell r="AT104">
            <v>34.316824727783633</v>
          </cell>
          <cell r="AU104">
            <v>26.868629671574173</v>
          </cell>
          <cell r="AV104">
            <v>18.021532220315194</v>
          </cell>
          <cell r="AW104">
            <v>27.24592707525213</v>
          </cell>
          <cell r="AX104">
            <v>22.711820083682021</v>
          </cell>
          <cell r="AY104">
            <v>65.945101539834866</v>
          </cell>
          <cell r="AZ104">
            <v>85.232681121099944</v>
          </cell>
          <cell r="BA104">
            <v>55.237166199243994</v>
          </cell>
          <cell r="BB104">
            <v>76.952583910495463</v>
          </cell>
          <cell r="BC104">
            <v>-8.687466379774067</v>
          </cell>
          <cell r="BD104">
            <v>-8.8145028905859633</v>
          </cell>
          <cell r="BE104">
            <v>-16.612991909512221</v>
          </cell>
          <cell r="BF104">
            <v>-18.973926657433616</v>
          </cell>
          <cell r="BG104">
            <v>-0.58173784977909593</v>
          </cell>
          <cell r="BH104">
            <v>-10.856293049467759</v>
          </cell>
          <cell r="BI104">
            <v>51.092690278824413</v>
          </cell>
          <cell r="BJ104">
            <v>-0.44589774078477307</v>
          </cell>
          <cell r="BK104">
            <v>15.509962225020368</v>
          </cell>
          <cell r="BL104">
            <v>38.299675125120757</v>
          </cell>
          <cell r="BM104">
            <v>-0.82007793017455644</v>
          </cell>
          <cell r="BN104">
            <v>19.942849320692744</v>
          </cell>
          <cell r="BO104">
            <v>4.0604010000000246</v>
          </cell>
          <cell r="BP104">
            <v>4.0604010000000024</v>
          </cell>
          <cell r="BQ104">
            <v>4.0604010000000024</v>
          </cell>
          <cell r="BR104">
            <v>4.0604010000000024</v>
          </cell>
          <cell r="BS104">
            <v>4.0604009999999802</v>
          </cell>
          <cell r="BT104">
            <v>4.0604009999999802</v>
          </cell>
        </row>
        <row r="105">
          <cell r="A105" t="str">
            <v>Gross Margin</v>
          </cell>
          <cell r="D105">
            <v>17.340961927478059</v>
          </cell>
          <cell r="E105">
            <v>15.927646052309976</v>
          </cell>
          <cell r="F105">
            <v>52.849536230404311</v>
          </cell>
          <cell r="G105">
            <v>41.412222885346758</v>
          </cell>
          <cell r="H105">
            <v>12.643040803082187</v>
          </cell>
          <cell r="I105">
            <v>9.7246784785755835</v>
          </cell>
          <cell r="J105">
            <v>8.6478699355044668</v>
          </cell>
          <cell r="K105">
            <v>15.523739828819053</v>
          </cell>
          <cell r="L105">
            <v>19.976697789829821</v>
          </cell>
          <cell r="M105">
            <v>19.295226390330072</v>
          </cell>
          <cell r="N105">
            <v>10.928059229219746</v>
          </cell>
          <cell r="O105">
            <v>5.0114239523466475</v>
          </cell>
          <cell r="P105">
            <v>4.233417649477861</v>
          </cell>
          <cell r="Q105">
            <v>3.9225891126541192</v>
          </cell>
          <cell r="R105">
            <v>3.3860041402536325</v>
          </cell>
          <cell r="S105">
            <v>2.8752219244239106</v>
          </cell>
          <cell r="T105">
            <v>2.3896500891942063</v>
          </cell>
          <cell r="U105">
            <v>1.8761255926760985</v>
          </cell>
          <cell r="V105">
            <v>1.4392410190284124</v>
          </cell>
          <cell r="AC105">
            <v>-5.0538837144270676</v>
          </cell>
          <cell r="AD105">
            <v>8.6294588747040759</v>
          </cell>
          <cell r="AE105">
            <v>4.8353963106249713</v>
          </cell>
          <cell r="AF105">
            <v>3.3829351264248584</v>
          </cell>
          <cell r="AG105">
            <v>2.3274161735700307</v>
          </cell>
          <cell r="AH105">
            <v>4.0177144254094905</v>
          </cell>
          <cell r="AI105">
            <v>4.7746029450314857</v>
          </cell>
          <cell r="AJ105">
            <v>1.5080796141800936</v>
          </cell>
          <cell r="AK105">
            <v>14.483626133591699</v>
          </cell>
          <cell r="AL105">
            <v>3.4692423050082639</v>
          </cell>
          <cell r="AM105">
            <v>38.196611920700853</v>
          </cell>
          <cell r="AN105">
            <v>15.252899701982292</v>
          </cell>
          <cell r="AO105">
            <v>7.5739692950843249</v>
          </cell>
          <cell r="AP105">
            <v>0.55653965502079494</v>
          </cell>
          <cell r="AQ105">
            <v>2.406653173750458</v>
          </cell>
          <cell r="AR105">
            <v>1.2667493544254815</v>
          </cell>
          <cell r="AS105">
            <v>6.4938559151875204</v>
          </cell>
          <cell r="AT105">
            <v>1.2029065843109299</v>
          </cell>
          <cell r="AU105">
            <v>3.8851483525286898</v>
          </cell>
          <cell r="AV105">
            <v>2.0745459240767814</v>
          </cell>
          <cell r="AW105">
            <v>2.4716084781020018</v>
          </cell>
          <cell r="AX105">
            <v>1.7927070974467325</v>
          </cell>
          <cell r="AY105">
            <v>2.8825617980556149</v>
          </cell>
          <cell r="AZ105">
            <v>1.4233279089489177</v>
          </cell>
          <cell r="BA105">
            <v>0.39224168544475846</v>
          </cell>
          <cell r="BB105">
            <v>3.1552578519678409</v>
          </cell>
          <cell r="BC105">
            <v>4.5906136508876667</v>
          </cell>
          <cell r="BD105">
            <v>1.478043938946878</v>
          </cell>
          <cell r="BE105">
            <v>2.2013686962140415</v>
          </cell>
          <cell r="BF105">
            <v>2.8086158090612634</v>
          </cell>
          <cell r="BG105">
            <v>9.115889282100305</v>
          </cell>
          <cell r="BH105">
            <v>6.2374951645835068</v>
          </cell>
          <cell r="BI105">
            <v>3.0552427434970353</v>
          </cell>
          <cell r="BJ105">
            <v>4.3969234873071752</v>
          </cell>
          <cell r="BK105">
            <v>3.4319680471940459</v>
          </cell>
          <cell r="BL105">
            <v>3.4848987134322251</v>
          </cell>
          <cell r="BM105">
            <v>3.2534544764878848</v>
          </cell>
          <cell r="BN105">
            <v>8.2112898138190449</v>
          </cell>
          <cell r="BO105">
            <v>4.6552860492719477</v>
          </cell>
          <cell r="BP105">
            <v>3.3632638117539004</v>
          </cell>
          <cell r="BQ105">
            <v>-0.52635939250864128</v>
          </cell>
          <cell r="BR105">
            <v>3.4296028606398736</v>
          </cell>
          <cell r="BS105">
            <v>2.7102643848493919</v>
          </cell>
          <cell r="BT105">
            <v>1.7497686238750458</v>
          </cell>
        </row>
        <row r="106">
          <cell r="A106" t="str">
            <v>Rental &amp; Management</v>
          </cell>
          <cell r="D106">
            <v>20.400163460329455</v>
          </cell>
          <cell r="E106">
            <v>16.733722001895483</v>
          </cell>
          <cell r="F106">
            <v>52.530920802487081</v>
          </cell>
          <cell r="G106">
            <v>41.03354785543879</v>
          </cell>
          <cell r="H106">
            <v>12.549411429557638</v>
          </cell>
          <cell r="I106">
            <v>9.3749336043047613</v>
          </cell>
          <cell r="J106">
            <v>8.4812556640098862</v>
          </cell>
          <cell r="K106">
            <v>15.906978192661342</v>
          </cell>
          <cell r="L106">
            <v>19.818072354473021</v>
          </cell>
          <cell r="M106">
            <v>19.697875090968843</v>
          </cell>
          <cell r="N106">
            <v>11.015321442508853</v>
          </cell>
          <cell r="O106">
            <v>5.0472907022588078</v>
          </cell>
          <cell r="P106">
            <v>4.2592465181369263</v>
          </cell>
          <cell r="Q106">
            <v>3.9443415290684474</v>
          </cell>
          <cell r="R106">
            <v>3.4013922358924891</v>
          </cell>
          <cell r="S106">
            <v>2.8957593880223453</v>
          </cell>
          <cell r="T106">
            <v>2.4045891567583006</v>
          </cell>
          <cell r="U106">
            <v>1.8854149646320353</v>
          </cell>
          <cell r="V106">
            <v>1.443857725164964</v>
          </cell>
          <cell r="AC106">
            <v>-4.3214441061330913</v>
          </cell>
          <cell r="AD106">
            <v>6.8704112017821197</v>
          </cell>
          <cell r="AE106">
            <v>4.3560102519381942</v>
          </cell>
          <cell r="AF106">
            <v>4.8365893179247248</v>
          </cell>
          <cell r="AG106">
            <v>2.7480485647351434</v>
          </cell>
          <cell r="AH106">
            <v>3.3746452223273486</v>
          </cell>
          <cell r="AI106">
            <v>5.3456212763231425</v>
          </cell>
          <cell r="AJ106">
            <v>1.6740799944399976</v>
          </cell>
          <cell r="AK106">
            <v>13.936002050668606</v>
          </cell>
          <cell r="AL106">
            <v>3.4984438861599765</v>
          </cell>
          <cell r="AM106">
            <v>38.406637200202852</v>
          </cell>
          <cell r="AN106">
            <v>14.970552050886059</v>
          </cell>
          <cell r="AO106">
            <v>7.7896826661688294</v>
          </cell>
          <cell r="AP106">
            <v>0.13644927719902122</v>
          </cell>
          <cell r="AQ106">
            <v>2.0085132951683566</v>
          </cell>
          <cell r="AR106">
            <v>1.8440707686454216</v>
          </cell>
          <cell r="AS106">
            <v>6.5000142125630944</v>
          </cell>
          <cell r="AT106">
            <v>0.99020848902648428</v>
          </cell>
          <cell r="AU106">
            <v>3.708304230457026</v>
          </cell>
          <cell r="AV106">
            <v>2.1908572302293052</v>
          </cell>
          <cell r="AW106">
            <v>2.2610926061167551</v>
          </cell>
          <cell r="AX106">
            <v>1.8599417527137934</v>
          </cell>
          <cell r="AY106">
            <v>2.8417427348995097</v>
          </cell>
          <cell r="AZ106">
            <v>1.0535417359494343</v>
          </cell>
          <cell r="BA106">
            <v>0.65456053286294569</v>
          </cell>
          <cell r="BB106">
            <v>2.8000013078007115</v>
          </cell>
          <cell r="BC106">
            <v>4.7630406365987001</v>
          </cell>
          <cell r="BD106">
            <v>1.6266086212078448</v>
          </cell>
          <cell r="BE106">
            <v>2.5806933428925665</v>
          </cell>
          <cell r="BF106">
            <v>2.1299149082395044</v>
          </cell>
          <cell r="BG106">
            <v>9.6156916865312656</v>
          </cell>
          <cell r="BH106">
            <v>6.7060148635255672</v>
          </cell>
          <cell r="BI106">
            <v>2.0928253996114146</v>
          </cell>
          <cell r="BJ106">
            <v>4.9458447549642361</v>
          </cell>
          <cell r="BK106">
            <v>3.4206352998459622</v>
          </cell>
          <cell r="BL106">
            <v>3.6065593558531854</v>
          </cell>
          <cell r="BM106">
            <v>3.2851094975450716</v>
          </cell>
          <cell r="BN106">
            <v>8.3103480126506764</v>
          </cell>
          <cell r="BO106">
            <v>4.7021080824822672</v>
          </cell>
          <cell r="BP106">
            <v>3.3924654389610174</v>
          </cell>
          <cell r="BQ106">
            <v>-0.54478340135609571</v>
          </cell>
          <cell r="BR106">
            <v>3.4593850366888503</v>
          </cell>
          <cell r="BS106">
            <v>2.7307305214895234</v>
          </cell>
          <cell r="BT106">
            <v>1.7585896859242314</v>
          </cell>
        </row>
        <row r="107">
          <cell r="A107" t="str">
            <v>Network Development Svcs.</v>
          </cell>
          <cell r="D107">
            <v>-57.005347593582897</v>
          </cell>
          <cell r="E107">
            <v>-38.930348258706509</v>
          </cell>
          <cell r="F107">
            <v>94.297352342159016</v>
          </cell>
          <cell r="G107">
            <v>80.083857442347977</v>
          </cell>
          <cell r="H107">
            <v>20.131382005654412</v>
          </cell>
          <cell r="I107">
            <v>35.931335225306235</v>
          </cell>
          <cell r="J107">
            <v>18.693349628271761</v>
          </cell>
          <cell r="K107">
            <v>-5.5944055944055737</v>
          </cell>
          <cell r="L107">
            <v>30.708470802090424</v>
          </cell>
          <cell r="M107">
            <v>-5.6762113544527821</v>
          </cell>
          <cell r="N107">
            <v>4.0604009999999988</v>
          </cell>
          <cell r="O107">
            <v>1.9999999999999987</v>
          </cell>
          <cell r="P107">
            <v>1.9999999999999911</v>
          </cell>
          <cell r="Q107">
            <v>2.0000000000000004</v>
          </cell>
          <cell r="R107">
            <v>2.0000000000000075</v>
          </cell>
          <cell r="S107">
            <v>1.0000000000000167</v>
          </cell>
          <cell r="T107">
            <v>0.99999999999998757</v>
          </cell>
          <cell r="U107">
            <v>1.0000000000000213</v>
          </cell>
          <cell r="V107">
            <v>0.99999999999999911</v>
          </cell>
          <cell r="AC107">
            <v>-71.21807465618852</v>
          </cell>
          <cell r="AD107">
            <v>536.8600682593833</v>
          </cell>
          <cell r="AE107">
            <v>28.992497320471621</v>
          </cell>
          <cell r="AF107">
            <v>-55.878687162442887</v>
          </cell>
          <cell r="AG107">
            <v>-38.41807909604519</v>
          </cell>
          <cell r="AH107">
            <v>107.95107033639144</v>
          </cell>
          <cell r="AI107">
            <v>-41.102941176470637</v>
          </cell>
          <cell r="AJ107">
            <v>-22.34706616729083</v>
          </cell>
          <cell r="AK107">
            <v>117.52411575562709</v>
          </cell>
          <cell r="AL107">
            <v>0.59127864005912834</v>
          </cell>
          <cell r="AM107">
            <v>16.899338721528284</v>
          </cell>
          <cell r="AN107">
            <v>49.151477058453793</v>
          </cell>
          <cell r="AO107">
            <v>-12.389380530973451</v>
          </cell>
          <cell r="AP107">
            <v>48.388648388648377</v>
          </cell>
          <cell r="AQ107">
            <v>32.998379254457042</v>
          </cell>
          <cell r="AR107">
            <v>-32.756519619790396</v>
          </cell>
          <cell r="AS107">
            <v>5.9441826748822253</v>
          </cell>
          <cell r="AT107">
            <v>20.287375983578496</v>
          </cell>
          <cell r="AU107">
            <v>17.207053469852092</v>
          </cell>
          <cell r="AV107">
            <v>-5.678233438485794</v>
          </cell>
          <cell r="AW107">
            <v>17.674298945201976</v>
          </cell>
          <cell r="AX107">
            <v>-2.4267599475295287</v>
          </cell>
          <cell r="AY107">
            <v>5.5568003585032537</v>
          </cell>
          <cell r="AZ107">
            <v>25.026533644661399</v>
          </cell>
          <cell r="BA107">
            <v>-13.140916808149395</v>
          </cell>
          <cell r="BB107">
            <v>24.394057857701316</v>
          </cell>
          <cell r="BC107">
            <v>-3.928346951602752</v>
          </cell>
          <cell r="BD107">
            <v>-6.5260058881256136</v>
          </cell>
          <cell r="BE107">
            <v>-20.017497812773406</v>
          </cell>
          <cell r="BF107">
            <v>53.795668343907231</v>
          </cell>
          <cell r="BG107">
            <v>-15.817923186344244</v>
          </cell>
          <cell r="BH107">
            <v>-24.197363974315643</v>
          </cell>
          <cell r="BI107">
            <v>91.061078912171169</v>
          </cell>
          <cell r="BJ107">
            <v>-22.424454556061107</v>
          </cell>
          <cell r="BK107">
            <v>4.1810798616333349</v>
          </cell>
          <cell r="BL107">
            <v>-4.4983542659159994</v>
          </cell>
          <cell r="BM107">
            <v>1.0000000000000016</v>
          </cell>
          <cell r="BN107">
            <v>0.99999999999999256</v>
          </cell>
          <cell r="BO107">
            <v>1.0000000000000124</v>
          </cell>
          <cell r="BP107">
            <v>0.99999999999999234</v>
          </cell>
          <cell r="BQ107">
            <v>1.0000000000000002</v>
          </cell>
          <cell r="BR107">
            <v>0.99999999999999789</v>
          </cell>
          <cell r="BS107">
            <v>0.99999999999999067</v>
          </cell>
          <cell r="BT107">
            <v>0.999999999999999</v>
          </cell>
        </row>
        <row r="108">
          <cell r="A108" t="str">
            <v xml:space="preserve">Corporate, General &amp; Administrative </v>
          </cell>
          <cell r="D108">
            <v>-27.780764475028221</v>
          </cell>
          <cell r="E108">
            <v>2.2369449510551753</v>
          </cell>
          <cell r="F108">
            <v>272.15305082277564</v>
          </cell>
          <cell r="G108">
            <v>17.216282050027875</v>
          </cell>
          <cell r="H108">
            <v>10.400427300495751</v>
          </cell>
          <cell r="I108">
            <v>-5.0769556408938543</v>
          </cell>
          <cell r="J108">
            <v>12.308868501529059</v>
          </cell>
          <cell r="K108">
            <v>25.661589516678028</v>
          </cell>
          <cell r="L108">
            <v>36.819187567094147</v>
          </cell>
          <cell r="M108">
            <v>14.075517930884619</v>
          </cell>
          <cell r="N108">
            <v>5.0262268468604043</v>
          </cell>
          <cell r="O108">
            <v>-0.84860517561887727</v>
          </cell>
          <cell r="P108">
            <v>5.3019572502391865</v>
          </cell>
          <cell r="Q108">
            <v>4.9769345676056398</v>
          </cell>
          <cell r="R108">
            <v>4.4260947570335274</v>
          </cell>
          <cell r="S108">
            <v>3.8927479170270507</v>
          </cell>
          <cell r="T108">
            <v>3.393747199154129</v>
          </cell>
          <cell r="U108">
            <v>2.8670130870984689</v>
          </cell>
          <cell r="V108">
            <v>2.4173285646249099</v>
          </cell>
          <cell r="AC108">
            <v>-45.057851239669411</v>
          </cell>
          <cell r="AD108">
            <v>-33.36841098249306</v>
          </cell>
          <cell r="AE108">
            <v>-18.959061407888168</v>
          </cell>
          <cell r="AF108">
            <v>1.8683139972879292</v>
          </cell>
          <cell r="AG108">
            <v>3.4747292418772613</v>
          </cell>
          <cell r="AH108">
            <v>-4.5082555635319483</v>
          </cell>
          <cell r="AI108">
            <v>5.6676420760819246</v>
          </cell>
          <cell r="AJ108">
            <v>4.673864812897488</v>
          </cell>
          <cell r="AK108">
            <v>203.88137810728307</v>
          </cell>
          <cell r="AL108">
            <v>209.71282513907684</v>
          </cell>
          <cell r="AM108">
            <v>344.62906281883107</v>
          </cell>
          <cell r="AN108">
            <v>326.93231595308748</v>
          </cell>
          <cell r="AO108">
            <v>28.214695752009213</v>
          </cell>
          <cell r="AP108">
            <v>32.351085004126404</v>
          </cell>
          <cell r="AQ108">
            <v>3.9172621779322014</v>
          </cell>
          <cell r="AR108">
            <v>12.715959488978633</v>
          </cell>
          <cell r="AS108">
            <v>20.808148645623458</v>
          </cell>
          <cell r="AT108">
            <v>11.935590360561953</v>
          </cell>
          <cell r="AU108">
            <v>6.5076811457051909</v>
          </cell>
          <cell r="AV108">
            <v>4.6041813483673977</v>
          </cell>
          <cell r="AW108">
            <v>0.82152012106608829</v>
          </cell>
          <cell r="AX108">
            <v>-7.6350886391191919</v>
          </cell>
          <cell r="AY108">
            <v>-6.7942186944674905</v>
          </cell>
          <cell r="AZ108">
            <v>-6.6191331686503379</v>
          </cell>
          <cell r="BA108">
            <v>1.9849900444172341</v>
          </cell>
          <cell r="BB108">
            <v>31.354879909178003</v>
          </cell>
          <cell r="BC108">
            <v>10.946933587543683</v>
          </cell>
          <cell r="BD108">
            <v>7.5903324715926201</v>
          </cell>
          <cell r="BE108">
            <v>20.03123779773528</v>
          </cell>
          <cell r="BF108">
            <v>8.9912221471978313</v>
          </cell>
          <cell r="BG108">
            <v>25.854217385078048</v>
          </cell>
          <cell r="BH108">
            <v>47.956190103657327</v>
          </cell>
          <cell r="BI108">
            <v>34.562834692958312</v>
          </cell>
          <cell r="BJ108">
            <v>50.25524111612232</v>
          </cell>
          <cell r="BK108">
            <v>50.423285239634062</v>
          </cell>
          <cell r="BL108">
            <v>16.994404425029931</v>
          </cell>
          <cell r="BM108">
            <v>17.385492062774198</v>
          </cell>
          <cell r="BN108">
            <v>12.574007144509469</v>
          </cell>
          <cell r="BO108">
            <v>8.0367095388027998</v>
          </cell>
          <cell r="BP108">
            <v>19.114890730264733</v>
          </cell>
          <cell r="BQ108">
            <v>10.189479746995156</v>
          </cell>
          <cell r="BR108">
            <v>5.3710360665624624</v>
          </cell>
          <cell r="BS108">
            <v>3.4324061883586943</v>
          </cell>
          <cell r="BT108">
            <v>1.833155415323473</v>
          </cell>
        </row>
        <row r="109">
          <cell r="A109" t="str">
            <v>TV Azteca</v>
          </cell>
          <cell r="D109">
            <v>2.037595063854214</v>
          </cell>
          <cell r="E109">
            <v>0.66094782730978796</v>
          </cell>
          <cell r="F109">
            <v>-0.58675607711650146</v>
          </cell>
          <cell r="G109">
            <v>-0.16863406408095249</v>
          </cell>
          <cell r="H109">
            <v>-7.0382882882857878E-3</v>
          </cell>
          <cell r="I109">
            <v>0.3237840501161271</v>
          </cell>
          <cell r="J109">
            <v>-0.30169087209709344</v>
          </cell>
          <cell r="K109">
            <v>1.4074595355384467E-2</v>
          </cell>
          <cell r="L109">
            <v>-0.89361103292990851</v>
          </cell>
          <cell r="M109">
            <v>-0.66027689030884185</v>
          </cell>
          <cell r="N109">
            <v>0</v>
          </cell>
          <cell r="O109">
            <v>0</v>
          </cell>
          <cell r="P109">
            <v>0</v>
          </cell>
          <cell r="Q109">
            <v>0</v>
          </cell>
          <cell r="R109">
            <v>0</v>
          </cell>
          <cell r="S109">
            <v>0</v>
          </cell>
          <cell r="T109">
            <v>0</v>
          </cell>
          <cell r="U109">
            <v>0</v>
          </cell>
          <cell r="V109">
            <v>0</v>
          </cell>
          <cell r="AC109">
            <v>2.1289005540974015</v>
          </cell>
          <cell r="AD109">
            <v>1.6421780466724378</v>
          </cell>
          <cell r="AE109">
            <v>0.25611838360843908</v>
          </cell>
          <cell r="AF109">
            <v>4.1146424517593649</v>
          </cell>
          <cell r="AG109">
            <v>1.0850942318675116</v>
          </cell>
          <cell r="AH109">
            <v>3.5147392290249435</v>
          </cell>
          <cell r="AI109">
            <v>1.731478853250068</v>
          </cell>
          <cell r="AJ109">
            <v>-3.5159443990188111</v>
          </cell>
          <cell r="AK109">
            <v>-1.1864406779660941</v>
          </cell>
          <cell r="AL109">
            <v>-1.8619934282584905</v>
          </cell>
          <cell r="AM109">
            <v>0.69754464285713969</v>
          </cell>
          <cell r="AN109">
            <v>2.8248587570622874E-2</v>
          </cell>
          <cell r="AO109">
            <v>0</v>
          </cell>
          <cell r="AP109">
            <v>0</v>
          </cell>
          <cell r="AQ109">
            <v>-0.69271266278747579</v>
          </cell>
          <cell r="AR109">
            <v>2.8240609997176591E-2</v>
          </cell>
          <cell r="AS109">
            <v>0</v>
          </cell>
          <cell r="AT109">
            <v>0</v>
          </cell>
          <cell r="AU109">
            <v>0</v>
          </cell>
          <cell r="AV109">
            <v>-2.8232636928249288E-2</v>
          </cell>
          <cell r="AW109">
            <v>1.2292738707832873</v>
          </cell>
          <cell r="AX109">
            <v>0</v>
          </cell>
          <cell r="AY109">
            <v>5.580357142855874E-2</v>
          </cell>
          <cell r="AZ109">
            <v>2.8240609997132182E-2</v>
          </cell>
          <cell r="BA109">
            <v>-1.1861056198813835</v>
          </cell>
          <cell r="BB109">
            <v>2.790178571427937E-2</v>
          </cell>
          <cell r="BC109">
            <v>-2.7886224205242449E-2</v>
          </cell>
          <cell r="BD109">
            <v>-2.8232636928282595E-2</v>
          </cell>
          <cell r="BE109">
            <v>0</v>
          </cell>
          <cell r="BF109">
            <v>0</v>
          </cell>
          <cell r="BG109">
            <v>0</v>
          </cell>
          <cell r="BH109">
            <v>5.6481219994353182E-2</v>
          </cell>
          <cell r="BI109">
            <v>0</v>
          </cell>
          <cell r="BJ109">
            <v>0.13947001394700731</v>
          </cell>
          <cell r="BK109">
            <v>-2.4267782426778184</v>
          </cell>
          <cell r="BL109">
            <v>-1.2701100762065987</v>
          </cell>
          <cell r="BM109">
            <v>-2.8579594169764189E-2</v>
          </cell>
          <cell r="BN109">
            <v>-2.5626740947075066</v>
          </cell>
          <cell r="BO109">
            <v>0</v>
          </cell>
          <cell r="BP109">
            <v>0</v>
          </cell>
          <cell r="BQ109">
            <v>0</v>
          </cell>
          <cell r="BR109">
            <v>0</v>
          </cell>
          <cell r="BS109">
            <v>0</v>
          </cell>
          <cell r="BT109">
            <v>0</v>
          </cell>
        </row>
        <row r="110">
          <cell r="A110" t="str">
            <v>EBITDA</v>
          </cell>
          <cell r="D110">
            <v>22.099329103154464</v>
          </cell>
          <cell r="E110">
            <v>16.328457446808532</v>
          </cell>
          <cell r="F110">
            <v>37.328501697550244</v>
          </cell>
          <cell r="G110">
            <v>44.544740189255982</v>
          </cell>
          <cell r="H110">
            <v>12.74552712747945</v>
          </cell>
          <cell r="I110">
            <v>11.588474759805711</v>
          </cell>
          <cell r="J110">
            <v>8.1102483306388251</v>
          </cell>
          <cell r="K110">
            <v>14.126468658043478</v>
          </cell>
          <cell r="L110">
            <v>17.542031242457902</v>
          </cell>
          <cell r="M110">
            <v>19.916690156971086</v>
          </cell>
          <cell r="N110">
            <v>11.706860583077749</v>
          </cell>
          <cell r="O110">
            <v>5.7805597907842232</v>
          </cell>
          <cell r="P110">
            <v>4.0699242739645092</v>
          </cell>
          <cell r="Q110">
            <v>3.7622090980348633</v>
          </cell>
          <cell r="R110">
            <v>3.2298431770040326</v>
          </cell>
          <cell r="S110">
            <v>2.7239436899501257</v>
          </cell>
          <cell r="T110">
            <v>2.2417076435236494</v>
          </cell>
          <cell r="U110">
            <v>1.7314771342176183</v>
          </cell>
          <cell r="V110">
            <v>1.2973048003324994</v>
          </cell>
          <cell r="AC110">
            <v>28.162165417155926</v>
          </cell>
          <cell r="AD110">
            <v>26.88000878252279</v>
          </cell>
          <cell r="AE110">
            <v>23.838899254915425</v>
          </cell>
          <cell r="AF110">
            <v>12.216101930673794</v>
          </cell>
          <cell r="AG110">
            <v>21.004780754818952</v>
          </cell>
          <cell r="AH110">
            <v>16.40493186242702</v>
          </cell>
          <cell r="AI110">
            <v>15.444221229141863</v>
          </cell>
          <cell r="AJ110">
            <v>13.166010531221817</v>
          </cell>
          <cell r="AK110">
            <v>13.859146726204919</v>
          </cell>
          <cell r="AL110">
            <v>13.684171405210543</v>
          </cell>
          <cell r="AM110">
            <v>47.124263086866968</v>
          </cell>
          <cell r="AN110">
            <v>71.145285664213105</v>
          </cell>
          <cell r="AO110">
            <v>83.723527606315869</v>
          </cell>
          <cell r="AP110">
            <v>76.899375592533261</v>
          </cell>
          <cell r="AQ110">
            <v>31.427985202976316</v>
          </cell>
          <cell r="AR110">
            <v>11.87593120715167</v>
          </cell>
          <cell r="AS110">
            <v>9.6601745764363312</v>
          </cell>
          <cell r="AT110">
            <v>11.550633642415908</v>
          </cell>
          <cell r="AU110">
            <v>14.160559810457851</v>
          </cell>
          <cell r="AV110">
            <v>15.561586409526495</v>
          </cell>
          <cell r="AW110">
            <v>11.092209385976105</v>
          </cell>
          <cell r="AX110">
            <v>12.757612405155584</v>
          </cell>
          <cell r="AY110">
            <v>11.623389159708509</v>
          </cell>
          <cell r="AZ110">
            <v>10.900601562716572</v>
          </cell>
          <cell r="BA110">
            <v>7.1068329511431383</v>
          </cell>
          <cell r="BB110">
            <v>5.5441485981685856</v>
          </cell>
          <cell r="BC110">
            <v>9.6041105910415592</v>
          </cell>
          <cell r="BD110">
            <v>10.065206367798218</v>
          </cell>
          <cell r="BE110">
            <v>10.784233530953591</v>
          </cell>
          <cell r="BF110">
            <v>11.701613043553927</v>
          </cell>
          <cell r="BG110">
            <v>15.060440987438417</v>
          </cell>
          <cell r="BH110">
            <v>18.514372850561301</v>
          </cell>
          <cell r="BI110">
            <v>21.0560445839834</v>
          </cell>
          <cell r="BJ110">
            <v>21.231022310565816</v>
          </cell>
          <cell r="BK110">
            <v>13.965176346887942</v>
          </cell>
          <cell r="BL110">
            <v>14.731066216680411</v>
          </cell>
          <cell r="BM110">
            <v>14.949088490977536</v>
          </cell>
          <cell r="BN110">
            <v>20.483331173364625</v>
          </cell>
          <cell r="BO110">
            <v>22.973711473066018</v>
          </cell>
          <cell r="BP110">
            <v>20.950831513012137</v>
          </cell>
          <cell r="BQ110">
            <v>17.219319711409842</v>
          </cell>
          <cell r="BR110">
            <v>12.074573429235148</v>
          </cell>
          <cell r="BS110">
            <v>10.005655533768664</v>
          </cell>
          <cell r="BT110">
            <v>8.2990954708906948</v>
          </cell>
        </row>
        <row r="111">
          <cell r="A111" t="str">
            <v>Depreciation</v>
          </cell>
          <cell r="D111">
            <v>5.7865079112412898</v>
          </cell>
          <cell r="E111">
            <v>-0.85378258488171266</v>
          </cell>
          <cell r="F111">
            <v>24.830853940974194</v>
          </cell>
          <cell r="G111">
            <v>28.400210089141975</v>
          </cell>
          <cell r="H111">
            <v>-0.97017144177360404</v>
          </cell>
          <cell r="I111">
            <v>-22.487990698528293</v>
          </cell>
          <cell r="J111">
            <v>2.2912081947638052E-2</v>
          </cell>
          <cell r="K111">
            <v>0.11120329748516089</v>
          </cell>
          <cell r="L111">
            <v>0.18890365694577715</v>
          </cell>
          <cell r="M111">
            <v>8.5794241126118775E-2</v>
          </cell>
          <cell r="N111">
            <v>2.0378335521921587E-2</v>
          </cell>
          <cell r="O111">
            <v>-4.6776878591113569E-2</v>
          </cell>
          <cell r="P111">
            <v>-1.4072629694584782E-3</v>
          </cell>
          <cell r="Q111">
            <v>1.0711377166189751E-2</v>
          </cell>
          <cell r="R111">
            <v>1.5755347638282569E-2</v>
          </cell>
          <cell r="S111">
            <v>2.0105999095612059E-2</v>
          </cell>
          <cell r="T111">
            <v>2.3786460576741275E-2</v>
          </cell>
          <cell r="U111">
            <v>2.6837982795344661E-2</v>
          </cell>
          <cell r="V111">
            <v>2.9313670732576735E-2</v>
          </cell>
          <cell r="AC111">
            <v>11.960097492108734</v>
          </cell>
          <cell r="AD111">
            <v>5.4846874843366145</v>
          </cell>
          <cell r="AE111">
            <v>4.9810035705663447</v>
          </cell>
          <cell r="AF111">
            <v>1.1164373354527912</v>
          </cell>
          <cell r="AG111">
            <v>-3.2332893187252409</v>
          </cell>
          <cell r="AH111">
            <v>1.524096886470816</v>
          </cell>
          <cell r="AI111">
            <v>-1.2708941042617328</v>
          </cell>
          <cell r="AJ111">
            <v>-0.43231028087886703</v>
          </cell>
          <cell r="AK111">
            <v>0.76956174319258164</v>
          </cell>
          <cell r="AL111">
            <v>-0.79565665075352898</v>
          </cell>
          <cell r="AM111">
            <v>43.132807806887421</v>
          </cell>
          <cell r="AN111">
            <v>57.574225061982709</v>
          </cell>
          <cell r="AO111">
            <v>62.570909223993844</v>
          </cell>
          <cell r="AP111">
            <v>56.646301188903571</v>
          </cell>
          <cell r="AQ111">
            <v>12.50942168014253</v>
          </cell>
          <cell r="AR111">
            <v>2.2505420870940318</v>
          </cell>
          <cell r="AS111">
            <v>-2.3014985629704166</v>
          </cell>
          <cell r="AT111">
            <v>-0.88396292475774185</v>
          </cell>
          <cell r="AU111">
            <v>9.6683085027837734E-2</v>
          </cell>
          <cell r="AV111">
            <v>-0.77245793204823165</v>
          </cell>
          <cell r="AW111">
            <v>-25.440496489853594</v>
          </cell>
          <cell r="AX111">
            <v>-24.263694857828721</v>
          </cell>
          <cell r="AY111">
            <v>-20.607070061756573</v>
          </cell>
          <cell r="AZ111">
            <v>-19.626889278081649</v>
          </cell>
          <cell r="BA111">
            <v>2.8803362452612502</v>
          </cell>
          <cell r="BB111">
            <v>2.7744064515481837</v>
          </cell>
          <cell r="BC111">
            <v>1.1054804625008519</v>
          </cell>
          <cell r="BD111">
            <v>2.4679862537677399</v>
          </cell>
          <cell r="BE111">
            <v>10.981495574157885</v>
          </cell>
          <cell r="BF111">
            <v>7.7491387134868361</v>
          </cell>
          <cell r="BG111">
            <v>9.3232142349563674</v>
          </cell>
          <cell r="BH111">
            <v>16.263056817649545</v>
          </cell>
          <cell r="BI111">
            <v>18.402129291288858</v>
          </cell>
          <cell r="BJ111">
            <v>25.502024401510816</v>
          </cell>
          <cell r="BK111">
            <v>23.1663243285406</v>
          </cell>
          <cell r="BL111">
            <v>9.4692609081020294</v>
          </cell>
          <cell r="BM111">
            <v>12.563515361271339</v>
          </cell>
          <cell r="BN111">
            <v>7.0555082872560737</v>
          </cell>
          <cell r="BO111">
            <v>4.8436873427060378</v>
          </cell>
          <cell r="BP111">
            <v>10.192969901286997</v>
          </cell>
          <cell r="BQ111">
            <v>1.858498156898114</v>
          </cell>
          <cell r="BR111">
            <v>1.9807419952314387</v>
          </cell>
          <cell r="BS111">
            <v>2.098290215949028</v>
          </cell>
          <cell r="BT111">
            <v>2.2111874750238014</v>
          </cell>
        </row>
        <row r="112">
          <cell r="A112" t="str">
            <v>Operating Income</v>
          </cell>
          <cell r="D112">
            <v>-98.110208715395984</v>
          </cell>
          <cell r="E112">
            <v>-3323.3826247688635</v>
          </cell>
          <cell r="F112">
            <v>93.700719671989717</v>
          </cell>
          <cell r="G112">
            <v>110.11960270586343</v>
          </cell>
          <cell r="H112">
            <v>33.272866245627796</v>
          </cell>
          <cell r="I112">
            <v>60.36293189344628</v>
          </cell>
          <cell r="J112">
            <v>10.7958085154775</v>
          </cell>
          <cell r="K112">
            <v>16.678120602506752</v>
          </cell>
          <cell r="L112">
            <v>19.677572417839539</v>
          </cell>
          <cell r="M112">
            <v>31.999030248145878</v>
          </cell>
          <cell r="N112">
            <v>16.646932264724178</v>
          </cell>
          <cell r="O112">
            <v>10.450924482476731</v>
          </cell>
          <cell r="P112">
            <v>5.7737066516172941</v>
          </cell>
          <cell r="Q112">
            <v>4.8383892285354113</v>
          </cell>
          <cell r="R112">
            <v>3.9028344403220006</v>
          </cell>
          <cell r="S112">
            <v>3.0573403781036346</v>
          </cell>
          <cell r="T112">
            <v>2.2805756001879507</v>
          </cell>
          <cell r="U112">
            <v>1.4896132708927423</v>
          </cell>
          <cell r="V112">
            <v>0.81519511124739097</v>
          </cell>
          <cell r="AC112" t="str">
            <v>NM</v>
          </cell>
          <cell r="AD112" t="str">
            <v>NM</v>
          </cell>
          <cell r="AE112" t="str">
            <v>NM</v>
          </cell>
          <cell r="AF112" t="str">
            <v>NM</v>
          </cell>
          <cell r="AG112" t="str">
            <v>NM</v>
          </cell>
          <cell r="AH112" t="str">
            <v>NM</v>
          </cell>
          <cell r="AI112">
            <v>455.13771186440329</v>
          </cell>
          <cell r="AJ112">
            <v>523.34981099156903</v>
          </cell>
          <cell r="AK112">
            <v>104.31907709622945</v>
          </cell>
          <cell r="AL112">
            <v>134.03607580485556</v>
          </cell>
          <cell r="AM112">
            <v>77.335177941036306</v>
          </cell>
          <cell r="AN112">
            <v>77.94001026263004</v>
          </cell>
          <cell r="AO112">
            <v>133.10955036838138</v>
          </cell>
          <cell r="AP112">
            <v>130.1528455284552</v>
          </cell>
          <cell r="AQ112">
            <v>93.707798671078521</v>
          </cell>
          <cell r="AR112">
            <v>92.457727093983394</v>
          </cell>
          <cell r="AS112">
            <v>27.176593953536397</v>
          </cell>
          <cell r="AT112">
            <v>31.826145933419991</v>
          </cell>
          <cell r="AU112">
            <v>36.779757523573984</v>
          </cell>
          <cell r="AV112">
            <v>36.850421587457305</v>
          </cell>
          <cell r="AW112">
            <v>68.222041574730127</v>
          </cell>
          <cell r="AX112">
            <v>65.912793688904188</v>
          </cell>
          <cell r="AY112">
            <v>56.732087195784445</v>
          </cell>
          <cell r="AZ112">
            <v>52.032528417574085</v>
          </cell>
          <cell r="BA112">
            <v>3.7478599436681748</v>
          </cell>
          <cell r="BB112">
            <v>7.5308482460106907</v>
          </cell>
          <cell r="BC112">
            <v>16.007307261266913</v>
          </cell>
          <cell r="BD112">
            <v>15.521700132904748</v>
          </cell>
          <cell r="BE112">
            <v>19.006554213660731</v>
          </cell>
          <cell r="BF112">
            <v>13.379033566240306</v>
          </cell>
          <cell r="BG112">
            <v>19.15097974614277</v>
          </cell>
          <cell r="BH112">
            <v>15.297338041020382</v>
          </cell>
          <cell r="BI112">
            <v>22.058272621037812</v>
          </cell>
          <cell r="BJ112">
            <v>19.644863180652415</v>
          </cell>
          <cell r="BK112">
            <v>6.9985752582344629</v>
          </cell>
          <cell r="BL112">
            <v>30.912917740082378</v>
          </cell>
          <cell r="BM112">
            <v>23.174342615046719</v>
          </cell>
          <cell r="BN112">
            <v>34.77119704204803</v>
          </cell>
          <cell r="BO112">
            <v>43.068484624587235</v>
          </cell>
          <cell r="BP112">
            <v>27.39307256121841</v>
          </cell>
          <cell r="BQ112">
            <v>26.36553536298587</v>
          </cell>
          <cell r="BR112">
            <v>17.308529142285867</v>
          </cell>
          <cell r="BS112">
            <v>13.762182953911539</v>
          </cell>
          <cell r="BT112">
            <v>11.128586151074238</v>
          </cell>
        </row>
        <row r="113">
          <cell r="A113" t="str">
            <v>Net Income, Continuing</v>
          </cell>
          <cell r="D113" t="str">
            <v>NM</v>
          </cell>
          <cell r="E113" t="str">
            <v>NM</v>
          </cell>
          <cell r="F113" t="str">
            <v>NM</v>
          </cell>
          <cell r="G113" t="str">
            <v>NM</v>
          </cell>
          <cell r="H113">
            <v>219.51789025478939</v>
          </cell>
          <cell r="I113">
            <v>154.09242342826479</v>
          </cell>
          <cell r="J113">
            <v>1.0637262987824414</v>
          </cell>
          <cell r="K113">
            <v>56.341965615949817</v>
          </cell>
          <cell r="L113">
            <v>-20.620751902889602</v>
          </cell>
          <cell r="M113">
            <v>171.99901920142136</v>
          </cell>
          <cell r="N113">
            <v>23.655250084135581</v>
          </cell>
          <cell r="O113">
            <v>10.860221687964122</v>
          </cell>
          <cell r="P113">
            <v>7.8930768550660835</v>
          </cell>
          <cell r="Q113">
            <v>6.326992615243987</v>
          </cell>
          <cell r="R113">
            <v>5.0916840046428158</v>
          </cell>
          <cell r="S113">
            <v>4.0032023026736363</v>
          </cell>
          <cell r="T113">
            <v>3.0372233551450023</v>
          </cell>
          <cell r="U113">
            <v>2.0665446375758956</v>
          </cell>
          <cell r="V113">
            <v>1.2667822563362519</v>
          </cell>
          <cell r="AC113" t="str">
            <v>NM</v>
          </cell>
          <cell r="AD113" t="str">
            <v>NM</v>
          </cell>
          <cell r="AE113" t="str">
            <v>NM</v>
          </cell>
          <cell r="AF113" t="str">
            <v>NM</v>
          </cell>
          <cell r="AG113" t="str">
            <v>NM</v>
          </cell>
          <cell r="AH113" t="str">
            <v>NM</v>
          </cell>
          <cell r="AI113" t="str">
            <v>NM</v>
          </cell>
          <cell r="AJ113" t="str">
            <v>NM</v>
          </cell>
          <cell r="AK113" t="str">
            <v>NM</v>
          </cell>
          <cell r="AL113" t="str">
            <v>NM</v>
          </cell>
          <cell r="AM113" t="str">
            <v>NM</v>
          </cell>
          <cell r="AN113" t="str">
            <v>NM</v>
          </cell>
          <cell r="AO113" t="str">
            <v>NM</v>
          </cell>
          <cell r="AP113" t="str">
            <v>NM</v>
          </cell>
          <cell r="AQ113" t="str">
            <v>NM</v>
          </cell>
          <cell r="AR113" t="str">
            <v>NM</v>
          </cell>
          <cell r="AS113" t="str">
            <v>NM</v>
          </cell>
          <cell r="AT113">
            <v>46.608632571635724</v>
          </cell>
          <cell r="AU113">
            <v>1492.2527763088165</v>
          </cell>
          <cell r="AV113">
            <v>-102.51207205252015</v>
          </cell>
          <cell r="AW113">
            <v>99.579554043840517</v>
          </cell>
          <cell r="AX113">
            <v>318.77783275606208</v>
          </cell>
          <cell r="AY113">
            <v>0.65095733904589892</v>
          </cell>
          <cell r="AZ113" t="str">
            <v>NM</v>
          </cell>
          <cell r="BA113">
            <v>31.817643856368385</v>
          </cell>
          <cell r="BB113">
            <v>1.2740985801775517</v>
          </cell>
          <cell r="BC113">
            <v>11.501212651168746</v>
          </cell>
          <cell r="BD113">
            <v>-22.398966108655216</v>
          </cell>
          <cell r="BE113">
            <v>73.190396667205391</v>
          </cell>
          <cell r="BF113">
            <v>94.106323403593422</v>
          </cell>
          <cell r="BG113">
            <v>38.498416738184901</v>
          </cell>
          <cell r="BH113">
            <v>30.279070491369598</v>
          </cell>
          <cell r="BI113">
            <v>-4.6519367949569119</v>
          </cell>
          <cell r="BJ113">
            <v>13.369396443776637</v>
          </cell>
          <cell r="BK113">
            <v>-121.07478632478632</v>
          </cell>
          <cell r="BL113">
            <v>32.773639978567793</v>
          </cell>
          <cell r="BM113">
            <v>79.898844316752232</v>
          </cell>
          <cell r="BN113">
            <v>73.765957705045111</v>
          </cell>
          <cell r="BO113" t="str">
            <v>NM</v>
          </cell>
          <cell r="BP113">
            <v>105.13310303132486</v>
          </cell>
          <cell r="BQ113">
            <v>38.800592361463224</v>
          </cell>
          <cell r="BR113">
            <v>24.688726290759021</v>
          </cell>
          <cell r="BS113">
            <v>19.432473693363804</v>
          </cell>
          <cell r="BT113">
            <v>15.783783178141242</v>
          </cell>
        </row>
        <row r="114">
          <cell r="A114" t="str">
            <v>Net Income</v>
          </cell>
          <cell r="D114" t="str">
            <v>NM</v>
          </cell>
          <cell r="E114" t="str">
            <v>NM</v>
          </cell>
          <cell r="F114" t="str">
            <v>NM</v>
          </cell>
          <cell r="G114" t="str">
            <v>NM</v>
          </cell>
          <cell r="H114">
            <v>100.41743313994544</v>
          </cell>
          <cell r="I114">
            <v>513.22236735270451</v>
          </cell>
          <cell r="J114">
            <v>-28.866917087632871</v>
          </cell>
          <cell r="K114">
            <v>51.179757776365896</v>
          </cell>
          <cell r="L114">
            <v>-20.627125937147373</v>
          </cell>
          <cell r="M114">
            <v>171.99901920142136</v>
          </cell>
          <cell r="N114">
            <v>23.655250084135581</v>
          </cell>
          <cell r="O114">
            <v>10.860221687964122</v>
          </cell>
          <cell r="P114">
            <v>7.8930768550660835</v>
          </cell>
          <cell r="Q114">
            <v>6.326992615243987</v>
          </cell>
          <cell r="R114">
            <v>5.0916840046428158</v>
          </cell>
          <cell r="S114">
            <v>4.0032023026736363</v>
          </cell>
          <cell r="T114">
            <v>3.0372233551450023</v>
          </cell>
          <cell r="U114">
            <v>2.0665446375758956</v>
          </cell>
          <cell r="V114">
            <v>1.2667822563362519</v>
          </cell>
          <cell r="AC114" t="str">
            <v>NM</v>
          </cell>
          <cell r="AD114" t="str">
            <v>NM</v>
          </cell>
          <cell r="AE114" t="str">
            <v>NM</v>
          </cell>
          <cell r="AF114" t="str">
            <v>NM</v>
          </cell>
          <cell r="AG114" t="str">
            <v>NM</v>
          </cell>
          <cell r="AH114" t="str">
            <v>NM</v>
          </cell>
          <cell r="AI114" t="str">
            <v>NM</v>
          </cell>
          <cell r="AJ114" t="str">
            <v>NM</v>
          </cell>
          <cell r="AK114" t="str">
            <v>NM</v>
          </cell>
          <cell r="AL114" t="str">
            <v>NM</v>
          </cell>
          <cell r="AM114" t="str">
            <v>NM</v>
          </cell>
          <cell r="AN114" t="str">
            <v>NM</v>
          </cell>
          <cell r="AO114" t="str">
            <v>NM</v>
          </cell>
          <cell r="AP114" t="str">
            <v>NM</v>
          </cell>
          <cell r="AQ114" t="str">
            <v>NM</v>
          </cell>
          <cell r="AR114" t="str">
            <v>NM</v>
          </cell>
          <cell r="AS114" t="str">
            <v>NM</v>
          </cell>
          <cell r="AT114">
            <v>-350.44058408862077</v>
          </cell>
          <cell r="AU114">
            <v>1590.4869762174237</v>
          </cell>
          <cell r="AV114">
            <v>-129.63945430922473</v>
          </cell>
          <cell r="AW114">
            <v>89.227460118301465</v>
          </cell>
          <cell r="AX114" t="str">
            <v>NM</v>
          </cell>
          <cell r="AY114">
            <v>1.4286192804985109</v>
          </cell>
          <cell r="AZ114" t="str">
            <v>NM</v>
          </cell>
          <cell r="BA114">
            <v>39.147011461589344</v>
          </cell>
          <cell r="BB114">
            <v>-64.447017950202678</v>
          </cell>
          <cell r="BC114">
            <v>11.586664685193249</v>
          </cell>
          <cell r="BD114">
            <v>-25.005248303048678</v>
          </cell>
          <cell r="BE114">
            <v>64.201228747936497</v>
          </cell>
          <cell r="BF114">
            <v>76.708327432375029</v>
          </cell>
          <cell r="BG114">
            <v>38.508094350232525</v>
          </cell>
          <cell r="BH114">
            <v>30.171689838574324</v>
          </cell>
          <cell r="BI114">
            <v>-4.686525087321125</v>
          </cell>
          <cell r="BJ114">
            <v>13.3762109418047</v>
          </cell>
          <cell r="BK114">
            <v>-121.07456116921827</v>
          </cell>
          <cell r="BL114">
            <v>32.773639978567793</v>
          </cell>
          <cell r="BM114">
            <v>79.898844316752232</v>
          </cell>
          <cell r="BN114">
            <v>73.765957705045111</v>
          </cell>
          <cell r="BO114" t="str">
            <v>NM</v>
          </cell>
          <cell r="BP114">
            <v>105.13310303132486</v>
          </cell>
          <cell r="BQ114">
            <v>38.800592361463224</v>
          </cell>
          <cell r="BR114">
            <v>24.688726290759021</v>
          </cell>
          <cell r="BS114">
            <v>19.432473693363804</v>
          </cell>
          <cell r="BT114">
            <v>15.783783178141242</v>
          </cell>
        </row>
        <row r="116">
          <cell r="A116" t="str">
            <v>QoQ Growth</v>
          </cell>
        </row>
        <row r="117">
          <cell r="A117" t="str">
            <v>Revenue</v>
          </cell>
          <cell r="Z117">
            <v>-11.134629399408414</v>
          </cell>
          <cell r="AA117">
            <v>5.4927428740269013</v>
          </cell>
          <cell r="AB117">
            <v>1.4170086769631718</v>
          </cell>
          <cell r="AC117">
            <v>-8.9942229110891887</v>
          </cell>
          <cell r="AD117">
            <v>8.5559278366477365</v>
          </cell>
          <cell r="AE117">
            <v>6.6133430700243245</v>
          </cell>
          <cell r="AF117">
            <v>-11.091430589595141</v>
          </cell>
          <cell r="AG117">
            <v>1.5913618662991347</v>
          </cell>
          <cell r="AH117">
            <v>2.0741627219460712</v>
          </cell>
          <cell r="AI117">
            <v>4.9851415039583902</v>
          </cell>
          <cell r="AJ117">
            <v>2.1091214665995839</v>
          </cell>
          <cell r="AK117">
            <v>-0.18462771256552157</v>
          </cell>
          <cell r="AL117">
            <v>2.009709527813186</v>
          </cell>
          <cell r="AM117">
            <v>40.777411464426237</v>
          </cell>
          <cell r="AN117">
            <v>16.196278697317435</v>
          </cell>
          <cell r="AO117">
            <v>4.1557090613571601</v>
          </cell>
          <cell r="AP117">
            <v>1.70219937642202</v>
          </cell>
          <cell r="AQ117">
            <v>2.3334959783712916</v>
          </cell>
          <cell r="AR117">
            <v>1.2531974678154034</v>
          </cell>
          <cell r="AS117">
            <v>4.3915817157614612</v>
          </cell>
          <cell r="AT117">
            <v>1.6877840635054042</v>
          </cell>
          <cell r="AU117">
            <v>2.5561975654464053</v>
          </cell>
          <cell r="AV117">
            <v>2.8638274140674991</v>
          </cell>
          <cell r="AW117">
            <v>1.0769295870006745</v>
          </cell>
          <cell r="AX117">
            <v>3.0205346116007004</v>
          </cell>
          <cell r="AY117">
            <v>3.9468871911573444</v>
          </cell>
          <cell r="AZ117">
            <v>-0.23065570726272799</v>
          </cell>
          <cell r="BA117">
            <v>8.6695859170649037E-2</v>
          </cell>
          <cell r="BB117">
            <v>3.5920700404719508</v>
          </cell>
          <cell r="BC117">
            <v>4.9005805960912641</v>
          </cell>
          <cell r="BD117">
            <v>0.87096519967126973</v>
          </cell>
          <cell r="BE117">
            <v>1.4422744227888584</v>
          </cell>
          <cell r="BF117">
            <v>3.4114964989415464</v>
          </cell>
          <cell r="BG117">
            <v>9.232088556551199</v>
          </cell>
          <cell r="BH117">
            <v>6.6858618956522564</v>
          </cell>
          <cell r="BI117">
            <v>2.7486934895424087</v>
          </cell>
          <cell r="BJ117">
            <v>6.1383164947262925</v>
          </cell>
          <cell r="BK117">
            <v>5.5535928068515705</v>
          </cell>
          <cell r="BL117">
            <v>3.4499265812580671</v>
          </cell>
          <cell r="BM117">
            <v>1.886045036875772</v>
          </cell>
          <cell r="BN117">
            <v>8.1353218317335774</v>
          </cell>
          <cell r="BO117">
            <v>4.6193199940822494</v>
          </cell>
          <cell r="BP117">
            <v>3.3408150121493119</v>
          </cell>
          <cell r="BQ117">
            <v>-0.51218882598276227</v>
          </cell>
          <cell r="BR117">
            <v>3.4067038247511228</v>
          </cell>
          <cell r="BS117">
            <v>2.6945202848930094</v>
          </cell>
          <cell r="BT117">
            <v>1.7429804032037977</v>
          </cell>
        </row>
        <row r="118">
          <cell r="A118" t="str">
            <v>Rental &amp; Management</v>
          </cell>
          <cell r="Z118">
            <v>4.2780072827228732</v>
          </cell>
          <cell r="AA118">
            <v>4.6531886044979043</v>
          </cell>
          <cell r="AB118">
            <v>7.2148233931673245</v>
          </cell>
          <cell r="AC118">
            <v>-1.1247029596025082</v>
          </cell>
          <cell r="AD118">
            <v>3.7238328030478884</v>
          </cell>
          <cell r="AE118">
            <v>4.1318886753205719</v>
          </cell>
          <cell r="AF118">
            <v>3.1183427838147093</v>
          </cell>
          <cell r="AG118">
            <v>0.88888343979500739</v>
          </cell>
          <cell r="AH118">
            <v>1.829549873614611</v>
          </cell>
          <cell r="AI118">
            <v>4.3911520583338914</v>
          </cell>
          <cell r="AJ118">
            <v>1.3529889222960279</v>
          </cell>
          <cell r="AK118">
            <v>2.4008391939677409</v>
          </cell>
          <cell r="AL118">
            <v>1.6737346477942561</v>
          </cell>
          <cell r="AM118">
            <v>41.266677139251051</v>
          </cell>
          <cell r="AN118">
            <v>16.105233692880503</v>
          </cell>
          <cell r="AO118">
            <v>4.447607598615555</v>
          </cell>
          <cell r="AP118">
            <v>1.2363284523128071</v>
          </cell>
          <cell r="AQ118">
            <v>1.9470966895608344</v>
          </cell>
          <cell r="AR118">
            <v>1.4809912899084843</v>
          </cell>
          <cell r="AS118">
            <v>4.4656846910218206</v>
          </cell>
          <cell r="AT118">
            <v>1.3715613431244167</v>
          </cell>
          <cell r="AU118">
            <v>2.2373316228351481</v>
          </cell>
          <cell r="AV118">
            <v>3.3252189625316841</v>
          </cell>
          <cell r="AW118">
            <v>0.92700540820622734</v>
          </cell>
          <cell r="AX118">
            <v>2.7701793931809826</v>
          </cell>
          <cell r="AY118">
            <v>2.6156323908592016</v>
          </cell>
          <cell r="AZ118">
            <v>-2.1044838182948666E-2</v>
          </cell>
          <cell r="BA118">
            <v>0.414391612754339</v>
          </cell>
          <cell r="BB118">
            <v>2.7286480261246915</v>
          </cell>
          <cell r="BC118">
            <v>5.8448534853018153</v>
          </cell>
          <cell r="BD118">
            <v>1.0851866906683716</v>
          </cell>
          <cell r="BE118">
            <v>1.9809419642139003</v>
          </cell>
          <cell r="BF118">
            <v>2.8531965805803194</v>
          </cell>
          <cell r="BG118">
            <v>9.4943710691135053</v>
          </cell>
          <cell r="BH118">
            <v>7.2890094653886184</v>
          </cell>
          <cell r="BI118">
            <v>1.9397560479847975</v>
          </cell>
          <cell r="BJ118">
            <v>6.8020963862033712</v>
          </cell>
          <cell r="BK118">
            <v>5.3043732946925326</v>
          </cell>
          <cell r="BL118">
            <v>3.5120705433319577</v>
          </cell>
          <cell r="BM118">
            <v>1.9079747042444639</v>
          </cell>
          <cell r="BN118">
            <v>8.310348012650671</v>
          </cell>
          <cell r="BO118">
            <v>4.7021080824822814</v>
          </cell>
          <cell r="BP118">
            <v>3.392465438961012</v>
          </cell>
          <cell r="BQ118">
            <v>-0.54478340135609704</v>
          </cell>
          <cell r="BR118">
            <v>3.4593850366888557</v>
          </cell>
          <cell r="BS118">
            <v>2.7307305214895106</v>
          </cell>
          <cell r="BT118">
            <v>1.7585896859242167</v>
          </cell>
        </row>
        <row r="119">
          <cell r="A119" t="str">
            <v>Network Development Svcs.</v>
          </cell>
          <cell r="Z119">
            <v>-43.647421477963846</v>
          </cell>
          <cell r="AA119">
            <v>8.7699586043761038</v>
          </cell>
          <cell r="AB119">
            <v>-20.35828847931278</v>
          </cell>
          <cell r="AC119">
            <v>-48.783151858552067</v>
          </cell>
          <cell r="AD119">
            <v>55.721426191269565</v>
          </cell>
          <cell r="AE119">
            <v>22.746726012154419</v>
          </cell>
          <cell r="AF119">
            <v>-89.466894459746868</v>
          </cell>
          <cell r="AG119">
            <v>39.523336643495519</v>
          </cell>
          <cell r="AH119">
            <v>11.625148279952558</v>
          </cell>
          <cell r="AI119">
            <v>26.142401700318807</v>
          </cell>
          <cell r="AJ119">
            <v>24.397641112047186</v>
          </cell>
          <cell r="AK119">
            <v>-62.278206691047004</v>
          </cell>
          <cell r="AL119">
            <v>23.913824057450618</v>
          </cell>
          <cell r="AM119">
            <v>14.604462474645041</v>
          </cell>
          <cell r="AN119">
            <v>22.199747155499374</v>
          </cell>
          <cell r="AO119">
            <v>-14.132009104076138</v>
          </cell>
          <cell r="AP119">
            <v>37.204819277108413</v>
          </cell>
          <cell r="AQ119">
            <v>24.06041447137337</v>
          </cell>
          <cell r="AR119">
            <v>-9.2723669309173307</v>
          </cell>
          <cell r="AS119">
            <v>0.5617100951786691</v>
          </cell>
          <cell r="AT119">
            <v>18.66563227307989</v>
          </cell>
          <cell r="AU119">
            <v>17.18096234309623</v>
          </cell>
          <cell r="AV119">
            <v>-15.599196607900023</v>
          </cell>
          <cell r="AW119">
            <v>8.4214701216287722</v>
          </cell>
          <cell r="AX119">
            <v>14.437263748323371</v>
          </cell>
          <cell r="AY119">
            <v>58.465636654235475</v>
          </cell>
          <cell r="AZ119">
            <v>-5.7894029047875222</v>
          </cell>
          <cell r="BA119">
            <v>-9.1356791092712779</v>
          </cell>
          <cell r="BB119">
            <v>30.445369570340119</v>
          </cell>
          <cell r="BC119">
            <v>-18.227253567772628</v>
          </cell>
          <cell r="BD119">
            <v>-5.9204712812960247</v>
          </cell>
          <cell r="BE119">
            <v>-16.906700062617407</v>
          </cell>
          <cell r="BF119">
            <v>26.75207234363226</v>
          </cell>
          <cell r="BG119">
            <v>0.33442330558859368</v>
          </cell>
          <cell r="BH119">
            <v>-15.643285682542041</v>
          </cell>
          <cell r="BI119">
            <v>40.83765036438669</v>
          </cell>
          <cell r="BJ119">
            <v>-16.483790523690768</v>
          </cell>
          <cell r="BK119">
            <v>16.415347865034335</v>
          </cell>
          <cell r="BL119">
            <v>1.0000000000000009</v>
          </cell>
          <cell r="BM119">
            <v>1.0000000000000009</v>
          </cell>
          <cell r="BN119">
            <v>1.0000000000000009</v>
          </cell>
          <cell r="BO119">
            <v>1.0000000000000009</v>
          </cell>
          <cell r="BP119">
            <v>1.0000000000000009</v>
          </cell>
          <cell r="BQ119">
            <v>1.0000000000000009</v>
          </cell>
          <cell r="BR119">
            <v>1.0000000000000009</v>
          </cell>
          <cell r="BS119">
            <v>1.0000000000000009</v>
          </cell>
          <cell r="BT119">
            <v>1.0000000000000009</v>
          </cell>
        </row>
        <row r="120">
          <cell r="A120" t="str">
            <v>Gross Margin</v>
          </cell>
          <cell r="Z120">
            <v>6.3344740801896293</v>
          </cell>
          <cell r="AA120">
            <v>4.2915821374007832</v>
          </cell>
          <cell r="AB120">
            <v>11.643712251293781</v>
          </cell>
          <cell r="AC120">
            <v>-5.0538837144270676</v>
          </cell>
          <cell r="AD120">
            <v>8.6294588747040759</v>
          </cell>
          <cell r="AE120">
            <v>4.8353963106249713</v>
          </cell>
          <cell r="AF120">
            <v>3.3829351264248584</v>
          </cell>
          <cell r="AG120">
            <v>2.3274161735700307</v>
          </cell>
          <cell r="AH120">
            <v>4.0177144254094905</v>
          </cell>
          <cell r="AI120">
            <v>4.7746029450314857</v>
          </cell>
          <cell r="AJ120">
            <v>1.5080796141800936</v>
          </cell>
          <cell r="AK120">
            <v>14.483626133591699</v>
          </cell>
          <cell r="AL120">
            <v>3.4692423050082639</v>
          </cell>
          <cell r="AM120">
            <v>38.196611920700853</v>
          </cell>
          <cell r="AN120">
            <v>15.252899701982292</v>
          </cell>
          <cell r="AO120">
            <v>7.5739692950843249</v>
          </cell>
          <cell r="AP120">
            <v>0.55653965502079494</v>
          </cell>
          <cell r="AQ120">
            <v>2.406653173750458</v>
          </cell>
          <cell r="AR120">
            <v>1.2667493544254815</v>
          </cell>
          <cell r="AS120">
            <v>6.4938559151875204</v>
          </cell>
          <cell r="AT120">
            <v>1.2029065843109299</v>
          </cell>
          <cell r="AU120">
            <v>3.8851483525286898</v>
          </cell>
          <cell r="AV120">
            <v>2.0745459240767814</v>
          </cell>
          <cell r="AW120">
            <v>2.4716084781020018</v>
          </cell>
          <cell r="AX120">
            <v>1.7927070974467325</v>
          </cell>
          <cell r="AY120">
            <v>2.8825617980556149</v>
          </cell>
          <cell r="AZ120">
            <v>1.4233279089489177</v>
          </cell>
          <cell r="BA120">
            <v>0.39224168544475846</v>
          </cell>
          <cell r="BB120">
            <v>3.1552578519678409</v>
          </cell>
          <cell r="BC120">
            <v>4.5906136508876667</v>
          </cell>
          <cell r="BD120">
            <v>1.478043938946878</v>
          </cell>
          <cell r="BE120">
            <v>2.2013686962140415</v>
          </cell>
          <cell r="BF120">
            <v>2.8086158090612634</v>
          </cell>
          <cell r="BG120">
            <v>9.115889282100305</v>
          </cell>
          <cell r="BH120">
            <v>6.2374951645835068</v>
          </cell>
          <cell r="BI120">
            <v>3.0552427434970353</v>
          </cell>
          <cell r="BJ120">
            <v>4.3969234873071752</v>
          </cell>
          <cell r="BK120">
            <v>3.4319680471940459</v>
          </cell>
          <cell r="BL120">
            <v>3.4848987134322251</v>
          </cell>
          <cell r="BM120">
            <v>3.2534544764878848</v>
          </cell>
          <cell r="BN120">
            <v>8.2112898138190449</v>
          </cell>
          <cell r="BO120">
            <v>4.6552860492719477</v>
          </cell>
          <cell r="BP120">
            <v>3.3632638117539004</v>
          </cell>
          <cell r="BQ120">
            <v>-0.52635939250864128</v>
          </cell>
          <cell r="BR120">
            <v>3.4296028606398736</v>
          </cell>
          <cell r="BS120">
            <v>2.7102643848493919</v>
          </cell>
          <cell r="BT120">
            <v>1.7497686238750458</v>
          </cell>
        </row>
        <row r="121">
          <cell r="A121" t="str">
            <v>Rental &amp; Management</v>
          </cell>
          <cell r="Z121">
            <v>7.616654702081826</v>
          </cell>
          <cell r="AA121">
            <v>8.8052831699019514</v>
          </cell>
          <cell r="AB121">
            <v>12.758261296057841</v>
          </cell>
          <cell r="AC121">
            <v>-4.3214441061330913</v>
          </cell>
          <cell r="AD121">
            <v>6.8704112017821197</v>
          </cell>
          <cell r="AE121">
            <v>4.3560102519381942</v>
          </cell>
          <cell r="AF121">
            <v>4.8365893179247248</v>
          </cell>
          <cell r="AG121">
            <v>2.7480485647351434</v>
          </cell>
          <cell r="AH121">
            <v>3.3746452223273486</v>
          </cell>
          <cell r="AI121">
            <v>5.3456212763231425</v>
          </cell>
          <cell r="AJ121">
            <v>1.6740799944399976</v>
          </cell>
          <cell r="AK121">
            <v>13.936002050668606</v>
          </cell>
          <cell r="AL121">
            <v>3.4984438861599765</v>
          </cell>
          <cell r="AM121">
            <v>38.406637200202852</v>
          </cell>
          <cell r="AN121">
            <v>14.970552050886059</v>
          </cell>
          <cell r="AO121">
            <v>7.7896826661688294</v>
          </cell>
          <cell r="AP121">
            <v>0.13644927719902122</v>
          </cell>
          <cell r="AQ121">
            <v>2.0085132951683566</v>
          </cell>
          <cell r="AR121">
            <v>1.8440707686454216</v>
          </cell>
          <cell r="AS121">
            <v>6.5000142125630944</v>
          </cell>
          <cell r="AT121">
            <v>0.99020848902648428</v>
          </cell>
          <cell r="AU121">
            <v>3.708304230457026</v>
          </cell>
          <cell r="AV121">
            <v>2.1908572302293052</v>
          </cell>
          <cell r="AW121">
            <v>2.2610926061167551</v>
          </cell>
          <cell r="AX121">
            <v>1.8599417527137934</v>
          </cell>
          <cell r="AY121">
            <v>2.8417427348995097</v>
          </cell>
          <cell r="AZ121">
            <v>1.0535417359494343</v>
          </cell>
          <cell r="BA121">
            <v>0.65456053286294569</v>
          </cell>
          <cell r="BB121">
            <v>2.8000013078007115</v>
          </cell>
          <cell r="BC121">
            <v>4.7630406365987001</v>
          </cell>
          <cell r="BD121">
            <v>1.6266086212078448</v>
          </cell>
          <cell r="BE121">
            <v>2.5806933428925665</v>
          </cell>
          <cell r="BF121">
            <v>2.1299149082395044</v>
          </cell>
          <cell r="BG121">
            <v>9.6156916865312656</v>
          </cell>
          <cell r="BH121">
            <v>6.7060148635255672</v>
          </cell>
          <cell r="BI121">
            <v>2.0928253996114146</v>
          </cell>
          <cell r="BJ121">
            <v>4.9458447549642361</v>
          </cell>
          <cell r="BK121">
            <v>3.4206352998459622</v>
          </cell>
          <cell r="BL121">
            <v>3.6065593558531854</v>
          </cell>
          <cell r="BM121">
            <v>3.2851094975450716</v>
          </cell>
          <cell r="BN121">
            <v>8.3103480126506764</v>
          </cell>
          <cell r="BO121">
            <v>4.7021080824822672</v>
          </cell>
          <cell r="BP121">
            <v>3.3924654389610174</v>
          </cell>
          <cell r="BQ121">
            <v>-0.54478340135609571</v>
          </cell>
          <cell r="BR121">
            <v>3.4593850366888503</v>
          </cell>
          <cell r="BS121">
            <v>2.7307305214895234</v>
          </cell>
          <cell r="BT121">
            <v>1.7585896859242314</v>
          </cell>
        </row>
        <row r="122">
          <cell r="A122" t="str">
            <v>Network Development Svcs.</v>
          </cell>
          <cell r="Z122">
            <v>-10.060583807600542</v>
          </cell>
          <cell r="AA122">
            <v>-64.768320065319472</v>
          </cell>
          <cell r="AB122">
            <v>-41.019698725376522</v>
          </cell>
          <cell r="AC122">
            <v>-71.21807465618852</v>
          </cell>
          <cell r="AD122">
            <v>536.8600682593833</v>
          </cell>
          <cell r="AE122">
            <v>28.992497320471621</v>
          </cell>
          <cell r="AF122">
            <v>-55.878687162442887</v>
          </cell>
          <cell r="AG122">
            <v>-38.41807909604519</v>
          </cell>
          <cell r="AH122">
            <v>107.95107033639144</v>
          </cell>
          <cell r="AI122">
            <v>-41.102941176470637</v>
          </cell>
          <cell r="AJ122">
            <v>-22.34706616729083</v>
          </cell>
          <cell r="AK122">
            <v>117.52411575562709</v>
          </cell>
          <cell r="AL122">
            <v>0.59127864005912834</v>
          </cell>
          <cell r="AM122">
            <v>16.899338721528284</v>
          </cell>
          <cell r="AN122">
            <v>49.151477058453793</v>
          </cell>
          <cell r="AO122">
            <v>-12.389380530973451</v>
          </cell>
          <cell r="AP122">
            <v>48.388648388648377</v>
          </cell>
          <cell r="AQ122">
            <v>32.998379254457042</v>
          </cell>
          <cell r="AR122">
            <v>-32.756519619790396</v>
          </cell>
          <cell r="AS122">
            <v>5.9441826748822253</v>
          </cell>
          <cell r="AT122">
            <v>20.287375983578496</v>
          </cell>
          <cell r="AU122">
            <v>17.207053469852092</v>
          </cell>
          <cell r="AV122">
            <v>-5.678233438485794</v>
          </cell>
          <cell r="AW122">
            <v>17.674298945201976</v>
          </cell>
          <cell r="AX122">
            <v>-2.4267599475295287</v>
          </cell>
          <cell r="AY122">
            <v>5.5568003585032537</v>
          </cell>
          <cell r="AZ122">
            <v>25.026533644661399</v>
          </cell>
          <cell r="BA122">
            <v>-13.140916808149395</v>
          </cell>
          <cell r="BB122">
            <v>24.394057857701316</v>
          </cell>
          <cell r="BC122">
            <v>-3.928346951602752</v>
          </cell>
          <cell r="BD122">
            <v>-6.5260058881256136</v>
          </cell>
          <cell r="BE122">
            <v>-20.017497812773406</v>
          </cell>
          <cell r="BF122">
            <v>53.795668343907231</v>
          </cell>
          <cell r="BG122">
            <v>-15.817923186344244</v>
          </cell>
          <cell r="BH122">
            <v>-24.197363974315643</v>
          </cell>
          <cell r="BI122">
            <v>91.061078912171169</v>
          </cell>
          <cell r="BJ122">
            <v>-22.424454556061107</v>
          </cell>
          <cell r="BK122">
            <v>4.1810798616333349</v>
          </cell>
          <cell r="BL122">
            <v>-4.4983542659159994</v>
          </cell>
          <cell r="BM122">
            <v>1.0000000000000016</v>
          </cell>
          <cell r="BN122">
            <v>0.99999999999999256</v>
          </cell>
          <cell r="BO122">
            <v>1.0000000000000124</v>
          </cell>
          <cell r="BP122">
            <v>0.99999999999999234</v>
          </cell>
          <cell r="BQ122">
            <v>1.0000000000000002</v>
          </cell>
          <cell r="BR122">
            <v>0.99999999999999789</v>
          </cell>
          <cell r="BS122">
            <v>0.99999999999999067</v>
          </cell>
          <cell r="BT122">
            <v>0.999999999999999</v>
          </cell>
        </row>
        <row r="123">
          <cell r="A123" t="str">
            <v xml:space="preserve">Corporate, General &amp; Administrative </v>
          </cell>
          <cell r="Z123">
            <v>-13.611570247933869</v>
          </cell>
          <cell r="AA123">
            <v>-23.352147708791726</v>
          </cell>
          <cell r="AB123">
            <v>-17.161757363954077</v>
          </cell>
          <cell r="AC123">
            <v>0.16573753201747365</v>
          </cell>
          <cell r="AD123">
            <v>4.7683513838748581</v>
          </cell>
          <cell r="AE123">
            <v>-6.7767408470925989</v>
          </cell>
          <cell r="AF123">
            <v>4.1275219467118429</v>
          </cell>
          <cell r="AG123">
            <v>1.7453039491199362</v>
          </cell>
          <cell r="AH123">
            <v>-3.3144352376798913</v>
          </cell>
          <cell r="AI123">
            <v>3.1574199368515909</v>
          </cell>
          <cell r="AJ123">
            <v>3.1482291211193836</v>
          </cell>
          <cell r="AK123">
            <v>195.37939805002117</v>
          </cell>
          <cell r="AL123">
            <v>-1.4590508993494011</v>
          </cell>
          <cell r="AM123">
            <v>48.094567697461031</v>
          </cell>
          <cell r="AN123">
            <v>-0.95718874975414536</v>
          </cell>
          <cell r="AO123">
            <v>-11.292778182299589</v>
          </cell>
          <cell r="AP123">
            <v>1.7200208939631256</v>
          </cell>
          <cell r="AQ123">
            <v>16.278472655247043</v>
          </cell>
          <cell r="AR123">
            <v>7.4287877354026755</v>
          </cell>
          <cell r="AS123">
            <v>-4.9242424242424203</v>
          </cell>
          <cell r="AT123">
            <v>-5.7506408474628623</v>
          </cell>
          <cell r="AU123">
            <v>10.639971163613726</v>
          </cell>
          <cell r="AV123">
            <v>5.508825968487141</v>
          </cell>
          <cell r="AW123">
            <v>-8.3623399955086608</v>
          </cell>
          <cell r="AX123">
            <v>-13.655996324092513</v>
          </cell>
          <cell r="AY123">
            <v>11.647213254337107</v>
          </cell>
          <cell r="AZ123">
            <v>5.7070225611693948</v>
          </cell>
          <cell r="BA123">
            <v>8.1163951181362215E-2</v>
          </cell>
          <cell r="BB123">
            <v>11.209563571922022</v>
          </cell>
          <cell r="BC123">
            <v>-5.6988521269412562</v>
          </cell>
          <cell r="BD123">
            <v>2.5089503078906006</v>
          </cell>
          <cell r="BE123">
            <v>11.653767706965446</v>
          </cell>
          <cell r="BF123">
            <v>0.98093188529102537</v>
          </cell>
          <cell r="BG123">
            <v>8.8913118897754995</v>
          </cell>
          <cell r="BH123">
            <v>20.5111283054936</v>
          </cell>
          <cell r="BI123">
            <v>1.5465961665565242</v>
          </cell>
          <cell r="BJ123">
            <v>12.757094506638889</v>
          </cell>
          <cell r="BK123">
            <v>9.0130949632219561</v>
          </cell>
          <cell r="BL123">
            <v>-6.2703114067163002</v>
          </cell>
          <cell r="BM123">
            <v>1.886045036875772</v>
          </cell>
          <cell r="BN123">
            <v>8.1353218317335774</v>
          </cell>
          <cell r="BO123">
            <v>4.6193199940822494</v>
          </cell>
          <cell r="BP123">
            <v>3.3408150121493119</v>
          </cell>
          <cell r="BQ123">
            <v>-5.7483894140889387</v>
          </cell>
          <cell r="BR123">
            <v>3.4067038247511228</v>
          </cell>
          <cell r="BS123">
            <v>2.6945202848930094</v>
          </cell>
          <cell r="BT123">
            <v>1.7429804032037977</v>
          </cell>
        </row>
        <row r="124">
          <cell r="A124" t="str">
            <v>TV Azteca</v>
          </cell>
          <cell r="Z124">
            <v>1.2248468941382429</v>
          </cell>
          <cell r="AA124">
            <v>1.2388360702967338</v>
          </cell>
          <cell r="AB124">
            <v>0.2845759817871496</v>
          </cell>
          <cell r="AC124">
            <v>-0.62429057888763184</v>
          </cell>
          <cell r="AD124">
            <v>0.74243289548829861</v>
          </cell>
          <cell r="AE124">
            <v>-0.14172335600907138</v>
          </cell>
          <cell r="AF124">
            <v>4.1441952881067223</v>
          </cell>
          <cell r="AG124">
            <v>-3.5159443990188111</v>
          </cell>
          <cell r="AH124">
            <v>3.1638418079096065</v>
          </cell>
          <cell r="AI124">
            <v>-1.8619934282584905</v>
          </cell>
          <cell r="AJ124">
            <v>-1.2276785714285698</v>
          </cell>
          <cell r="AK124">
            <v>-1.1864406779660941</v>
          </cell>
          <cell r="AL124">
            <v>2.4585477415665968</v>
          </cell>
          <cell r="AM124">
            <v>0.69754464285713969</v>
          </cell>
          <cell r="AN124">
            <v>-1.8841784427819364</v>
          </cell>
          <cell r="AO124">
            <v>-1.2143462298785601</v>
          </cell>
          <cell r="AP124">
            <v>2.4585477415665968</v>
          </cell>
          <cell r="AQ124">
            <v>0</v>
          </cell>
          <cell r="AR124">
            <v>-1.1718750000000111</v>
          </cell>
          <cell r="AS124">
            <v>-1.2422360248447117</v>
          </cell>
          <cell r="AT124">
            <v>2.4585477415665968</v>
          </cell>
          <cell r="AU124">
            <v>0</v>
          </cell>
          <cell r="AV124">
            <v>-1.1997767857142572</v>
          </cell>
          <cell r="AW124">
            <v>-3.3306690738754696E-14</v>
          </cell>
          <cell r="AX124">
            <v>1.2143462298785712</v>
          </cell>
          <cell r="AY124">
            <v>5.580357142855874E-2</v>
          </cell>
          <cell r="AZ124">
            <v>-1.2269938650306789</v>
          </cell>
          <cell r="BA124">
            <v>-1.214003387916418</v>
          </cell>
          <cell r="BB124">
            <v>2.457845098599587</v>
          </cell>
          <cell r="BC124">
            <v>0</v>
          </cell>
          <cell r="BD124">
            <v>-1.2273361227336133</v>
          </cell>
          <cell r="BE124">
            <v>-1.1861056198813835</v>
          </cell>
          <cell r="BF124">
            <v>2.457845098599587</v>
          </cell>
          <cell r="BG124">
            <v>0</v>
          </cell>
          <cell r="BH124">
            <v>-1.1715481171548081</v>
          </cell>
          <cell r="BI124">
            <v>-1.2418854078464547</v>
          </cell>
          <cell r="BJ124">
            <v>2.6007430694483968</v>
          </cell>
          <cell r="BK124">
            <v>-2.5626740947075066</v>
          </cell>
          <cell r="BL124">
            <v>0</v>
          </cell>
          <cell r="BM124">
            <v>0</v>
          </cell>
          <cell r="BN124">
            <v>0</v>
          </cell>
          <cell r="BO124">
            <v>0</v>
          </cell>
          <cell r="BP124">
            <v>0</v>
          </cell>
          <cell r="BQ124">
            <v>0</v>
          </cell>
          <cell r="BR124">
            <v>0</v>
          </cell>
          <cell r="BS124">
            <v>0</v>
          </cell>
          <cell r="BT124">
            <v>0</v>
          </cell>
        </row>
        <row r="125">
          <cell r="A125" t="str">
            <v>EBITDA</v>
          </cell>
          <cell r="Z125">
            <v>9.7040315539096191</v>
          </cell>
          <cell r="AA125">
            <v>8.1114831485344485</v>
          </cell>
          <cell r="AB125">
            <v>14.066486424736269</v>
          </cell>
          <cell r="AC125">
            <v>-5.2656762922161038</v>
          </cell>
          <cell r="AD125">
            <v>8.6065333067083536</v>
          </cell>
          <cell r="AE125">
            <v>5.5202249621458144</v>
          </cell>
          <cell r="AF125">
            <v>3.3608708130047571</v>
          </cell>
          <cell r="AG125">
            <v>2.1538431026447258</v>
          </cell>
          <cell r="AH125">
            <v>4.4779886424307191</v>
          </cell>
          <cell r="AI125">
            <v>4.6493477533727123</v>
          </cell>
          <cell r="AJ125">
            <v>1.3211165565736316</v>
          </cell>
          <cell r="AK125">
            <v>2.7795303189624754</v>
          </cell>
          <cell r="AL125">
            <v>4.3174300037513325</v>
          </cell>
          <cell r="AM125">
            <v>35.431854588250665</v>
          </cell>
          <cell r="AN125">
            <v>17.863845657145959</v>
          </cell>
          <cell r="AO125">
            <v>10.333263359462585</v>
          </cell>
          <cell r="AP125">
            <v>0.44270579554788192</v>
          </cell>
          <cell r="AQ125">
            <v>0.61955120653094387</v>
          </cell>
          <cell r="AR125">
            <v>0.32967840285045291</v>
          </cell>
          <cell r="AS125">
            <v>8.1480600075054976</v>
          </cell>
          <cell r="AT125">
            <v>2.1742626211332716</v>
          </cell>
          <cell r="AU125">
            <v>2.9737251913455554</v>
          </cell>
          <cell r="AV125">
            <v>1.5609665846163745</v>
          </cell>
          <cell r="AW125">
            <v>3.9654032133508377</v>
          </cell>
          <cell r="AX125">
            <v>3.705975118275795</v>
          </cell>
          <cell r="AY125">
            <v>1.9379175834064899</v>
          </cell>
          <cell r="AZ125">
            <v>0.90333553131765054</v>
          </cell>
          <cell r="BA125">
            <v>0.40887892184522379</v>
          </cell>
          <cell r="BB125">
            <v>2.1929091432859371</v>
          </cell>
          <cell r="BC125">
            <v>5.8591588508587034</v>
          </cell>
          <cell r="BD125">
            <v>1.3278278393456855</v>
          </cell>
          <cell r="BE125">
            <v>1.064823827136463</v>
          </cell>
          <cell r="BF125">
            <v>3.0391458160782259</v>
          </cell>
          <cell r="BG125">
            <v>9.042306266337242</v>
          </cell>
          <cell r="BH125">
            <v>4.3695284463645123</v>
          </cell>
          <cell r="BI125">
            <v>3.2322706927467415</v>
          </cell>
          <cell r="BJ125">
            <v>3.1880814231009857</v>
          </cell>
          <cell r="BK125">
            <v>2.5069773896595926</v>
          </cell>
          <cell r="BL125">
            <v>5.0709318672549353</v>
          </cell>
          <cell r="BM125">
            <v>3.4284419232553098</v>
          </cell>
          <cell r="BN125">
            <v>8.1560884949464239</v>
          </cell>
          <cell r="BO125">
            <v>4.6257879718953898</v>
          </cell>
          <cell r="BP125">
            <v>3.3425471587474664</v>
          </cell>
          <cell r="BQ125">
            <v>0.23752172179771769</v>
          </cell>
          <cell r="BR125">
            <v>3.4091266839679779</v>
          </cell>
          <cell r="BS125">
            <v>2.694376069631832</v>
          </cell>
          <cell r="BT125">
            <v>1.739354459958764</v>
          </cell>
        </row>
        <row r="126">
          <cell r="A126" t="str">
            <v>Depreciation</v>
          </cell>
          <cell r="Z126">
            <v>6.2877082695150799</v>
          </cell>
          <cell r="AA126">
            <v>-1.3846423738158586</v>
          </cell>
          <cell r="AB126">
            <v>2.3189621215009115</v>
          </cell>
          <cell r="AC126">
            <v>4.3949629923997868</v>
          </cell>
          <cell r="AD126">
            <v>0.14037091229197607</v>
          </cell>
          <cell r="AE126">
            <v>-1.855525593661278</v>
          </cell>
          <cell r="AF126">
            <v>-1.4476089035209805</v>
          </cell>
          <cell r="AG126">
            <v>-9.5796028149297552E-2</v>
          </cell>
          <cell r="AH126">
            <v>5.0636179236584811</v>
          </cell>
          <cell r="AI126">
            <v>-4.5574744921838439</v>
          </cell>
          <cell r="AJ126">
            <v>-0.61052605769349455</v>
          </cell>
          <cell r="AK126">
            <v>1.1101380271613781</v>
          </cell>
          <cell r="AL126">
            <v>3.431701455392755</v>
          </cell>
          <cell r="AM126">
            <v>37.705227401396478</v>
          </cell>
          <cell r="AN126">
            <v>9.4173975606413727</v>
          </cell>
          <cell r="AO126">
            <v>4.3163440237344197</v>
          </cell>
          <cell r="AP126">
            <v>-0.33768319313226547</v>
          </cell>
          <cell r="AQ126">
            <v>-1.0947888352621504</v>
          </cell>
          <cell r="AR126">
            <v>-0.55954383854684986</v>
          </cell>
          <cell r="AS126">
            <v>-0.32766302766764621</v>
          </cell>
          <cell r="AT126">
            <v>1.1083460067284223</v>
          </cell>
          <cell r="AU126">
            <v>-0.11622871988877792</v>
          </cell>
          <cell r="AV126">
            <v>-1.4229868272946034</v>
          </cell>
          <cell r="AW126">
            <v>-25.106277919653095</v>
          </cell>
          <cell r="AX126">
            <v>2.7041783418493504</v>
          </cell>
          <cell r="AY126">
            <v>4.7062599677021311</v>
          </cell>
          <cell r="AZ126">
            <v>-0.20596039812622591</v>
          </cell>
          <cell r="BA126">
            <v>-4.1334690037821424</v>
          </cell>
          <cell r="BB126">
            <v>2.5984299275042977</v>
          </cell>
          <cell r="BC126">
            <v>3.0059631281535992</v>
          </cell>
          <cell r="BD126">
            <v>1.138872307969252</v>
          </cell>
          <cell r="BE126">
            <v>3.8315611972457697</v>
          </cell>
          <cell r="BF126">
            <v>-0.38976857490863326</v>
          </cell>
          <cell r="BG126">
            <v>4.5107469905709019</v>
          </cell>
          <cell r="BH126">
            <v>7.5591724950816008</v>
          </cell>
          <cell r="BI126">
            <v>5.7419120905684684</v>
          </cell>
          <cell r="BJ126">
            <v>5.5832844373661761</v>
          </cell>
          <cell r="BK126">
            <v>2.5657125535876624</v>
          </cell>
          <cell r="BL126">
            <v>-4.402252960672115</v>
          </cell>
          <cell r="BM126">
            <v>8.7308094272148917</v>
          </cell>
          <cell r="BN126">
            <v>0.4168370701860491</v>
          </cell>
          <cell r="BO126">
            <v>0.44665305960993607</v>
          </cell>
          <cell r="BP126">
            <v>0.47528782254691038</v>
          </cell>
          <cell r="BQ126">
            <v>0.50692854146092703</v>
          </cell>
          <cell r="BR126">
            <v>0.53735072215295165</v>
          </cell>
          <cell r="BS126">
            <v>0.56243301093394926</v>
          </cell>
          <cell r="BT126">
            <v>0.58639041374526357</v>
          </cell>
        </row>
        <row r="127">
          <cell r="A127" t="str">
            <v>Operating Income</v>
          </cell>
          <cell r="Z127" t="str">
            <v>NM</v>
          </cell>
          <cell r="AA127" t="str">
            <v>NM</v>
          </cell>
          <cell r="AB127" t="str">
            <v>NM</v>
          </cell>
          <cell r="AC127" t="str">
            <v>NM</v>
          </cell>
          <cell r="AD127" t="str">
            <v>NM</v>
          </cell>
          <cell r="AE127" t="str">
            <v>NM</v>
          </cell>
          <cell r="AF127">
            <v>-8.9247881355939853</v>
          </cell>
          <cell r="AG127">
            <v>313.37598138994008</v>
          </cell>
          <cell r="AH127">
            <v>-7.5759707371974461</v>
          </cell>
          <cell r="AI127">
            <v>59.540299870613957</v>
          </cell>
          <cell r="AJ127">
            <v>2.266005152180206</v>
          </cell>
          <cell r="AK127">
            <v>35.494705415869632</v>
          </cell>
          <cell r="AL127">
            <v>5.8665564965916905</v>
          </cell>
          <cell r="AM127">
            <v>20.887804878048797</v>
          </cell>
          <cell r="AN127">
            <v>2.6148010652893294</v>
          </cell>
          <cell r="AO127">
            <v>77.504260060296204</v>
          </cell>
          <cell r="AP127">
            <v>4.5237708428716772</v>
          </cell>
          <cell r="AQ127">
            <v>1.7450404114622176</v>
          </cell>
          <cell r="AR127">
            <v>1.9525879428388127</v>
          </cell>
          <cell r="AS127">
            <v>17.295301922002881</v>
          </cell>
          <cell r="AT127">
            <v>8.3451399372895363</v>
          </cell>
          <cell r="AU127">
            <v>5.5682987480706547</v>
          </cell>
          <cell r="AV127">
            <v>2.0052593637997829</v>
          </cell>
          <cell r="AW127">
            <v>44.184102084287268</v>
          </cell>
          <cell r="AX127">
            <v>6.8578450323079299</v>
          </cell>
          <cell r="AY127">
            <v>-0.27327346727824553</v>
          </cell>
          <cell r="AZ127">
            <v>-1.0533339379530826</v>
          </cell>
          <cell r="BA127">
            <v>-1.6079507139536653</v>
          </cell>
          <cell r="BB127">
            <v>10.754233622783339</v>
          </cell>
          <cell r="BC127">
            <v>7.588000985298593</v>
          </cell>
          <cell r="BD127">
            <v>-1.4675251428156066</v>
          </cell>
          <cell r="BE127">
            <v>1.3601663936888553</v>
          </cell>
          <cell r="BF127">
            <v>5.5169444615289498</v>
          </cell>
          <cell r="BG127">
            <v>13.065134911719213</v>
          </cell>
          <cell r="BH127">
            <v>-4.6543126558310943</v>
          </cell>
          <cell r="BI127">
            <v>7.3038374762215641</v>
          </cell>
          <cell r="BJ127">
            <v>3.430600091617042</v>
          </cell>
          <cell r="BK127">
            <v>1.1143146920355118</v>
          </cell>
          <cell r="BL127">
            <v>16.655591852828898</v>
          </cell>
          <cell r="BM127">
            <v>0.96085145277189365</v>
          </cell>
          <cell r="BN127">
            <v>13.168582751760315</v>
          </cell>
          <cell r="BO127">
            <v>7.3394916298750612</v>
          </cell>
          <cell r="BP127">
            <v>3.8741293484374717</v>
          </cell>
          <cell r="BQ127">
            <v>0.14651337027451472</v>
          </cell>
          <cell r="BR127">
            <v>5.0574426768477565</v>
          </cell>
          <cell r="BS127">
            <v>4.0945187384160642</v>
          </cell>
          <cell r="BT127">
            <v>1.4694411836509103</v>
          </cell>
        </row>
        <row r="128">
          <cell r="A128" t="str">
            <v>Net Income, Continuing</v>
          </cell>
          <cell r="Z128" t="str">
            <v>NM</v>
          </cell>
          <cell r="AA128" t="str">
            <v>NM</v>
          </cell>
          <cell r="AB128" t="str">
            <v>NM</v>
          </cell>
          <cell r="AC128" t="str">
            <v>NM</v>
          </cell>
          <cell r="AD128" t="str">
            <v>NM</v>
          </cell>
          <cell r="AE128" t="str">
            <v>NM</v>
          </cell>
          <cell r="AF128" t="str">
            <v>NM</v>
          </cell>
          <cell r="AG128" t="str">
            <v>NM</v>
          </cell>
          <cell r="AH128" t="str">
            <v>NM</v>
          </cell>
          <cell r="AI128" t="str">
            <v>NM</v>
          </cell>
          <cell r="AJ128" t="str">
            <v>NM</v>
          </cell>
          <cell r="AK128" t="str">
            <v>NM</v>
          </cell>
          <cell r="AL128" t="str">
            <v>NM</v>
          </cell>
          <cell r="AM128" t="str">
            <v>NM</v>
          </cell>
          <cell r="AN128" t="str">
            <v>NM</v>
          </cell>
          <cell r="AO128" t="str">
            <v>NM</v>
          </cell>
          <cell r="AP128" t="str">
            <v>NM</v>
          </cell>
          <cell r="AQ128">
            <v>-54.273969290290935</v>
          </cell>
          <cell r="AR128">
            <v>387.33474352194139</v>
          </cell>
          <cell r="AS128">
            <v>14.849981010254254</v>
          </cell>
          <cell r="AT128">
            <v>-42.715419501133724</v>
          </cell>
          <cell r="AU128">
            <v>396.61058881741769</v>
          </cell>
          <cell r="AV128">
            <v>-100.76886032647501</v>
          </cell>
          <cell r="AW128" t="str">
            <v>NM</v>
          </cell>
          <cell r="AX128">
            <v>20.200250905389616</v>
          </cell>
          <cell r="AY128">
            <v>19.357633760658508</v>
          </cell>
          <cell r="AZ128">
            <v>36.598967184174434</v>
          </cell>
          <cell r="BA128">
            <v>-32.737879556489581</v>
          </cell>
          <cell r="BB128">
            <v>-7.6514212860709252</v>
          </cell>
          <cell r="BC128">
            <v>31.410904565606156</v>
          </cell>
          <cell r="BD128">
            <v>-4.9317865703884411</v>
          </cell>
          <cell r="BE128">
            <v>50.115955112141883</v>
          </cell>
          <cell r="BF128">
            <v>3.5013686131386113</v>
          </cell>
          <cell r="BG128">
            <v>-6.2359128474830712</v>
          </cell>
          <cell r="BH128">
            <v>-10.573717948717897</v>
          </cell>
          <cell r="BI128">
            <v>9.8661935653440622</v>
          </cell>
          <cell r="BJ128">
            <v>23.063723544577996</v>
          </cell>
          <cell r="BK128">
            <v>-117.4302604023999</v>
          </cell>
          <cell r="BL128" t="str">
            <v>NM</v>
          </cell>
          <cell r="BM128">
            <v>48.860882740553137</v>
          </cell>
          <cell r="BN128">
            <v>18.868388853130604</v>
          </cell>
          <cell r="BO128">
            <v>10.105350199929063</v>
          </cell>
          <cell r="BP128">
            <v>5.2883599213865429</v>
          </cell>
          <cell r="BQ128">
            <v>0.7247411485990396</v>
          </cell>
          <cell r="BR128">
            <v>6.7830313269367837</v>
          </cell>
          <cell r="BS128">
            <v>5.463859744521482</v>
          </cell>
          <cell r="BT128">
            <v>2.0717754504425479</v>
          </cell>
        </row>
        <row r="129">
          <cell r="A129" t="str">
            <v>Net Income</v>
          </cell>
          <cell r="Z129" t="str">
            <v>NM</v>
          </cell>
          <cell r="AA129" t="str">
            <v>NM</v>
          </cell>
          <cell r="AB129" t="str">
            <v>NM</v>
          </cell>
          <cell r="AC129" t="str">
            <v>NM</v>
          </cell>
          <cell r="AD129" t="str">
            <v>NM</v>
          </cell>
          <cell r="AE129" t="str">
            <v>NM</v>
          </cell>
          <cell r="AF129" t="str">
            <v>NM</v>
          </cell>
          <cell r="AG129" t="str">
            <v>NM</v>
          </cell>
          <cell r="AH129" t="str">
            <v>NM</v>
          </cell>
          <cell r="AI129" t="str">
            <v>NM</v>
          </cell>
          <cell r="AJ129" t="str">
            <v>NM</v>
          </cell>
          <cell r="AK129" t="str">
            <v>NM</v>
          </cell>
          <cell r="AL129" t="str">
            <v>NM</v>
          </cell>
          <cell r="AM129" t="str">
            <v>NM</v>
          </cell>
          <cell r="AN129" t="str">
            <v>NM</v>
          </cell>
          <cell r="AO129" t="str">
            <v>NM</v>
          </cell>
          <cell r="AP129" t="str">
            <v>NM</v>
          </cell>
          <cell r="AQ129">
            <v>-55.538771399798136</v>
          </cell>
          <cell r="AR129">
            <v>422.98980747451338</v>
          </cell>
          <cell r="AS129">
            <v>20.809874404503901</v>
          </cell>
          <cell r="AT129">
            <v>-189.15128159168339</v>
          </cell>
          <cell r="AU129" t="str">
            <v>NM</v>
          </cell>
          <cell r="AV129">
            <v>-109.1696255108193</v>
          </cell>
          <cell r="AW129" t="str">
            <v>NM</v>
          </cell>
          <cell r="AX129">
            <v>276.25272331154645</v>
          </cell>
          <cell r="AY129">
            <v>-61.883512499685288</v>
          </cell>
          <cell r="AZ129">
            <v>41.579564406135901</v>
          </cell>
          <cell r="BA129">
            <v>-31.469991369457183</v>
          </cell>
          <cell r="BB129">
            <v>-3.8649398390034451</v>
          </cell>
          <cell r="BC129">
            <v>19.632488316102403</v>
          </cell>
          <cell r="BD129">
            <v>-4.8477315102546932</v>
          </cell>
          <cell r="BE129">
            <v>50.04665484743871</v>
          </cell>
          <cell r="BF129">
            <v>3.4576039302259831</v>
          </cell>
          <cell r="BG129">
            <v>-6.229274987727762</v>
          </cell>
          <cell r="BH129">
            <v>-10.574673347506923</v>
          </cell>
          <cell r="BI129">
            <v>9.8661935653440622</v>
          </cell>
          <cell r="BJ129">
            <v>23.063723544577996</v>
          </cell>
          <cell r="BK129">
            <v>-117.4302604023999</v>
          </cell>
          <cell r="BL129" t="str">
            <v>NM</v>
          </cell>
          <cell r="BM129">
            <v>48.860882740553137</v>
          </cell>
          <cell r="BN129">
            <v>18.868388853130604</v>
          </cell>
          <cell r="BO129">
            <v>10.105350199929063</v>
          </cell>
          <cell r="BP129">
            <v>5.2883599213865429</v>
          </cell>
          <cell r="BQ129">
            <v>0.7247411485990396</v>
          </cell>
          <cell r="BR129">
            <v>6.7830313269367837</v>
          </cell>
          <cell r="BS129">
            <v>5.463859744521482</v>
          </cell>
          <cell r="BT129">
            <v>2.0717754504425479</v>
          </cell>
        </row>
        <row r="132">
          <cell r="A132" t="str">
            <v>Share Count Schedule</v>
          </cell>
        </row>
        <row r="133">
          <cell r="A133" t="str">
            <v>Share Repurchases</v>
          </cell>
        </row>
        <row r="134">
          <cell r="A134" t="str">
            <v># of Shares Repurchased</v>
          </cell>
          <cell r="F134">
            <v>2.8</v>
          </cell>
          <cell r="G134">
            <v>10.100000000000001</v>
          </cell>
          <cell r="H134">
            <v>39.895569999999999</v>
          </cell>
          <cell r="I134">
            <v>18.29552</v>
          </cell>
          <cell r="J134">
            <v>6.5697020000000004</v>
          </cell>
          <cell r="K134">
            <v>9.2730689999999996</v>
          </cell>
          <cell r="L134">
            <v>8.5869600000000013</v>
          </cell>
          <cell r="M134">
            <v>1</v>
          </cell>
          <cell r="N134">
            <v>0.8</v>
          </cell>
          <cell r="O134">
            <v>0.8</v>
          </cell>
          <cell r="P134">
            <v>0.7</v>
          </cell>
          <cell r="Q134">
            <v>0.6</v>
          </cell>
          <cell r="R134">
            <v>0.5</v>
          </cell>
          <cell r="S134">
            <v>0.5</v>
          </cell>
          <cell r="T134">
            <v>0.5</v>
          </cell>
          <cell r="U134">
            <v>0.5</v>
          </cell>
          <cell r="V134">
            <v>0.5</v>
          </cell>
          <cell r="AS134">
            <v>12.600000000000001</v>
          </cell>
          <cell r="AT134">
            <v>10.199999999999999</v>
          </cell>
          <cell r="AU134">
            <v>8.1999999999999993</v>
          </cell>
          <cell r="AV134">
            <v>8.8955699999999993</v>
          </cell>
          <cell r="AW134">
            <v>4.4950559999999999</v>
          </cell>
          <cell r="AX134">
            <v>2.7084000000000001</v>
          </cell>
          <cell r="AY134">
            <v>8.3078430000000001</v>
          </cell>
          <cell r="AZ134">
            <v>2.7842209999999996</v>
          </cell>
          <cell r="BA134">
            <v>6.7437999999999998E-2</v>
          </cell>
          <cell r="BB134">
            <v>2.2315320000000001</v>
          </cell>
          <cell r="BC134">
            <v>3.6101309999999995</v>
          </cell>
          <cell r="BD134">
            <v>0.66060100000000077</v>
          </cell>
          <cell r="BE134">
            <v>1.1834309999999999</v>
          </cell>
          <cell r="BF134">
            <v>3.4550559999999999</v>
          </cell>
          <cell r="BG134">
            <v>3.1739000000000006</v>
          </cell>
          <cell r="BH134">
            <v>1.4606819999999991</v>
          </cell>
          <cell r="BI134">
            <v>2.3897469999999998</v>
          </cell>
          <cell r="BJ134">
            <v>1.974437</v>
          </cell>
          <cell r="BK134">
            <v>3.2227760000000005</v>
          </cell>
          <cell r="BL134">
            <v>1</v>
          </cell>
          <cell r="BM134">
            <v>0.25</v>
          </cell>
          <cell r="BN134">
            <v>0.25</v>
          </cell>
          <cell r="BO134">
            <v>0.25</v>
          </cell>
          <cell r="BP134">
            <v>0.25</v>
          </cell>
          <cell r="BQ134">
            <v>0.2</v>
          </cell>
          <cell r="BR134">
            <v>0.2</v>
          </cell>
          <cell r="BS134">
            <v>0.2</v>
          </cell>
          <cell r="BT134">
            <v>0.2</v>
          </cell>
        </row>
        <row r="135">
          <cell r="A135" t="str">
            <v>Total Repurchase ($MM)</v>
          </cell>
          <cell r="F135">
            <v>76.599999999999994</v>
          </cell>
          <cell r="G135">
            <v>321.79999999999995</v>
          </cell>
          <cell r="H135">
            <v>1600</v>
          </cell>
          <cell r="I135">
            <v>697.10000000000014</v>
          </cell>
          <cell r="J135">
            <v>214.79999999999998</v>
          </cell>
          <cell r="K135">
            <v>420.70000000000005</v>
          </cell>
          <cell r="L135">
            <v>450.34992910476194</v>
          </cell>
          <cell r="M135">
            <v>61.677747725439616</v>
          </cell>
          <cell r="N135">
            <v>55.535078756751808</v>
          </cell>
          <cell r="O135">
            <v>59.13303988893329</v>
          </cell>
          <cell r="P135">
            <v>57.69167204164053</v>
          </cell>
          <cell r="Q135">
            <v>55.136755136939307</v>
          </cell>
          <cell r="R135">
            <v>51.231234981406111</v>
          </cell>
          <cell r="S135">
            <v>57.122827004267812</v>
          </cell>
          <cell r="T135">
            <v>63.69195210975861</v>
          </cell>
          <cell r="U135">
            <v>71.01652660238085</v>
          </cell>
          <cell r="V135">
            <v>79.183427161654649</v>
          </cell>
          <cell r="AS135">
            <v>496.2</v>
          </cell>
          <cell r="AT135">
            <v>414.2</v>
          </cell>
          <cell r="AU135">
            <v>289.59999999999997</v>
          </cell>
          <cell r="AV135">
            <v>400.00000000000006</v>
          </cell>
          <cell r="AW135">
            <v>170.6</v>
          </cell>
          <cell r="AX135">
            <v>115.29999999999998</v>
          </cell>
          <cell r="AY135">
            <v>331.8</v>
          </cell>
          <cell r="AZ135">
            <v>79.400000000000034</v>
          </cell>
          <cell r="BA135">
            <v>1.8</v>
          </cell>
          <cell r="BB135">
            <v>67.8</v>
          </cell>
          <cell r="BC135">
            <v>117.6</v>
          </cell>
          <cell r="BD135">
            <v>27.6</v>
          </cell>
          <cell r="BE135">
            <v>51.5</v>
          </cell>
          <cell r="BF135">
            <v>144.80000000000001</v>
          </cell>
          <cell r="BG135">
            <v>149.80000000000001</v>
          </cell>
          <cell r="BH135">
            <v>74.599999999999994</v>
          </cell>
          <cell r="BI135">
            <v>122.69692019999999</v>
          </cell>
          <cell r="BJ135">
            <v>102</v>
          </cell>
          <cell r="BK135">
            <v>168.4</v>
          </cell>
          <cell r="BL135">
            <v>57.253008904761913</v>
          </cell>
          <cell r="BM135">
            <v>14.742649792976193</v>
          </cell>
          <cell r="BN135">
            <v>15.184929286765479</v>
          </cell>
          <cell r="BO135">
            <v>15.640477165368445</v>
          </cell>
          <cell r="BP135">
            <v>16.109691480329499</v>
          </cell>
          <cell r="BQ135">
            <v>13.274385779791508</v>
          </cell>
          <cell r="BR135">
            <v>13.672617353185254</v>
          </cell>
          <cell r="BS135">
            <v>14.082795873780814</v>
          </cell>
          <cell r="BT135">
            <v>14.505279749994239</v>
          </cell>
        </row>
        <row r="136">
          <cell r="A136" t="str">
            <v>Total Treasury Stock Repurchase ($MM)</v>
          </cell>
          <cell r="I136">
            <v>698.61099999999999</v>
          </cell>
          <cell r="J136">
            <v>214.74799999999999</v>
          </cell>
          <cell r="K136">
            <v>420.78899999999999</v>
          </cell>
          <cell r="L136">
            <v>450.37400890476192</v>
          </cell>
          <cell r="M136">
            <v>61.677747725439616</v>
          </cell>
          <cell r="N136">
            <v>55.535078756751808</v>
          </cell>
          <cell r="O136">
            <v>59.13303988893329</v>
          </cell>
          <cell r="P136">
            <v>57.69167204164053</v>
          </cell>
          <cell r="Q136">
            <v>55.136755136939307</v>
          </cell>
          <cell r="R136">
            <v>51.231234981406111</v>
          </cell>
          <cell r="S136">
            <v>57.122827004267812</v>
          </cell>
          <cell r="T136">
            <v>63.69195210975861</v>
          </cell>
          <cell r="U136">
            <v>71.01652660238085</v>
          </cell>
          <cell r="V136">
            <v>79.183427161654649</v>
          </cell>
          <cell r="AW136">
            <v>172.09899999999999</v>
          </cell>
          <cell r="AX136">
            <v>115.30599999999998</v>
          </cell>
          <cell r="AY136">
            <v>331.76</v>
          </cell>
          <cell r="AZ136">
            <v>79.446000000000026</v>
          </cell>
          <cell r="BA136">
            <v>1.8360000000000001</v>
          </cell>
          <cell r="BB136">
            <v>67.795000000000002</v>
          </cell>
          <cell r="BC136">
            <v>117.55199999999999</v>
          </cell>
          <cell r="BD136">
            <v>27.564999999999998</v>
          </cell>
          <cell r="BE136">
            <v>51.515999999999998</v>
          </cell>
          <cell r="BF136">
            <v>144.827</v>
          </cell>
          <cell r="BG136">
            <v>149.81000000000003</v>
          </cell>
          <cell r="BH136">
            <v>74.635999999999939</v>
          </cell>
          <cell r="BI136">
            <v>122.739</v>
          </cell>
          <cell r="BJ136">
            <v>102.00999999999999</v>
          </cell>
          <cell r="BK136">
            <v>168.37199999999999</v>
          </cell>
          <cell r="BL136">
            <v>57.253008904761913</v>
          </cell>
          <cell r="BM136">
            <v>14.742649792976193</v>
          </cell>
          <cell r="BN136">
            <v>15.184929286765479</v>
          </cell>
          <cell r="BO136">
            <v>15.640477165368445</v>
          </cell>
          <cell r="BP136">
            <v>16.109691480329499</v>
          </cell>
          <cell r="BQ136">
            <v>13.274385779791508</v>
          </cell>
          <cell r="BR136">
            <v>13.672617353185254</v>
          </cell>
          <cell r="BS136">
            <v>14.082795873780814</v>
          </cell>
          <cell r="BT136">
            <v>14.505279749994239</v>
          </cell>
        </row>
        <row r="137">
          <cell r="A137" t="str">
            <v>Average Repo price per share</v>
          </cell>
          <cell r="F137">
            <v>27.357142857142858</v>
          </cell>
          <cell r="G137">
            <v>31.861386138613852</v>
          </cell>
          <cell r="H137">
            <v>40.104703354282194</v>
          </cell>
          <cell r="I137">
            <v>38.102223932416251</v>
          </cell>
          <cell r="J137">
            <v>32.695546921306317</v>
          </cell>
          <cell r="K137">
            <v>45.983683404761919</v>
          </cell>
          <cell r="L137">
            <v>53.323127845238034</v>
          </cell>
          <cell r="M137">
            <v>59.455287547440406</v>
          </cell>
          <cell r="N137">
            <v>66.292645615396054</v>
          </cell>
          <cell r="O137">
            <v>73.916299861166607</v>
          </cell>
          <cell r="P137">
            <v>82.416674345200761</v>
          </cell>
          <cell r="Q137">
            <v>91.894591894898852</v>
          </cell>
          <cell r="R137">
            <v>102.46246996281222</v>
          </cell>
          <cell r="S137">
            <v>114.24565400853562</v>
          </cell>
          <cell r="T137">
            <v>127.38390421951722</v>
          </cell>
          <cell r="U137">
            <v>142.0330532047617</v>
          </cell>
          <cell r="V137">
            <v>158.3668543233093</v>
          </cell>
          <cell r="AS137">
            <v>39.380952380952372</v>
          </cell>
          <cell r="AT137">
            <v>40.607843137254903</v>
          </cell>
          <cell r="AU137">
            <v>35.317073170731703</v>
          </cell>
          <cell r="AV137">
            <v>44.966202278212648</v>
          </cell>
          <cell r="AW137">
            <v>37.95280859682282</v>
          </cell>
          <cell r="AX137">
            <v>42.571259784374533</v>
          </cell>
          <cell r="AY137">
            <v>39.938164454961417</v>
          </cell>
          <cell r="AZ137">
            <v>28.517851133225431</v>
          </cell>
          <cell r="BA137">
            <v>26.691183012544858</v>
          </cell>
          <cell r="BB137">
            <v>30.382714655223406</v>
          </cell>
          <cell r="BC137">
            <v>32.574995201005173</v>
          </cell>
          <cell r="BD137">
            <v>41.780136572605805</v>
          </cell>
          <cell r="BE137">
            <v>43.517535031615701</v>
          </cell>
          <cell r="BF137">
            <v>41.909595676596851</v>
          </cell>
          <cell r="BG137">
            <v>47.197454236113295</v>
          </cell>
          <cell r="BH137">
            <v>51.157023984375009</v>
          </cell>
          <cell r="BI137">
            <v>51.797412483870964</v>
          </cell>
          <cell r="BJ137">
            <v>51.887452619047622</v>
          </cell>
          <cell r="BK137">
            <v>52.34593073437501</v>
          </cell>
          <cell r="BL137">
            <v>57.253008904761913</v>
          </cell>
          <cell r="BM137">
            <v>58.970599171904773</v>
          </cell>
          <cell r="BN137">
            <v>60.739717147061917</v>
          </cell>
          <cell r="BO137">
            <v>62.56190866147378</v>
          </cell>
          <cell r="BP137">
            <v>64.438765921317994</v>
          </cell>
          <cell r="BQ137">
            <v>66.371928898957535</v>
          </cell>
          <cell r="BR137">
            <v>68.363086765926269</v>
          </cell>
          <cell r="BS137">
            <v>70.413979368904066</v>
          </cell>
          <cell r="BT137">
            <v>72.526398749971193</v>
          </cell>
        </row>
        <row r="138">
          <cell r="A138" t="str">
            <v>Seq. Growth</v>
          </cell>
          <cell r="I138">
            <v>-4.9931286217882676E-2</v>
          </cell>
          <cell r="J138">
            <v>-0.14189925030885386</v>
          </cell>
          <cell r="K138">
            <v>0.40642037631113248</v>
          </cell>
          <cell r="L138">
            <v>0.15960975496182339</v>
          </cell>
          <cell r="M138">
            <v>0.11499999999999999</v>
          </cell>
          <cell r="N138">
            <v>0.11499999999999999</v>
          </cell>
          <cell r="O138">
            <v>0.11499999999999999</v>
          </cell>
          <cell r="P138">
            <v>0.11499999999999999</v>
          </cell>
          <cell r="Q138">
            <v>0.11499999999999999</v>
          </cell>
          <cell r="R138">
            <v>0.11499999999999999</v>
          </cell>
          <cell r="S138">
            <v>0.11499999999999999</v>
          </cell>
          <cell r="T138">
            <v>0.11499999999999999</v>
          </cell>
          <cell r="U138">
            <v>0.11499999999999999</v>
          </cell>
          <cell r="V138">
            <v>0.11499999999999999</v>
          </cell>
          <cell r="AT138">
            <v>3.1154420655807868E-2</v>
          </cell>
          <cell r="AU138">
            <v>-0.13028936180235795</v>
          </cell>
          <cell r="AV138">
            <v>0.27321429102673944</v>
          </cell>
          <cell r="AW138">
            <v>-0.15597033607590227</v>
          </cell>
          <cell r="AX138">
            <v>0.12168931255164983</v>
          </cell>
          <cell r="AY138">
            <v>-6.1851477798633869E-2</v>
          </cell>
          <cell r="AZ138">
            <v>-0.28594987971003938</v>
          </cell>
          <cell r="BA138">
            <v>-6.4053498005407827E-2</v>
          </cell>
          <cell r="BB138">
            <v>0.13830528384386431</v>
          </cell>
          <cell r="BC138">
            <v>7.2155519039667881E-2</v>
          </cell>
          <cell r="BD138">
            <v>0.2825830461309351</v>
          </cell>
          <cell r="BE138">
            <v>4.1584317370304325E-2</v>
          </cell>
          <cell r="BF138">
            <v>-3.6949228715520643E-2</v>
          </cell>
          <cell r="BG138">
            <v>0.12617297958017026</v>
          </cell>
          <cell r="BH138">
            <v>8.3893714445980372E-2</v>
          </cell>
          <cell r="BI138">
            <v>1.2518095260810158E-2</v>
          </cell>
          <cell r="BJ138">
            <v>1.7383133801267547E-3</v>
          </cell>
          <cell r="BK138">
            <v>8.8360112548497849E-3</v>
          </cell>
          <cell r="BL138">
            <v>9.3743259534107004E-2</v>
          </cell>
          <cell r="BM138">
            <v>3.0000000000000027E-2</v>
          </cell>
          <cell r="BN138">
            <v>3.0000000000000027E-2</v>
          </cell>
          <cell r="BO138">
            <v>3.0000000000000027E-2</v>
          </cell>
          <cell r="BP138">
            <v>3.0000000000000027E-2</v>
          </cell>
          <cell r="BQ138">
            <v>3.0000000000000027E-2</v>
          </cell>
          <cell r="BR138">
            <v>3.0000000000000027E-2</v>
          </cell>
          <cell r="BS138">
            <v>3.0000000000000027E-2</v>
          </cell>
          <cell r="BT138">
            <v>3.0000000000000027E-2</v>
          </cell>
        </row>
        <row r="139">
          <cell r="A139" t="str">
            <v>Average Share price</v>
          </cell>
          <cell r="F139">
            <v>21.244953646825422</v>
          </cell>
          <cell r="G139">
            <v>33.355211980079709</v>
          </cell>
          <cell r="H139">
            <v>41.064216808764911</v>
          </cell>
          <cell r="I139">
            <v>37.527543185770725</v>
          </cell>
          <cell r="J139">
            <v>33.430430031746063</v>
          </cell>
          <cell r="K139">
            <v>45.983683404761919</v>
          </cell>
          <cell r="L139">
            <v>53.323127845238034</v>
          </cell>
          <cell r="M139">
            <v>59.455287547440406</v>
          </cell>
          <cell r="N139">
            <v>66.292645615396054</v>
          </cell>
          <cell r="O139">
            <v>73.916299861166607</v>
          </cell>
          <cell r="P139">
            <v>82.416674345200761</v>
          </cell>
          <cell r="Q139">
            <v>91.894591894898852</v>
          </cell>
          <cell r="R139">
            <v>102.46246996281222</v>
          </cell>
          <cell r="S139">
            <v>114.24565400853562</v>
          </cell>
          <cell r="T139">
            <v>127.38390421951722</v>
          </cell>
          <cell r="U139">
            <v>142.0330532047617</v>
          </cell>
          <cell r="V139">
            <v>158.3668543233093</v>
          </cell>
          <cell r="AS139">
            <v>39.176878442622964</v>
          </cell>
          <cell r="AT139">
            <v>40.589517666666673</v>
          </cell>
          <cell r="AU139">
            <v>41.133327682539701</v>
          </cell>
          <cell r="AV139">
            <v>43.262337140625</v>
          </cell>
          <cell r="AW139">
            <v>38.522290524590176</v>
          </cell>
          <cell r="AX139">
            <v>42.827961890625005</v>
          </cell>
          <cell r="AY139">
            <v>39.949055468750018</v>
          </cell>
          <cell r="AZ139">
            <v>28.857493640624995</v>
          </cell>
          <cell r="BA139">
            <v>29.288190196721313</v>
          </cell>
          <cell r="BB139">
            <v>31.023644793650803</v>
          </cell>
          <cell r="BC139">
            <v>33.386868015624991</v>
          </cell>
          <cell r="BD139">
            <v>39.791243609375023</v>
          </cell>
          <cell r="BE139">
            <v>43.163599967213102</v>
          </cell>
          <cell r="BF139">
            <v>42.079993301587301</v>
          </cell>
          <cell r="BG139">
            <v>47.340929796875002</v>
          </cell>
          <cell r="BH139">
            <v>51.157023984375009</v>
          </cell>
          <cell r="BI139">
            <v>51.797412483870964</v>
          </cell>
          <cell r="BJ139">
            <v>51.887452619047622</v>
          </cell>
          <cell r="BK139">
            <v>52.34593073437501</v>
          </cell>
          <cell r="BL139">
            <v>57.253008904761913</v>
          </cell>
          <cell r="BM139">
            <v>58.970599171904773</v>
          </cell>
          <cell r="BN139">
            <v>60.739717147061917</v>
          </cell>
          <cell r="BO139">
            <v>62.56190866147378</v>
          </cell>
          <cell r="BP139">
            <v>64.438765921317994</v>
          </cell>
          <cell r="BQ139">
            <v>66.371928898957535</v>
          </cell>
          <cell r="BR139">
            <v>68.363086765926269</v>
          </cell>
          <cell r="BS139">
            <v>70.413979368904066</v>
          </cell>
          <cell r="BT139">
            <v>72.526398749971193</v>
          </cell>
        </row>
        <row r="141">
          <cell r="A141" t="str">
            <v>Authorization (BOP)</v>
          </cell>
          <cell r="F141">
            <v>750</v>
          </cell>
          <cell r="G141">
            <v>673.4</v>
          </cell>
          <cell r="H141">
            <v>351.6</v>
          </cell>
          <cell r="I141">
            <v>251.59999999999991</v>
          </cell>
          <cell r="J141">
            <v>1054.4999999999998</v>
          </cell>
          <cell r="K141">
            <v>1339.6999999999998</v>
          </cell>
          <cell r="L141">
            <v>918.99999999999977</v>
          </cell>
          <cell r="M141">
            <v>468.65007089523783</v>
          </cell>
          <cell r="N141">
            <v>906.97232316979819</v>
          </cell>
          <cell r="O141">
            <v>1051.4372444130463</v>
          </cell>
          <cell r="P141">
            <v>992.30420452411306</v>
          </cell>
          <cell r="Q141">
            <v>934.61253248247249</v>
          </cell>
          <cell r="R141">
            <v>879.47577734553317</v>
          </cell>
          <cell r="S141">
            <v>828.24454236412703</v>
          </cell>
          <cell r="T141">
            <v>771.12171535985919</v>
          </cell>
          <cell r="U141">
            <v>707.42976325010056</v>
          </cell>
          <cell r="V141">
            <v>636.41323664771971</v>
          </cell>
          <cell r="AS141">
            <v>351.6</v>
          </cell>
          <cell r="AT141">
            <v>1355.3999999999999</v>
          </cell>
          <cell r="AU141">
            <v>941.19999999999982</v>
          </cell>
          <cell r="AV141">
            <v>651.59999999999991</v>
          </cell>
          <cell r="AW141">
            <v>251.59999999999985</v>
          </cell>
          <cell r="AX141">
            <v>1581</v>
          </cell>
          <cell r="AY141">
            <v>1465.7</v>
          </cell>
          <cell r="AZ141">
            <v>1133.9000000000001</v>
          </cell>
          <cell r="BA141">
            <v>1054.5</v>
          </cell>
          <cell r="BB141">
            <v>1552.7</v>
          </cell>
          <cell r="BC141">
            <v>1484.9</v>
          </cell>
          <cell r="BD141">
            <v>1367.3000000000002</v>
          </cell>
          <cell r="BE141">
            <v>1339.7000000000003</v>
          </cell>
          <cell r="BF141">
            <v>1288.2000000000003</v>
          </cell>
          <cell r="BG141">
            <v>1143.4000000000003</v>
          </cell>
          <cell r="BH141">
            <v>993.60000000000036</v>
          </cell>
          <cell r="BI141">
            <v>919.00000000000034</v>
          </cell>
          <cell r="BJ141">
            <v>796.30307980000032</v>
          </cell>
          <cell r="BK141">
            <v>694.30307980000032</v>
          </cell>
          <cell r="BL141">
            <v>525.90307980000034</v>
          </cell>
          <cell r="BM141">
            <v>468.6500708952384</v>
          </cell>
          <cell r="BN141">
            <v>578.90742110226222</v>
          </cell>
          <cell r="BO141">
            <v>688.72249181549671</v>
          </cell>
          <cell r="BP141">
            <v>798.08201465012826</v>
          </cell>
          <cell r="BQ141">
            <v>906.97232316979876</v>
          </cell>
          <cell r="BR141">
            <v>943.69793739000727</v>
          </cell>
          <cell r="BS141">
            <v>980.025320036822</v>
          </cell>
          <cell r="BT141">
            <v>1015.9425241630412</v>
          </cell>
        </row>
        <row r="142">
          <cell r="A142" t="str">
            <v>Additional authorization</v>
          </cell>
          <cell r="F142">
            <v>0</v>
          </cell>
          <cell r="G142">
            <v>0</v>
          </cell>
          <cell r="H142">
            <v>1500</v>
          </cell>
          <cell r="I142">
            <v>1500</v>
          </cell>
          <cell r="J142">
            <v>500</v>
          </cell>
          <cell r="K142">
            <v>0</v>
          </cell>
          <cell r="L142">
            <v>0</v>
          </cell>
          <cell r="M142">
            <v>500</v>
          </cell>
          <cell r="N142">
            <v>200</v>
          </cell>
          <cell r="O142">
            <v>0</v>
          </cell>
          <cell r="P142">
            <v>0</v>
          </cell>
          <cell r="Q142">
            <v>0</v>
          </cell>
          <cell r="R142">
            <v>0</v>
          </cell>
          <cell r="S142">
            <v>0</v>
          </cell>
          <cell r="T142">
            <v>0</v>
          </cell>
          <cell r="U142">
            <v>0</v>
          </cell>
          <cell r="V142">
            <v>0</v>
          </cell>
          <cell r="AS142">
            <v>1500</v>
          </cell>
          <cell r="AT142">
            <v>0</v>
          </cell>
          <cell r="AU142">
            <v>0</v>
          </cell>
          <cell r="AV142">
            <v>0</v>
          </cell>
          <cell r="AW142">
            <v>1500</v>
          </cell>
          <cell r="AX142">
            <v>0</v>
          </cell>
          <cell r="AY142">
            <v>0</v>
          </cell>
          <cell r="AZ142">
            <v>0</v>
          </cell>
          <cell r="BA142">
            <v>500</v>
          </cell>
          <cell r="BB142">
            <v>0</v>
          </cell>
          <cell r="BC142">
            <v>0</v>
          </cell>
          <cell r="BD142">
            <v>0</v>
          </cell>
          <cell r="BE142">
            <v>0</v>
          </cell>
          <cell r="BF142">
            <v>0</v>
          </cell>
          <cell r="BG142">
            <v>0</v>
          </cell>
          <cell r="BH142">
            <v>0</v>
          </cell>
          <cell r="BI142">
            <v>0</v>
          </cell>
          <cell r="BJ142">
            <v>0</v>
          </cell>
          <cell r="BK142">
            <v>0</v>
          </cell>
          <cell r="BL142">
            <v>0</v>
          </cell>
          <cell r="BM142">
            <v>125</v>
          </cell>
          <cell r="BN142">
            <v>125</v>
          </cell>
          <cell r="BO142">
            <v>125</v>
          </cell>
          <cell r="BP142">
            <v>125</v>
          </cell>
          <cell r="BQ142">
            <v>50</v>
          </cell>
          <cell r="BR142">
            <v>50</v>
          </cell>
          <cell r="BS142">
            <v>50</v>
          </cell>
          <cell r="BT142">
            <v>50</v>
          </cell>
        </row>
        <row r="143">
          <cell r="A143" t="str">
            <v>Cost of repo</v>
          </cell>
          <cell r="F143">
            <v>76.599999999999994</v>
          </cell>
          <cell r="G143">
            <v>321.79999999999995</v>
          </cell>
          <cell r="H143">
            <v>1600</v>
          </cell>
          <cell r="I143">
            <v>697.10000000000014</v>
          </cell>
          <cell r="J143">
            <v>214.79999999999998</v>
          </cell>
          <cell r="K143">
            <v>420.70000000000005</v>
          </cell>
          <cell r="L143">
            <v>450.34992910476194</v>
          </cell>
          <cell r="M143">
            <v>61.677747725439616</v>
          </cell>
          <cell r="N143">
            <v>55.535078756751808</v>
          </cell>
          <cell r="O143">
            <v>59.13303988893329</v>
          </cell>
          <cell r="P143">
            <v>57.69167204164053</v>
          </cell>
          <cell r="Q143">
            <v>55.136755136939307</v>
          </cell>
          <cell r="R143">
            <v>51.231234981406111</v>
          </cell>
          <cell r="S143">
            <v>57.122827004267812</v>
          </cell>
          <cell r="T143">
            <v>63.69195210975861</v>
          </cell>
          <cell r="U143">
            <v>71.01652660238085</v>
          </cell>
          <cell r="V143">
            <v>79.183427161654649</v>
          </cell>
          <cell r="AS143">
            <v>496.2</v>
          </cell>
          <cell r="AT143">
            <v>414.2</v>
          </cell>
          <cell r="AU143">
            <v>289.59999999999997</v>
          </cell>
          <cell r="AV143">
            <v>400.00000000000006</v>
          </cell>
          <cell r="AW143">
            <v>170.6</v>
          </cell>
          <cell r="AX143">
            <v>115.29999999999998</v>
          </cell>
          <cell r="AY143">
            <v>331.8</v>
          </cell>
          <cell r="AZ143">
            <v>79.400000000000034</v>
          </cell>
          <cell r="BA143">
            <v>1.8</v>
          </cell>
          <cell r="BB143">
            <v>67.8</v>
          </cell>
          <cell r="BC143">
            <v>117.6</v>
          </cell>
          <cell r="BD143">
            <v>27.6</v>
          </cell>
          <cell r="BE143">
            <v>51.5</v>
          </cell>
          <cell r="BF143">
            <v>144.80000000000001</v>
          </cell>
          <cell r="BG143">
            <v>149.80000000000001</v>
          </cell>
          <cell r="BH143">
            <v>74.599999999999994</v>
          </cell>
          <cell r="BI143">
            <v>122.69692019999999</v>
          </cell>
          <cell r="BJ143">
            <v>102</v>
          </cell>
          <cell r="BK143">
            <v>168.4</v>
          </cell>
          <cell r="BL143">
            <v>57.253008904761913</v>
          </cell>
          <cell r="BM143">
            <v>14.742649792976193</v>
          </cell>
          <cell r="BN143">
            <v>15.184929286765479</v>
          </cell>
          <cell r="BO143">
            <v>15.640477165368445</v>
          </cell>
          <cell r="BP143">
            <v>16.109691480329499</v>
          </cell>
          <cell r="BQ143">
            <v>13.274385779791508</v>
          </cell>
          <cell r="BR143">
            <v>13.672617353185254</v>
          </cell>
          <cell r="BS143">
            <v>14.082795873780814</v>
          </cell>
          <cell r="BT143">
            <v>14.505279749994239</v>
          </cell>
        </row>
        <row r="144">
          <cell r="A144" t="str">
            <v>Authorization (EOP)</v>
          </cell>
          <cell r="F144">
            <v>673.4</v>
          </cell>
          <cell r="G144">
            <v>351.6</v>
          </cell>
          <cell r="H144">
            <v>251.59999999999991</v>
          </cell>
          <cell r="I144">
            <v>1054.4999999999998</v>
          </cell>
          <cell r="J144">
            <v>1339.6999999999998</v>
          </cell>
          <cell r="K144">
            <v>918.99999999999977</v>
          </cell>
          <cell r="L144">
            <v>468.65007089523783</v>
          </cell>
          <cell r="M144">
            <v>906.97232316979819</v>
          </cell>
          <cell r="N144">
            <v>1051.4372444130463</v>
          </cell>
          <cell r="O144">
            <v>992.30420452411306</v>
          </cell>
          <cell r="P144">
            <v>934.61253248247249</v>
          </cell>
          <cell r="Q144">
            <v>879.47577734553317</v>
          </cell>
          <cell r="R144">
            <v>828.24454236412703</v>
          </cell>
          <cell r="S144">
            <v>771.12171535985919</v>
          </cell>
          <cell r="T144">
            <v>707.42976325010056</v>
          </cell>
          <cell r="U144">
            <v>636.41323664771971</v>
          </cell>
          <cell r="V144">
            <v>557.22980948606505</v>
          </cell>
          <cell r="AS144">
            <v>1355.3999999999999</v>
          </cell>
          <cell r="AT144">
            <v>941.19999999999982</v>
          </cell>
          <cell r="AU144">
            <v>651.59999999999991</v>
          </cell>
          <cell r="AV144">
            <v>251.59999999999985</v>
          </cell>
          <cell r="AW144">
            <v>1581</v>
          </cell>
          <cell r="AX144">
            <v>1465.7</v>
          </cell>
          <cell r="AY144">
            <v>1133.9000000000001</v>
          </cell>
          <cell r="AZ144">
            <v>1054.5</v>
          </cell>
          <cell r="BA144">
            <v>1552.7</v>
          </cell>
          <cell r="BB144">
            <v>1484.9</v>
          </cell>
          <cell r="BC144">
            <v>1367.3000000000002</v>
          </cell>
          <cell r="BD144">
            <v>1339.7000000000003</v>
          </cell>
          <cell r="BE144">
            <v>1288.2000000000003</v>
          </cell>
          <cell r="BF144">
            <v>1143.4000000000003</v>
          </cell>
          <cell r="BG144">
            <v>993.60000000000036</v>
          </cell>
          <cell r="BH144">
            <v>919.00000000000034</v>
          </cell>
          <cell r="BI144">
            <v>796.30307980000032</v>
          </cell>
          <cell r="BJ144">
            <v>694.30307980000032</v>
          </cell>
          <cell r="BK144">
            <v>525.90307980000034</v>
          </cell>
          <cell r="BL144">
            <v>468.6500708952384</v>
          </cell>
          <cell r="BM144">
            <v>578.90742110226222</v>
          </cell>
          <cell r="BN144">
            <v>688.72249181549671</v>
          </cell>
          <cell r="BO144">
            <v>798.08201465012826</v>
          </cell>
          <cell r="BP144">
            <v>906.97232316979876</v>
          </cell>
          <cell r="BQ144">
            <v>943.69793739000727</v>
          </cell>
          <cell r="BR144">
            <v>980.025320036822</v>
          </cell>
          <cell r="BS144">
            <v>1015.9425241630412</v>
          </cell>
          <cell r="BT144">
            <v>1051.4372444130468</v>
          </cell>
        </row>
        <row r="146">
          <cell r="A146" t="str">
            <v>Share Issuances</v>
          </cell>
        </row>
        <row r="147">
          <cell r="A147" t="str">
            <v>Shares Issued (in mm)</v>
          </cell>
          <cell r="E147">
            <v>6.2493239999999997</v>
          </cell>
          <cell r="F147">
            <v>11.106693</v>
          </cell>
          <cell r="G147">
            <v>3.8848120000000002</v>
          </cell>
          <cell r="H147">
            <v>7.4006670000000003</v>
          </cell>
          <cell r="I147">
            <v>-4.5561429999999996</v>
          </cell>
          <cell r="J147">
            <v>-3.1305160000000001</v>
          </cell>
          <cell r="K147">
            <v>-4.6469040000000001</v>
          </cell>
          <cell r="L147">
            <v>-2.7341509568446938</v>
          </cell>
          <cell r="M147">
            <v>-1.3875726416714107</v>
          </cell>
          <cell r="N147">
            <v>-1.0979246112104786</v>
          </cell>
          <cell r="O147">
            <v>-0.86873898756728274</v>
          </cell>
          <cell r="P147">
            <v>-0.68739458138874499</v>
          </cell>
          <cell r="Q147">
            <v>-0.54390480602899449</v>
          </cell>
          <cell r="R147">
            <v>-0.43036771896538228</v>
          </cell>
          <cell r="S147">
            <v>-0.34053086399385996</v>
          </cell>
          <cell r="T147">
            <v>-0.26944695018292575</v>
          </cell>
          <cell r="U147">
            <v>-0.21320140592069542</v>
          </cell>
          <cell r="V147">
            <v>-0.16869680453128957</v>
          </cell>
          <cell r="AS147">
            <v>3.1352229999999999</v>
          </cell>
          <cell r="AT147">
            <v>2.6759380000000004</v>
          </cell>
          <cell r="AU147">
            <v>0.65281599999999962</v>
          </cell>
          <cell r="AV147">
            <v>0.93669000000000047</v>
          </cell>
          <cell r="AW147">
            <v>-0.73769700000000005</v>
          </cell>
          <cell r="AX147">
            <v>-1.56864</v>
          </cell>
          <cell r="AY147">
            <v>-1.7309569999999999</v>
          </cell>
          <cell r="AZ147">
            <v>-0.51884899999999945</v>
          </cell>
          <cell r="BA147">
            <v>-0.56350800000000001</v>
          </cell>
          <cell r="BB147">
            <v>-0.49922199999999994</v>
          </cell>
          <cell r="BC147">
            <v>-0.94161700000000004</v>
          </cell>
          <cell r="BD147">
            <v>-1.126169</v>
          </cell>
          <cell r="BE147">
            <v>-1.647065</v>
          </cell>
          <cell r="BF147">
            <v>-1.0823230000000001</v>
          </cell>
          <cell r="BG147">
            <v>-1.4274069999999996</v>
          </cell>
          <cell r="BH147">
            <v>-0.49010900000000035</v>
          </cell>
          <cell r="BI147">
            <v>-0.77861100000000005</v>
          </cell>
          <cell r="BJ147">
            <v>-0.86097699999999999</v>
          </cell>
          <cell r="BK147">
            <v>-0.6938639999999997</v>
          </cell>
          <cell r="BL147">
            <v>-0.40069895684469398</v>
          </cell>
          <cell r="BM147">
            <v>-0.37791785400567496</v>
          </cell>
          <cell r="BN147">
            <v>-0.35643193458976408</v>
          </cell>
          <cell r="BO147">
            <v>-0.33616756300032891</v>
          </cell>
          <cell r="BP147">
            <v>-0.31705529007564265</v>
          </cell>
          <cell r="BQ147">
            <v>-0.29902961507577558</v>
          </cell>
          <cell r="BR147">
            <v>-0.28202876120134479</v>
          </cell>
          <cell r="BS147">
            <v>-0.26599446387478803</v>
          </cell>
          <cell r="BT147">
            <v>-0.25087177105857011</v>
          </cell>
        </row>
        <row r="148">
          <cell r="A148" t="str">
            <v>Weighted Average Price</v>
          </cell>
          <cell r="E148">
            <v>6.41</v>
          </cell>
          <cell r="F148">
            <v>5.7</v>
          </cell>
          <cell r="G148">
            <v>10.26</v>
          </cell>
          <cell r="H148">
            <v>17.25</v>
          </cell>
          <cell r="I148">
            <v>29.908192082645343</v>
          </cell>
          <cell r="J148">
            <v>38.97983591203495</v>
          </cell>
          <cell r="K148">
            <v>37.460855657874575</v>
          </cell>
          <cell r="L148">
            <v>53.323127845238034</v>
          </cell>
          <cell r="M148">
            <v>59.455287547440406</v>
          </cell>
          <cell r="N148">
            <v>66.292645615396054</v>
          </cell>
          <cell r="O148">
            <v>73.916299861166607</v>
          </cell>
          <cell r="P148">
            <v>82.416674345200761</v>
          </cell>
          <cell r="Q148">
            <v>91.894591894898852</v>
          </cell>
          <cell r="R148">
            <v>102.46246996281222</v>
          </cell>
          <cell r="S148">
            <v>114.24565400853562</v>
          </cell>
          <cell r="T148">
            <v>127.38390421951722</v>
          </cell>
          <cell r="U148">
            <v>142.0330532047617</v>
          </cell>
          <cell r="V148">
            <v>158.3668543233093</v>
          </cell>
          <cell r="AS148">
            <v>16.36</v>
          </cell>
          <cell r="AT148">
            <v>18.260000000000002</v>
          </cell>
          <cell r="AU148">
            <v>17.87</v>
          </cell>
          <cell r="AV148">
            <v>17.25</v>
          </cell>
          <cell r="AW148">
            <v>38.721860059075745</v>
          </cell>
          <cell r="AX148">
            <v>26.336826805385559</v>
          </cell>
          <cell r="AY148">
            <v>28.045179631845276</v>
          </cell>
          <cell r="AZ148">
            <v>34.389581554556344</v>
          </cell>
          <cell r="BA148">
            <v>58.911319803800481</v>
          </cell>
          <cell r="BB148">
            <v>32.841100752771311</v>
          </cell>
          <cell r="BC148">
            <v>34.809269586254281</v>
          </cell>
          <cell r="BD148">
            <v>35.2149632959174</v>
          </cell>
          <cell r="BE148">
            <v>28.6558211120994</v>
          </cell>
          <cell r="BF148">
            <v>56.600478784983771</v>
          </cell>
          <cell r="BG148">
            <v>27.007713987671355</v>
          </cell>
          <cell r="BH148">
            <v>51.157023984375009</v>
          </cell>
          <cell r="BI148">
            <v>51.797412483870964</v>
          </cell>
          <cell r="BJ148">
            <v>51.887452619047622</v>
          </cell>
          <cell r="BK148">
            <v>52.34593073437501</v>
          </cell>
          <cell r="BL148">
            <v>57.253008904761913</v>
          </cell>
          <cell r="BM148">
            <v>58.970599171904773</v>
          </cell>
          <cell r="BN148">
            <v>60.739717147061917</v>
          </cell>
          <cell r="BO148">
            <v>62.56190866147378</v>
          </cell>
          <cell r="BP148">
            <v>64.438765921317994</v>
          </cell>
          <cell r="BQ148">
            <v>66.371928898957535</v>
          </cell>
          <cell r="BR148">
            <v>68.363086765926269</v>
          </cell>
          <cell r="BS148">
            <v>70.413979368904066</v>
          </cell>
          <cell r="BT148">
            <v>72.526398749971193</v>
          </cell>
        </row>
        <row r="149">
          <cell r="A149" t="str">
            <v>Net Proceeds from Exercises</v>
          </cell>
          <cell r="E149">
            <v>40.058166839999998</v>
          </cell>
          <cell r="F149">
            <v>63.308150099999999</v>
          </cell>
          <cell r="G149">
            <v>39.858171120000002</v>
          </cell>
          <cell r="H149">
            <v>127.66150575</v>
          </cell>
          <cell r="I149">
            <v>-136.26599999999999</v>
          </cell>
          <cell r="J149">
            <v>-122.027</v>
          </cell>
          <cell r="K149">
            <v>-174.077</v>
          </cell>
          <cell r="L149">
            <v>-109.79222094435806</v>
          </cell>
          <cell r="M149">
            <v>-85.397553170314154</v>
          </cell>
          <cell r="N149">
            <v>-76.052083817413617</v>
          </cell>
          <cell r="O149">
            <v>-64.213971506109559</v>
          </cell>
          <cell r="P149">
            <v>-56.652775360971795</v>
          </cell>
          <cell r="Q149">
            <v>-49.981910179708571</v>
          </cell>
          <cell r="R149">
            <v>-44.096539477454492</v>
          </cell>
          <cell r="S149">
            <v>-38.904171267070225</v>
          </cell>
          <cell r="T149">
            <v>-34.323204494342839</v>
          </cell>
          <cell r="U149">
            <v>-30.281646630464127</v>
          </cell>
          <cell r="V149">
            <v>-26.715982268014521</v>
          </cell>
          <cell r="AS149">
            <v>51.292248279999995</v>
          </cell>
          <cell r="AT149">
            <v>48.862627880000012</v>
          </cell>
          <cell r="AU149">
            <v>11.665821919999994</v>
          </cell>
          <cell r="AV149">
            <v>16.157902500000009</v>
          </cell>
          <cell r="AW149">
            <v>-28.565000000000001</v>
          </cell>
          <cell r="AX149">
            <v>-41.313000000000002</v>
          </cell>
          <cell r="AY149">
            <v>-48.545000000000002</v>
          </cell>
          <cell r="AZ149">
            <v>-17.842999999999986</v>
          </cell>
          <cell r="BA149">
            <v>-33.197000000000003</v>
          </cell>
          <cell r="BB149">
            <v>-16.394999999999996</v>
          </cell>
          <cell r="BC149">
            <v>-32.777000000000001</v>
          </cell>
          <cell r="BD149">
            <v>-39.658000000000001</v>
          </cell>
          <cell r="BE149">
            <v>-47.198</v>
          </cell>
          <cell r="BF149">
            <v>-61.26</v>
          </cell>
          <cell r="BG149">
            <v>-38.550999999999995</v>
          </cell>
          <cell r="BH149">
            <v>-27.068000000000019</v>
          </cell>
          <cell r="BI149">
            <v>-12.284000000000001</v>
          </cell>
          <cell r="BJ149">
            <v>-39.527000000000001</v>
          </cell>
          <cell r="BK149">
            <v>-35.04</v>
          </cell>
          <cell r="BL149">
            <v>-22.941220944358072</v>
          </cell>
          <cell r="BM149">
            <v>-22.286042288475084</v>
          </cell>
          <cell r="BN149">
            <v>-21.649574889162345</v>
          </cell>
          <cell r="BO149">
            <v>-21.03128437137681</v>
          </cell>
          <cell r="BP149">
            <v>-20.430651621299912</v>
          </cell>
          <cell r="BQ149">
            <v>-19.847172350492016</v>
          </cell>
          <cell r="BR149">
            <v>-19.280356672494236</v>
          </cell>
          <cell r="BS149">
            <v>-18.729728691522023</v>
          </cell>
          <cell r="BT149">
            <v>-18.194826102905338</v>
          </cell>
        </row>
        <row r="150">
          <cell r="A150" t="str">
            <v>Tax benefit from ESOP</v>
          </cell>
          <cell r="F150">
            <v>84.188732939999994</v>
          </cell>
          <cell r="G150">
            <v>29.371063430772264</v>
          </cell>
          <cell r="H150">
            <v>59.199017118088939</v>
          </cell>
          <cell r="I150">
            <v>-0.34214971742544631</v>
          </cell>
          <cell r="J150">
            <v>-6.8985002103039008</v>
          </cell>
          <cell r="K150">
            <v>-0.463858010502328</v>
          </cell>
          <cell r="L150">
            <v>-26.991847376492412</v>
          </cell>
          <cell r="M150">
            <v>0</v>
          </cell>
          <cell r="N150">
            <v>0</v>
          </cell>
          <cell r="O150">
            <v>0</v>
          </cell>
          <cell r="P150">
            <v>0</v>
          </cell>
          <cell r="Q150">
            <v>0</v>
          </cell>
          <cell r="R150">
            <v>0</v>
          </cell>
          <cell r="S150">
            <v>0</v>
          </cell>
          <cell r="T150">
            <v>0</v>
          </cell>
          <cell r="U150">
            <v>0</v>
          </cell>
          <cell r="V150">
            <v>0</v>
          </cell>
          <cell r="AS150">
            <v>25.261536785333323</v>
          </cell>
          <cell r="AT150">
            <v>20.930504934156865</v>
          </cell>
          <cell r="AU150">
            <v>3.986404981658533</v>
          </cell>
          <cell r="AV150">
            <v>9.0865213291926548</v>
          </cell>
          <cell r="AW150">
            <v>1.5297845253539037</v>
          </cell>
          <cell r="AX150">
            <v>-0.37432531938495162</v>
          </cell>
          <cell r="AY150">
            <v>-1.1079809117152852</v>
          </cell>
          <cell r="AZ150">
            <v>1.0662895100819918</v>
          </cell>
          <cell r="BA150">
            <v>0</v>
          </cell>
          <cell r="BB150">
            <v>-6.3988914350729704</v>
          </cell>
          <cell r="BC150">
            <v>-0.2163396104785732</v>
          </cell>
          <cell r="BD150">
            <v>-0.28326916475235747</v>
          </cell>
          <cell r="BE150">
            <v>-10.49118266735071</v>
          </cell>
          <cell r="BF150">
            <v>20.722001287970404</v>
          </cell>
          <cell r="BG150">
            <v>-10.694676631122022</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row>
        <row r="151">
          <cell r="A151" t="str">
            <v>Gross Proceeds for Share Issuances</v>
          </cell>
          <cell r="E151">
            <v>40.058166839999998</v>
          </cell>
          <cell r="F151">
            <v>147.49688304</v>
          </cell>
          <cell r="G151">
            <v>69.229234550772262</v>
          </cell>
          <cell r="H151">
            <v>186.86052286808894</v>
          </cell>
          <cell r="I151">
            <v>-135.92385028257453</v>
          </cell>
          <cell r="J151">
            <v>-115.12849978969609</v>
          </cell>
          <cell r="K151">
            <v>-173.61314198949768</v>
          </cell>
          <cell r="L151">
            <v>-136.78406832085048</v>
          </cell>
          <cell r="M151">
            <v>-85.397553170314154</v>
          </cell>
          <cell r="N151">
            <v>-76.052083817413617</v>
          </cell>
          <cell r="O151">
            <v>-64.213971506109559</v>
          </cell>
          <cell r="P151">
            <v>-56.652775360971795</v>
          </cell>
          <cell r="Q151">
            <v>-49.981910179708571</v>
          </cell>
          <cell r="R151">
            <v>-44.096539477454492</v>
          </cell>
          <cell r="S151">
            <v>-38.904171267070225</v>
          </cell>
          <cell r="T151">
            <v>-34.323204494342839</v>
          </cell>
          <cell r="U151">
            <v>-30.281646630464127</v>
          </cell>
          <cell r="V151">
            <v>-26.715982268014521</v>
          </cell>
          <cell r="AS151">
            <v>76.553785065333315</v>
          </cell>
          <cell r="AT151">
            <v>69.793132814156877</v>
          </cell>
          <cell r="AU151">
            <v>15.652226901658526</v>
          </cell>
          <cell r="AV151">
            <v>25.244423829192662</v>
          </cell>
          <cell r="AW151">
            <v>-30.094784525353905</v>
          </cell>
          <cell r="AX151">
            <v>-40.938674680615051</v>
          </cell>
          <cell r="AY151">
            <v>-47.437019088284714</v>
          </cell>
          <cell r="AZ151">
            <v>-18.909289510081976</v>
          </cell>
          <cell r="BA151">
            <v>-33.197000000000003</v>
          </cell>
          <cell r="BB151">
            <v>-9.9961085649270256</v>
          </cell>
          <cell r="BC151">
            <v>-32.560660389521431</v>
          </cell>
          <cell r="BD151">
            <v>-39.374730835247647</v>
          </cell>
          <cell r="BE151">
            <v>-36.706817332649294</v>
          </cell>
          <cell r="BF151">
            <v>-81.982001287970405</v>
          </cell>
          <cell r="BG151">
            <v>-27.856323368877973</v>
          </cell>
          <cell r="BH151">
            <v>-27.068000000000019</v>
          </cell>
          <cell r="BI151">
            <v>-12.284000000000001</v>
          </cell>
          <cell r="BJ151">
            <v>-39.527000000000001</v>
          </cell>
          <cell r="BK151">
            <v>-35.04</v>
          </cell>
          <cell r="BL151">
            <v>-22.941220944358072</v>
          </cell>
          <cell r="BM151">
            <v>-22.286042288475084</v>
          </cell>
          <cell r="BN151">
            <v>-21.649574889162345</v>
          </cell>
          <cell r="BO151">
            <v>-21.03128437137681</v>
          </cell>
          <cell r="BP151">
            <v>-20.430651621299912</v>
          </cell>
          <cell r="BQ151">
            <v>-19.847172350492016</v>
          </cell>
          <cell r="BR151">
            <v>-19.280356672494236</v>
          </cell>
          <cell r="BS151">
            <v>-18.729728691522023</v>
          </cell>
          <cell r="BT151">
            <v>-18.194826102905338</v>
          </cell>
        </row>
        <row r="153">
          <cell r="A153" t="str">
            <v>Options Analysis</v>
          </cell>
        </row>
        <row r="154">
          <cell r="A154" t="str">
            <v>Options outstanding (BOP)</v>
          </cell>
          <cell r="E154">
            <v>18.534607999999999</v>
          </cell>
          <cell r="F154">
            <v>15.290319</v>
          </cell>
          <cell r="G154">
            <v>20.403502000000003</v>
          </cell>
          <cell r="H154">
            <v>20.435594000000002</v>
          </cell>
          <cell r="I154">
            <v>17.392583000000005</v>
          </cell>
          <cell r="J154">
            <v>13.185866000000004</v>
          </cell>
          <cell r="K154">
            <v>11.434178000000006</v>
          </cell>
          <cell r="L154">
            <v>7.9625660000000051</v>
          </cell>
          <cell r="M154">
            <v>6.6667193706594059</v>
          </cell>
          <cell r="N154">
            <v>5.2750789783976826</v>
          </cell>
          <cell r="O154">
            <v>4.173935736788156</v>
          </cell>
          <cell r="P154">
            <v>3.3026499899209441</v>
          </cell>
          <cell r="Q154">
            <v>2.6132402709961537</v>
          </cell>
          <cell r="R154">
            <v>2.067740976124302</v>
          </cell>
          <cell r="S154">
            <v>1.6361116089465677</v>
          </cell>
          <cell r="T154">
            <v>1.2945824587502914</v>
          </cell>
          <cell r="U154">
            <v>1.024345609027876</v>
          </cell>
          <cell r="V154">
            <v>0.81051919067990685</v>
          </cell>
          <cell r="AS154">
            <v>20.435593999999998</v>
          </cell>
          <cell r="AT154">
            <v>21.214959999999998</v>
          </cell>
          <cell r="AU154">
            <v>18.369038999999997</v>
          </cell>
          <cell r="AV154">
            <v>17.897247999999998</v>
          </cell>
          <cell r="AW154">
            <v>17.392582999999998</v>
          </cell>
          <cell r="AX154">
            <v>18.021866999999997</v>
          </cell>
          <cell r="AY154">
            <v>15.711402999999995</v>
          </cell>
          <cell r="AZ154">
            <v>13.848452999999994</v>
          </cell>
          <cell r="BA154">
            <v>13.185865999999995</v>
          </cell>
          <cell r="BB154">
            <v>13.998897999999995</v>
          </cell>
          <cell r="BC154">
            <v>13.677446999999995</v>
          </cell>
          <cell r="BD154">
            <v>12.693024999999995</v>
          </cell>
          <cell r="BE154">
            <v>11.434177999999996</v>
          </cell>
          <cell r="BF154">
            <v>11.132432999999995</v>
          </cell>
          <cell r="BG154">
            <v>9.6175359999999959</v>
          </cell>
          <cell r="BH154">
            <v>8.4425539999999959</v>
          </cell>
          <cell r="BI154">
            <v>7.9625659999999963</v>
          </cell>
          <cell r="BJ154">
            <v>8.6121879999999962</v>
          </cell>
          <cell r="BK154">
            <v>7.6973849999999961</v>
          </cell>
          <cell r="BL154">
            <v>7.0685929999999955</v>
          </cell>
          <cell r="BM154">
            <v>6.6667193706593952</v>
          </cell>
          <cell r="BN154">
            <v>6.2876936282970641</v>
          </cell>
          <cell r="BO154">
            <v>5.9302167925837175</v>
          </cell>
          <cell r="BP154">
            <v>5.5930637346537742</v>
          </cell>
          <cell r="BQ154">
            <v>5.2750789783976701</v>
          </cell>
          <cell r="BR154">
            <v>4.975172740465033</v>
          </cell>
          <cell r="BS154">
            <v>4.692317195407183</v>
          </cell>
          <cell r="BT154">
            <v>4.4255429531590309</v>
          </cell>
        </row>
        <row r="155">
          <cell r="A155" t="str">
            <v>Options granted &amp; assumed</v>
          </cell>
          <cell r="E155">
            <v>5.2880989999999999</v>
          </cell>
          <cell r="F155">
            <v>16.983944999999999</v>
          </cell>
          <cell r="G155">
            <v>4.8062310000000004</v>
          </cell>
          <cell r="H155">
            <v>5.6671100000000001</v>
          </cell>
          <cell r="I155">
            <v>1.7472000000000001</v>
          </cell>
          <cell r="J155">
            <v>1.698669</v>
          </cell>
          <cell r="K155">
            <v>1.111683</v>
          </cell>
          <cell r="L155">
            <v>1.1367755142580078</v>
          </cell>
          <cell r="M155">
            <v>7.6846564074303944E-2</v>
          </cell>
          <cell r="N155">
            <v>6.0805273504463672E-2</v>
          </cell>
          <cell r="O155">
            <v>4.8112512647640104E-2</v>
          </cell>
          <cell r="P155">
            <v>3.806929464924453E-2</v>
          </cell>
          <cell r="Q155">
            <v>3.0122542252261363E-2</v>
          </cell>
          <cell r="R155">
            <v>2.3834629984595134E-2</v>
          </cell>
          <cell r="S155">
            <v>1.8859284244506749E-2</v>
          </cell>
          <cell r="T155">
            <v>1.4922514108462341E-2</v>
          </cell>
          <cell r="U155">
            <v>1.1807522726220075E-2</v>
          </cell>
          <cell r="V155">
            <v>9.3427683778259489E-3</v>
          </cell>
          <cell r="AS155">
            <v>4.6245099999999999</v>
          </cell>
          <cell r="AT155">
            <v>0.25860000000000039</v>
          </cell>
          <cell r="AU155">
            <v>0.26859999999999928</v>
          </cell>
          <cell r="AV155">
            <v>0.51540000000000052</v>
          </cell>
          <cell r="AW155">
            <v>1.5886</v>
          </cell>
          <cell r="AX155">
            <v>1.1099999999999888E-2</v>
          </cell>
          <cell r="AY155">
            <v>3.0000000000000027E-2</v>
          </cell>
          <cell r="AZ155">
            <v>0.11750000000000016</v>
          </cell>
          <cell r="BA155">
            <v>1.4798389999999999</v>
          </cell>
          <cell r="BB155">
            <v>0.13786300000000007</v>
          </cell>
          <cell r="BC155">
            <v>5.4348000000000063E-2</v>
          </cell>
          <cell r="BD155">
            <v>2.6618999999999948E-2</v>
          </cell>
          <cell r="BE155">
            <v>1.043337</v>
          </cell>
          <cell r="BF155">
            <v>2.3508000000000084E-2</v>
          </cell>
          <cell r="BG155">
            <v>1.8332999999999933E-2</v>
          </cell>
          <cell r="BH155">
            <v>2.6505000000000001E-2</v>
          </cell>
          <cell r="BI155">
            <v>1.023002</v>
          </cell>
          <cell r="BJ155">
            <v>3.4212000000000131E-2</v>
          </cell>
          <cell r="BK155">
            <v>5.7369999999999921E-2</v>
          </cell>
          <cell r="BL155">
            <v>2.2191514258007704E-2</v>
          </cell>
          <cell r="BM155">
            <v>2.0929850957343878E-2</v>
          </cell>
          <cell r="BN155">
            <v>1.9739917519984329E-2</v>
          </cell>
          <cell r="BO155">
            <v>1.8617635858465521E-2</v>
          </cell>
          <cell r="BP155">
            <v>1.7559159738510216E-2</v>
          </cell>
          <cell r="BQ155">
            <v>1.6560861597382775E-2</v>
          </cell>
          <cell r="BR155">
            <v>1.5619320111665946E-2</v>
          </cell>
          <cell r="BS155">
            <v>1.4731308471851936E-2</v>
          </cell>
          <cell r="BT155">
            <v>1.389378332356301E-2</v>
          </cell>
        </row>
        <row r="156">
          <cell r="A156" t="str">
            <v>% of outstanding</v>
          </cell>
          <cell r="E156">
            <v>0.28530946001123952</v>
          </cell>
          <cell r="F156">
            <v>1.1107645955587975</v>
          </cell>
          <cell r="G156">
            <v>0.23555912117439445</v>
          </cell>
          <cell r="H156">
            <v>0.27731564837312778</v>
          </cell>
          <cell r="I156">
            <v>0.10045661417858402</v>
          </cell>
          <cell r="J156">
            <v>0.12882498578402052</v>
          </cell>
          <cell r="K156">
            <v>9.7224566558260631E-2</v>
          </cell>
          <cell r="L156">
            <v>0.1427649722787864</v>
          </cell>
          <cell r="M156">
            <v>1.1526893484149018E-2</v>
          </cell>
          <cell r="N156">
            <v>1.1526893484149012E-2</v>
          </cell>
          <cell r="O156">
            <v>1.1526893484149012E-2</v>
          </cell>
          <cell r="P156">
            <v>1.1526893484149012E-2</v>
          </cell>
          <cell r="Q156">
            <v>1.1526893484149012E-2</v>
          </cell>
          <cell r="R156">
            <v>1.1526893484149012E-2</v>
          </cell>
          <cell r="S156">
            <v>1.1526893484149012E-2</v>
          </cell>
          <cell r="T156">
            <v>1.1526893484149012E-2</v>
          </cell>
          <cell r="U156">
            <v>1.1526893484149012E-2</v>
          </cell>
          <cell r="V156">
            <v>1.1526893484149012E-2</v>
          </cell>
          <cell r="AS156">
            <v>0.22629682308231414</v>
          </cell>
          <cell r="AT156">
            <v>1.218951155222543E-2</v>
          </cell>
          <cell r="AU156">
            <v>1.4622430710719234E-2</v>
          </cell>
          <cell r="AV156">
            <v>2.8797723538278096E-2</v>
          </cell>
          <cell r="AW156">
            <v>9.1337784617730455E-2</v>
          </cell>
          <cell r="AX156">
            <v>6.1591842842919047E-4</v>
          </cell>
          <cell r="AY156">
            <v>1.9094411873974613E-3</v>
          </cell>
          <cell r="AZ156">
            <v>8.4847022263064478E-3</v>
          </cell>
          <cell r="BA156">
            <v>0.11222918540200548</v>
          </cell>
          <cell r="BB156">
            <v>9.8481323315592496E-3</v>
          </cell>
          <cell r="BC156">
            <v>3.9735485723322549E-3</v>
          </cell>
          <cell r="BD156">
            <v>2.0971360254943136E-3</v>
          </cell>
          <cell r="BE156">
            <v>9.1247223893138649E-2</v>
          </cell>
          <cell r="BF156">
            <v>2.1116677728938585E-3</v>
          </cell>
          <cell r="BG156">
            <v>1.9062054979570588E-3</v>
          </cell>
          <cell r="BH156">
            <v>3.1394528243467576E-3</v>
          </cell>
          <cell r="BI156">
            <v>3.1394528243467576E-3</v>
          </cell>
          <cell r="BJ156">
            <v>3.1394528243467576E-3</v>
          </cell>
          <cell r="BK156">
            <v>3.1394528243467576E-3</v>
          </cell>
          <cell r="BL156">
            <v>3.1394528243467576E-3</v>
          </cell>
          <cell r="BM156">
            <v>3.1394528243467576E-3</v>
          </cell>
          <cell r="BN156">
            <v>3.1394528243467576E-3</v>
          </cell>
          <cell r="BO156">
            <v>3.1394528243467576E-3</v>
          </cell>
          <cell r="BP156">
            <v>3.1394528243467576E-3</v>
          </cell>
          <cell r="BQ156">
            <v>3.1394528243467576E-3</v>
          </cell>
          <cell r="BR156">
            <v>3.1394528243467576E-3</v>
          </cell>
          <cell r="BS156">
            <v>3.1394528243467576E-3</v>
          </cell>
          <cell r="BT156">
            <v>3.1394528243467576E-3</v>
          </cell>
        </row>
        <row r="157">
          <cell r="A157" t="str">
            <v>Options exercised</v>
          </cell>
          <cell r="E157">
            <v>-6.2493239999999997</v>
          </cell>
          <cell r="F157">
            <v>-11.106693</v>
          </cell>
          <cell r="G157">
            <v>-3.8848120000000002</v>
          </cell>
          <cell r="H157">
            <v>-7.4006670000000003</v>
          </cell>
          <cell r="I157">
            <v>-4.5447030000000002</v>
          </cell>
          <cell r="J157">
            <v>-2.9214130000000003</v>
          </cell>
          <cell r="K157">
            <v>-4.2393939999999999</v>
          </cell>
          <cell r="L157">
            <v>-2.227956956844694</v>
          </cell>
          <cell r="M157">
            <v>-1.3875726416714107</v>
          </cell>
          <cell r="N157">
            <v>-1.0979246112104786</v>
          </cell>
          <cell r="O157">
            <v>-0.86873898756728274</v>
          </cell>
          <cell r="P157">
            <v>-0.68739458138874499</v>
          </cell>
          <cell r="Q157">
            <v>-0.54390480602899449</v>
          </cell>
          <cell r="R157">
            <v>-0.43036771896538228</v>
          </cell>
          <cell r="S157">
            <v>-0.34053086399385996</v>
          </cell>
          <cell r="T157">
            <v>-0.26944695018292575</v>
          </cell>
          <cell r="U157">
            <v>-0.21320140592069542</v>
          </cell>
          <cell r="V157">
            <v>-0.16869680453128957</v>
          </cell>
          <cell r="AS157">
            <v>-3.1352229999999999</v>
          </cell>
          <cell r="AT157">
            <v>-2.6759380000000004</v>
          </cell>
          <cell r="AU157">
            <v>-0.65281599999999962</v>
          </cell>
          <cell r="AV157">
            <v>-0.93669000000000047</v>
          </cell>
          <cell r="AW157">
            <v>-0.77720400000000001</v>
          </cell>
          <cell r="AX157">
            <v>-1.5544269999999998</v>
          </cell>
          <cell r="AY157">
            <v>-1.6914500000000008</v>
          </cell>
          <cell r="AZ157">
            <v>-0.52162199999999981</v>
          </cell>
          <cell r="BA157">
            <v>-0.56350800000000001</v>
          </cell>
          <cell r="BB157">
            <v>-0.30437800000000004</v>
          </cell>
          <cell r="BC157">
            <v>-0.93540199999999996</v>
          </cell>
          <cell r="BD157">
            <v>-1.118125</v>
          </cell>
          <cell r="BE157">
            <v>-1.2809550000000001</v>
          </cell>
          <cell r="BF157">
            <v>-1.4484330000000001</v>
          </cell>
          <cell r="BG157">
            <v>-1.0314209999999999</v>
          </cell>
          <cell r="BH157">
            <v>-0.47858499999999982</v>
          </cell>
          <cell r="BI157">
            <v>-0.303568</v>
          </cell>
          <cell r="BJ157">
            <v>-0.83902799999999989</v>
          </cell>
          <cell r="BK157">
            <v>-0.6846620000000001</v>
          </cell>
          <cell r="BL157">
            <v>-0.40069895684469398</v>
          </cell>
          <cell r="BM157">
            <v>-0.37791785400567496</v>
          </cell>
          <cell r="BN157">
            <v>-0.35643193458976408</v>
          </cell>
          <cell r="BO157">
            <v>-0.33616756300032891</v>
          </cell>
          <cell r="BP157">
            <v>-0.31705529007564265</v>
          </cell>
          <cell r="BQ157">
            <v>-0.29902961507577558</v>
          </cell>
          <cell r="BR157">
            <v>-0.28202876120134479</v>
          </cell>
          <cell r="BS157">
            <v>-0.26599446387478803</v>
          </cell>
          <cell r="BT157">
            <v>-0.25087177105857011</v>
          </cell>
        </row>
        <row r="158">
          <cell r="A158" t="str">
            <v>% of outstanding</v>
          </cell>
          <cell r="E158">
            <v>-0.33717055143545521</v>
          </cell>
          <cell r="F158">
            <v>-0.72638726504005569</v>
          </cell>
          <cell r="G158">
            <v>-0.19039927557533995</v>
          </cell>
          <cell r="H158">
            <v>-0.36214592049538663</v>
          </cell>
          <cell r="I158">
            <v>-0.26130121098171555</v>
          </cell>
          <cell r="J158">
            <v>-0.22155639986027459</v>
          </cell>
          <cell r="K158">
            <v>-0.37076508691748522</v>
          </cell>
          <cell r="L158">
            <v>-0.2798038919670735</v>
          </cell>
          <cell r="M158">
            <v>-0.20813425082480497</v>
          </cell>
          <cell r="N158">
            <v>-0.20813425082480486</v>
          </cell>
          <cell r="O158">
            <v>-0.20813425082480486</v>
          </cell>
          <cell r="P158">
            <v>-0.20813425082480486</v>
          </cell>
          <cell r="Q158">
            <v>-0.20813425082480486</v>
          </cell>
          <cell r="R158">
            <v>-0.20813425082480486</v>
          </cell>
          <cell r="S158">
            <v>-0.20813425082480486</v>
          </cell>
          <cell r="T158">
            <v>-0.20813425082480486</v>
          </cell>
          <cell r="U158">
            <v>-0.20813425082480486</v>
          </cell>
          <cell r="V158">
            <v>-0.20813425082480486</v>
          </cell>
          <cell r="AS158">
            <v>-0.15341971464103271</v>
          </cell>
          <cell r="AT158">
            <v>-0.12613448245954745</v>
          </cell>
          <cell r="AU158">
            <v>-3.5538930479705536E-2</v>
          </cell>
          <cell r="AV158">
            <v>-5.2337096742471279E-2</v>
          </cell>
          <cell r="AW158">
            <v>-4.4685944577639795E-2</v>
          </cell>
          <cell r="AX158">
            <v>-8.6252273418730707E-2</v>
          </cell>
          <cell r="AY158">
            <v>-0.10765747654744781</v>
          </cell>
          <cell r="AZ158">
            <v>-3.7666445486726929E-2</v>
          </cell>
          <cell r="BA158">
            <v>-4.2735759638388576E-2</v>
          </cell>
          <cell r="BB158">
            <v>-2.1742997198779514E-2</v>
          </cell>
          <cell r="BC158">
            <v>-6.8390102334156391E-2</v>
          </cell>
          <cell r="BD158">
            <v>-8.8089718565905334E-2</v>
          </cell>
          <cell r="BE158">
            <v>-0.1120286040675596</v>
          </cell>
          <cell r="BF158">
            <v>-0.13010929416777092</v>
          </cell>
          <cell r="BG158">
            <v>-0.10724378884570854</v>
          </cell>
          <cell r="BH158">
            <v>-5.6687229954347947E-2</v>
          </cell>
          <cell r="BI158">
            <v>-5.6687229954347947E-2</v>
          </cell>
          <cell r="BJ158">
            <v>-5.6687229954347947E-2</v>
          </cell>
          <cell r="BK158">
            <v>-5.6687229954347947E-2</v>
          </cell>
          <cell r="BL158">
            <v>-5.6687229954347947E-2</v>
          </cell>
          <cell r="BM158">
            <v>-5.6687229954347947E-2</v>
          </cell>
          <cell r="BN158">
            <v>-5.6687229954347947E-2</v>
          </cell>
          <cell r="BO158">
            <v>-5.6687229954347947E-2</v>
          </cell>
          <cell r="BP158">
            <v>-5.6687229954347947E-2</v>
          </cell>
          <cell r="BQ158">
            <v>-5.6687229954347947E-2</v>
          </cell>
          <cell r="BR158">
            <v>-5.6687229954347947E-2</v>
          </cell>
          <cell r="BS158">
            <v>-5.6687229954347947E-2</v>
          </cell>
          <cell r="BT158">
            <v>-5.6687229954347947E-2</v>
          </cell>
        </row>
        <row r="159">
          <cell r="A159" t="str">
            <v>Options cancelled / forfeited</v>
          </cell>
          <cell r="E159">
            <v>-2.283064</v>
          </cell>
          <cell r="F159">
            <v>-0.764069</v>
          </cell>
          <cell r="G159">
            <v>-0.88932699999999998</v>
          </cell>
          <cell r="H159">
            <v>-1.3094539999999999</v>
          </cell>
          <cell r="I159">
            <v>-1.409214</v>
          </cell>
          <cell r="J159">
            <v>-0.52894399999999997</v>
          </cell>
          <cell r="K159">
            <v>-0.34390099999999996</v>
          </cell>
          <cell r="L159">
            <v>-0.20466518675391354</v>
          </cell>
          <cell r="M159">
            <v>-8.0914314664616988E-2</v>
          </cell>
          <cell r="N159">
            <v>-6.4023903903511453E-2</v>
          </cell>
          <cell r="O159">
            <v>-5.0659271947569862E-2</v>
          </cell>
          <cell r="P159">
            <v>-4.0084432185290161E-2</v>
          </cell>
          <cell r="Q159">
            <v>-3.1717031095118267E-2</v>
          </cell>
          <cell r="R159">
            <v>-2.5096278196947014E-2</v>
          </cell>
          <cell r="S159">
            <v>-1.9857570446922997E-2</v>
          </cell>
          <cell r="T159">
            <v>-1.5712413647951961E-2</v>
          </cell>
          <cell r="U159">
            <v>-1.2432535153493667E-2</v>
          </cell>
          <cell r="V159">
            <v>-9.8373129556071082E-3</v>
          </cell>
          <cell r="AS159">
            <v>-0.70992100000000002</v>
          </cell>
          <cell r="AT159">
            <v>-0.42858299999999994</v>
          </cell>
          <cell r="AU159">
            <v>-8.7574999999999958E-2</v>
          </cell>
          <cell r="AV159">
            <v>-8.3374999999999977E-2</v>
          </cell>
          <cell r="AW159">
            <v>-0.182112</v>
          </cell>
          <cell r="AX159">
            <v>-0.76713699999999996</v>
          </cell>
          <cell r="AY159">
            <v>-0.20150000000000007</v>
          </cell>
          <cell r="AZ159">
            <v>-0.258465</v>
          </cell>
          <cell r="BA159">
            <v>-0.103299</v>
          </cell>
          <cell r="BB159">
            <v>-0.15493599999999999</v>
          </cell>
          <cell r="BC159">
            <v>-0.10336800000000002</v>
          </cell>
          <cell r="BD159">
            <v>-0.16734099999999999</v>
          </cell>
          <cell r="BE159">
            <v>-6.4127000000000003E-2</v>
          </cell>
          <cell r="BF159">
            <v>-8.9971999999999983E-2</v>
          </cell>
          <cell r="BG159">
            <v>-0.16189399999999998</v>
          </cell>
          <cell r="BH159">
            <v>-2.7907999999999988E-2</v>
          </cell>
          <cell r="BI159">
            <v>-6.9812000000000013E-2</v>
          </cell>
          <cell r="BJ159">
            <v>-0.10998699999999997</v>
          </cell>
          <cell r="BK159">
            <v>-1.5000000000000013E-3</v>
          </cell>
          <cell r="BL159">
            <v>-2.3366186753913554E-2</v>
          </cell>
          <cell r="BM159">
            <v>-2.2037739313999345E-2</v>
          </cell>
          <cell r="BN159">
            <v>-2.0784818643566211E-2</v>
          </cell>
          <cell r="BO159">
            <v>-1.9603130788079817E-2</v>
          </cell>
          <cell r="BP159">
            <v>-1.8488625918971623E-2</v>
          </cell>
          <cell r="BQ159">
            <v>-1.7437484454244791E-2</v>
          </cell>
          <cell r="BR159">
            <v>-1.6446103968171023E-2</v>
          </cell>
          <cell r="BS159">
            <v>-1.5511086845215757E-2</v>
          </cell>
          <cell r="BT159">
            <v>-1.4629228635879883E-2</v>
          </cell>
        </row>
        <row r="160">
          <cell r="A160" t="str">
            <v>% of outstanding</v>
          </cell>
          <cell r="E160">
            <v>-0.12317843463427984</v>
          </cell>
          <cell r="F160">
            <v>-4.9970769085981789E-2</v>
          </cell>
          <cell r="G160">
            <v>-4.3586978353029784E-2</v>
          </cell>
          <cell r="H160">
            <v>-6.4077119559137835E-2</v>
          </cell>
          <cell r="I160">
            <v>-8.1023847924140968E-2</v>
          </cell>
          <cell r="J160">
            <v>-4.0114468022047226E-2</v>
          </cell>
          <cell r="K160">
            <v>-3.0076582680451516E-2</v>
          </cell>
          <cell r="L160">
            <v>-2.5703421077315203E-2</v>
          </cell>
          <cell r="M160">
            <v>-1.2137051249033413E-2</v>
          </cell>
          <cell r="N160">
            <v>-1.2137051249033406E-2</v>
          </cell>
          <cell r="O160">
            <v>-1.2137051249033406E-2</v>
          </cell>
          <cell r="P160">
            <v>-1.2137051249033406E-2</v>
          </cell>
          <cell r="Q160">
            <v>-1.2137051249033406E-2</v>
          </cell>
          <cell r="R160">
            <v>-1.2137051249033406E-2</v>
          </cell>
          <cell r="S160">
            <v>-1.2137051249033406E-2</v>
          </cell>
          <cell r="T160">
            <v>-1.2137051249033406E-2</v>
          </cell>
          <cell r="U160">
            <v>-1.2137051249033406E-2</v>
          </cell>
          <cell r="V160">
            <v>-1.2137051249033406E-2</v>
          </cell>
          <cell r="AS160">
            <v>-3.4739435516285951E-2</v>
          </cell>
          <cell r="AT160">
            <v>-2.0201923548288564E-2</v>
          </cell>
          <cell r="AU160">
            <v>-4.7675330211885318E-3</v>
          </cell>
          <cell r="AV160">
            <v>-4.6585374466510156E-3</v>
          </cell>
          <cell r="AW160">
            <v>-1.0470670170152416E-2</v>
          </cell>
          <cell r="AX160">
            <v>-4.256701039908907E-2</v>
          </cell>
          <cell r="AY160">
            <v>-1.282507997535294E-2</v>
          </cell>
          <cell r="AZ160">
            <v>-1.8663817539764198E-2</v>
          </cell>
          <cell r="BA160">
            <v>-7.8340702082062754E-3</v>
          </cell>
          <cell r="BB160">
            <v>-1.1067728331187215E-2</v>
          </cell>
          <cell r="BC160">
            <v>-7.5575507622146184E-3</v>
          </cell>
          <cell r="BD160">
            <v>-1.3183697345589412E-2</v>
          </cell>
          <cell r="BE160">
            <v>-5.6083611782149993E-3</v>
          </cell>
          <cell r="BF160">
            <v>-8.081970940224838E-3</v>
          </cell>
          <cell r="BG160">
            <v>-1.6833209670335525E-2</v>
          </cell>
          <cell r="BH160">
            <v>-3.3056347640773162E-3</v>
          </cell>
          <cell r="BI160">
            <v>-3.3056347640773162E-3</v>
          </cell>
          <cell r="BJ160">
            <v>-3.3056347640773162E-3</v>
          </cell>
          <cell r="BK160">
            <v>-3.3056347640773162E-3</v>
          </cell>
          <cell r="BL160">
            <v>-3.3056347640773162E-3</v>
          </cell>
          <cell r="BM160">
            <v>-3.3056347640773162E-3</v>
          </cell>
          <cell r="BN160">
            <v>-3.3056347640773162E-3</v>
          </cell>
          <cell r="BO160">
            <v>-3.3056347640773162E-3</v>
          </cell>
          <cell r="BP160">
            <v>-3.3056347640773162E-3</v>
          </cell>
          <cell r="BQ160">
            <v>-3.3056347640773162E-3</v>
          </cell>
          <cell r="BR160">
            <v>-3.3056347640773162E-3</v>
          </cell>
          <cell r="BS160">
            <v>-3.3056347640773162E-3</v>
          </cell>
          <cell r="BT160">
            <v>-3.3056347640773162E-3</v>
          </cell>
        </row>
        <row r="161">
          <cell r="A161" t="str">
            <v>Options outstanding (EOP)</v>
          </cell>
          <cell r="E161">
            <v>15.290319</v>
          </cell>
          <cell r="F161">
            <v>20.403502000000003</v>
          </cell>
          <cell r="G161">
            <v>20.435594000000002</v>
          </cell>
          <cell r="H161">
            <v>17.392583000000005</v>
          </cell>
          <cell r="I161">
            <v>13.185866000000004</v>
          </cell>
          <cell r="J161">
            <v>11.434178000000006</v>
          </cell>
          <cell r="K161">
            <v>7.9625660000000051</v>
          </cell>
          <cell r="L161">
            <v>6.6667193706594059</v>
          </cell>
          <cell r="M161">
            <v>5.2750789783976826</v>
          </cell>
          <cell r="N161">
            <v>4.173935736788156</v>
          </cell>
          <cell r="O161">
            <v>3.3026499899209441</v>
          </cell>
          <cell r="P161">
            <v>2.6132402709961537</v>
          </cell>
          <cell r="Q161">
            <v>2.067740976124302</v>
          </cell>
          <cell r="R161">
            <v>1.6361116089465677</v>
          </cell>
          <cell r="S161">
            <v>1.2945824587502914</v>
          </cell>
          <cell r="T161">
            <v>1.024345609027876</v>
          </cell>
          <cell r="U161">
            <v>0.81051919067990685</v>
          </cell>
          <cell r="V161">
            <v>0.64132784157083622</v>
          </cell>
          <cell r="AS161">
            <v>21.214959999999998</v>
          </cell>
          <cell r="AT161">
            <v>18.369038999999997</v>
          </cell>
          <cell r="AU161">
            <v>17.897247999999998</v>
          </cell>
          <cell r="AV161">
            <v>17.392582999999998</v>
          </cell>
          <cell r="AW161">
            <v>18.021866999999997</v>
          </cell>
          <cell r="AX161">
            <v>15.711402999999995</v>
          </cell>
          <cell r="AY161">
            <v>13.848452999999994</v>
          </cell>
          <cell r="AZ161">
            <v>13.185865999999995</v>
          </cell>
          <cell r="BA161">
            <v>13.998897999999995</v>
          </cell>
          <cell r="BB161">
            <v>13.677446999999995</v>
          </cell>
          <cell r="BC161">
            <v>12.693024999999995</v>
          </cell>
          <cell r="BD161">
            <v>11.434177999999996</v>
          </cell>
          <cell r="BE161">
            <v>11.132432999999995</v>
          </cell>
          <cell r="BF161">
            <v>9.6175359999999959</v>
          </cell>
          <cell r="BG161">
            <v>8.4425539999999959</v>
          </cell>
          <cell r="BH161">
            <v>7.9625659999999963</v>
          </cell>
          <cell r="BI161">
            <v>8.6121879999999962</v>
          </cell>
          <cell r="BJ161">
            <v>7.6973849999999961</v>
          </cell>
          <cell r="BK161">
            <v>7.0685929999999955</v>
          </cell>
          <cell r="BL161">
            <v>6.6667193706593952</v>
          </cell>
          <cell r="BM161">
            <v>6.2876936282970641</v>
          </cell>
          <cell r="BN161">
            <v>5.9302167925837175</v>
          </cell>
          <cell r="BO161">
            <v>5.5930637346537742</v>
          </cell>
          <cell r="BP161">
            <v>5.2750789783976701</v>
          </cell>
          <cell r="BQ161">
            <v>4.975172740465033</v>
          </cell>
          <cell r="BR161">
            <v>4.692317195407183</v>
          </cell>
          <cell r="BS161">
            <v>4.4255429531590309</v>
          </cell>
          <cell r="BT161">
            <v>4.1739357367881436</v>
          </cell>
        </row>
        <row r="162">
          <cell r="A162" t="str">
            <v>Weighted Average Price</v>
          </cell>
          <cell r="E162">
            <v>11.55</v>
          </cell>
          <cell r="F162">
            <v>14.48</v>
          </cell>
          <cell r="G162">
            <v>19.670000000000002</v>
          </cell>
          <cell r="H162">
            <v>26.42</v>
          </cell>
          <cell r="I162">
            <v>30.287500000000001</v>
          </cell>
          <cell r="J162">
            <v>40.444163359685874</v>
          </cell>
          <cell r="K162">
            <v>40.85525946728238</v>
          </cell>
          <cell r="L162">
            <v>53.323127845238034</v>
          </cell>
          <cell r="M162">
            <v>59.455287547440406</v>
          </cell>
          <cell r="N162">
            <v>66.292645615396054</v>
          </cell>
          <cell r="O162">
            <v>73.916299861166607</v>
          </cell>
          <cell r="P162">
            <v>82.416674345200761</v>
          </cell>
          <cell r="Q162">
            <v>91.894591894898852</v>
          </cell>
          <cell r="R162">
            <v>102.46246996281222</v>
          </cell>
          <cell r="S162">
            <v>114.24565400853562</v>
          </cell>
          <cell r="T162">
            <v>127.38390421951722</v>
          </cell>
          <cell r="U162">
            <v>142.0330532047617</v>
          </cell>
          <cell r="V162">
            <v>158.3668543233093</v>
          </cell>
          <cell r="AS162">
            <v>23.91</v>
          </cell>
          <cell r="AT162">
            <v>24.65</v>
          </cell>
          <cell r="AU162">
            <v>25.21</v>
          </cell>
          <cell r="AV162">
            <v>26.42</v>
          </cell>
          <cell r="AW162">
            <v>27.91</v>
          </cell>
          <cell r="AX162">
            <v>28.69</v>
          </cell>
          <cell r="AY162">
            <v>34.43</v>
          </cell>
          <cell r="AZ162">
            <v>30.12</v>
          </cell>
          <cell r="BA162">
            <v>58.911319803800481</v>
          </cell>
          <cell r="BB162">
            <v>32.841100752771311</v>
          </cell>
          <cell r="BC162">
            <v>34.809269586254281</v>
          </cell>
          <cell r="BD162">
            <v>35.2149632959174</v>
          </cell>
          <cell r="BE162">
            <v>28.6558211120994</v>
          </cell>
          <cell r="BF162">
            <v>56.600478784983771</v>
          </cell>
          <cell r="BG162">
            <v>27.007713987671355</v>
          </cell>
          <cell r="BH162">
            <v>51.157023984375009</v>
          </cell>
          <cell r="BI162">
            <v>51.797412483870964</v>
          </cell>
          <cell r="BJ162">
            <v>51.887452619047622</v>
          </cell>
          <cell r="BK162">
            <v>52.34593073437501</v>
          </cell>
          <cell r="BL162">
            <v>57.253008904761913</v>
          </cell>
          <cell r="BM162">
            <v>58.970599171904773</v>
          </cell>
          <cell r="BN162">
            <v>60.739717147061917</v>
          </cell>
          <cell r="BO162">
            <v>62.56190866147378</v>
          </cell>
          <cell r="BP162">
            <v>64.438765921317994</v>
          </cell>
          <cell r="BQ162">
            <v>66.371928898957535</v>
          </cell>
          <cell r="BR162">
            <v>68.363086765926269</v>
          </cell>
          <cell r="BS162">
            <v>70.413979368904066</v>
          </cell>
          <cell r="BT162">
            <v>72.526398749971193</v>
          </cell>
        </row>
        <row r="164">
          <cell r="A164" t="str">
            <v>Employee Stock Purchase Plan</v>
          </cell>
        </row>
        <row r="165">
          <cell r="A165" t="str">
            <v>Shares Issued (in mm)</v>
          </cell>
          <cell r="I165">
            <v>-5.5764000000000001E-2</v>
          </cell>
          <cell r="J165">
            <v>-7.7508999999999995E-2</v>
          </cell>
          <cell r="K165">
            <v>-7.5354000000000004E-2</v>
          </cell>
          <cell r="L165">
            <v>-8.6970000000000006E-2</v>
          </cell>
          <cell r="M165">
            <v>-8.6970000000000006E-2</v>
          </cell>
          <cell r="N165">
            <v>-8.6970000000000006E-2</v>
          </cell>
          <cell r="O165">
            <v>-8.6970000000000006E-2</v>
          </cell>
          <cell r="P165">
            <v>-8.6970000000000006E-2</v>
          </cell>
          <cell r="Q165">
            <v>-8.6970000000000006E-2</v>
          </cell>
          <cell r="R165">
            <v>-8.6970000000000006E-2</v>
          </cell>
          <cell r="S165">
            <v>-8.6970000000000006E-2</v>
          </cell>
          <cell r="T165">
            <v>-8.6970000000000006E-2</v>
          </cell>
          <cell r="U165">
            <v>-8.6970000000000006E-2</v>
          </cell>
          <cell r="V165">
            <v>-8.6970000000000006E-2</v>
          </cell>
          <cell r="AW165">
            <v>0</v>
          </cell>
          <cell r="AX165">
            <v>-2.5729999999999999E-2</v>
          </cell>
          <cell r="AY165">
            <v>7.0000000000000617E-6</v>
          </cell>
          <cell r="AZ165">
            <v>-3.0041000000000002E-2</v>
          </cell>
          <cell r="BA165">
            <v>0</v>
          </cell>
          <cell r="BB165">
            <v>-4.6639E-2</v>
          </cell>
          <cell r="BC165">
            <v>0</v>
          </cell>
          <cell r="BD165">
            <v>-3.0869999999999995E-2</v>
          </cell>
          <cell r="BE165">
            <v>0</v>
          </cell>
          <cell r="BF165">
            <v>-3.8542E-2</v>
          </cell>
          <cell r="BG165">
            <v>0</v>
          </cell>
          <cell r="BH165">
            <v>-3.6812000000000004E-2</v>
          </cell>
          <cell r="BI165">
            <v>0</v>
          </cell>
          <cell r="BJ165">
            <v>-4.3485000000000003E-2</v>
          </cell>
          <cell r="BK165">
            <v>0</v>
          </cell>
          <cell r="BL165">
            <v>-4.3485000000000003E-2</v>
          </cell>
          <cell r="BM165">
            <v>0</v>
          </cell>
          <cell r="BN165">
            <v>-4.3485000000000003E-2</v>
          </cell>
          <cell r="BO165">
            <v>0</v>
          </cell>
          <cell r="BP165">
            <v>-4.3485000000000003E-2</v>
          </cell>
          <cell r="BQ165">
            <v>0</v>
          </cell>
          <cell r="BR165">
            <v>-4.3485000000000003E-2</v>
          </cell>
          <cell r="BS165">
            <v>0</v>
          </cell>
          <cell r="BT165">
            <v>-4.3485000000000003E-2</v>
          </cell>
        </row>
        <row r="166">
          <cell r="A166" t="str">
            <v>Weighted Average Price</v>
          </cell>
          <cell r="I166">
            <v>30.109030916003157</v>
          </cell>
          <cell r="J166">
            <v>23.906901134061851</v>
          </cell>
          <cell r="K166">
            <v>34.198582689704594</v>
          </cell>
          <cell r="L166">
            <v>38.912123192541294</v>
          </cell>
          <cell r="M166">
            <v>34.429972497535154</v>
          </cell>
          <cell r="N166">
            <v>34.429972497535154</v>
          </cell>
          <cell r="O166">
            <v>38.389419334751693</v>
          </cell>
          <cell r="P166">
            <v>42.804202558248136</v>
          </cell>
          <cell r="Q166">
            <v>47.726685852446671</v>
          </cell>
          <cell r="R166">
            <v>53.21525472547804</v>
          </cell>
          <cell r="S166">
            <v>59.335009018908018</v>
          </cell>
          <cell r="T166">
            <v>66.158535056082442</v>
          </cell>
          <cell r="U166">
            <v>73.766766587531919</v>
          </cell>
          <cell r="V166">
            <v>82.249944745098091</v>
          </cell>
          <cell r="AW166" t="str">
            <v>NA</v>
          </cell>
          <cell r="AX166">
            <v>9.98</v>
          </cell>
          <cell r="AY166">
            <v>0</v>
          </cell>
          <cell r="AZ166">
            <v>30.08</v>
          </cell>
          <cell r="BA166" t="str">
            <v>NA</v>
          </cell>
          <cell r="BB166">
            <v>21.612813310748514</v>
          </cell>
          <cell r="BC166" t="str">
            <v>NA</v>
          </cell>
          <cell r="BD166">
            <v>27.405247813411087</v>
          </cell>
          <cell r="BE166" t="str">
            <v>NA</v>
          </cell>
          <cell r="BF166">
            <v>34.429972497535154</v>
          </cell>
          <cell r="BG166" t="str">
            <v>NA</v>
          </cell>
          <cell r="BH166">
            <v>34.429972497535154</v>
          </cell>
          <cell r="BI166" t="str">
            <v>NA</v>
          </cell>
          <cell r="BJ166">
            <v>34.429972497535154</v>
          </cell>
          <cell r="BK166" t="str">
            <v>NA</v>
          </cell>
          <cell r="BL166">
            <v>34.429972497535154</v>
          </cell>
          <cell r="BM166" t="str">
            <v>NA</v>
          </cell>
          <cell r="BN166">
            <v>34.429972497535154</v>
          </cell>
          <cell r="BO166" t="str">
            <v>NA</v>
          </cell>
          <cell r="BP166">
            <v>34.429972497535154</v>
          </cell>
          <cell r="BQ166" t="str">
            <v>NA</v>
          </cell>
          <cell r="BR166">
            <v>34.429972497535154</v>
          </cell>
          <cell r="BS166" t="str">
            <v>NA</v>
          </cell>
          <cell r="BT166">
            <v>34.429972497535154</v>
          </cell>
        </row>
        <row r="167">
          <cell r="A167" t="str">
            <v>Net Proceeds for Share Issuances</v>
          </cell>
          <cell r="I167">
            <v>-1.679</v>
          </cell>
          <cell r="J167">
            <v>-1.853</v>
          </cell>
          <cell r="K167">
            <v>-2.577</v>
          </cell>
          <cell r="L167">
            <v>-3.3841873540553165</v>
          </cell>
          <cell r="M167">
            <v>-2.9943747081106324</v>
          </cell>
          <cell r="N167">
            <v>-2.9943747081106324</v>
          </cell>
          <cell r="O167">
            <v>-3.3387277995433551</v>
          </cell>
          <cell r="P167">
            <v>-3.7226814964908406</v>
          </cell>
          <cell r="Q167">
            <v>-4.150789868587287</v>
          </cell>
          <cell r="R167">
            <v>-4.6281307034748256</v>
          </cell>
          <cell r="S167">
            <v>-5.1603657343744302</v>
          </cell>
          <cell r="T167">
            <v>-5.7538077938274901</v>
          </cell>
          <cell r="U167">
            <v>-6.415495690117651</v>
          </cell>
          <cell r="V167">
            <v>-7.1532776944811811</v>
          </cell>
          <cell r="AW167">
            <v>0</v>
          </cell>
          <cell r="AX167">
            <v>-0.98199999999999998</v>
          </cell>
          <cell r="AY167">
            <v>0</v>
          </cell>
          <cell r="AZ167">
            <v>-0.69700000000000006</v>
          </cell>
          <cell r="BA167">
            <v>0</v>
          </cell>
          <cell r="BB167">
            <v>-1.008</v>
          </cell>
          <cell r="BC167">
            <v>1.0000000000001119E-3</v>
          </cell>
          <cell r="BD167">
            <v>-0.84600000000000009</v>
          </cell>
          <cell r="BE167">
            <v>0</v>
          </cell>
          <cell r="BF167">
            <v>-1.327</v>
          </cell>
          <cell r="BG167">
            <v>0</v>
          </cell>
          <cell r="BH167">
            <v>-1.25</v>
          </cell>
          <cell r="BI167">
            <v>0</v>
          </cell>
          <cell r="BJ167">
            <v>-1.887</v>
          </cell>
          <cell r="BK167">
            <v>0</v>
          </cell>
          <cell r="BL167">
            <v>-1.4971873540553162</v>
          </cell>
          <cell r="BM167">
            <v>0</v>
          </cell>
          <cell r="BN167">
            <v>-1.4971873540553162</v>
          </cell>
          <cell r="BO167">
            <v>0</v>
          </cell>
          <cell r="BP167">
            <v>-1.4971873540553162</v>
          </cell>
          <cell r="BQ167">
            <v>0</v>
          </cell>
          <cell r="BR167">
            <v>-1.4971873540553162</v>
          </cell>
          <cell r="BS167">
            <v>0</v>
          </cell>
          <cell r="BT167">
            <v>-1.4971873540553162</v>
          </cell>
        </row>
        <row r="169">
          <cell r="A169" t="str">
            <v>Convertible Notes Exchanged for Stock</v>
          </cell>
        </row>
        <row r="170">
          <cell r="A170" t="str">
            <v>Shares Issued (in mm)</v>
          </cell>
          <cell r="I170">
            <v>-10.415043000000001</v>
          </cell>
          <cell r="J170">
            <v>-7.9097330000000001</v>
          </cell>
          <cell r="K170">
            <v>0</v>
          </cell>
          <cell r="L170">
            <v>0</v>
          </cell>
          <cell r="M170">
            <v>0</v>
          </cell>
          <cell r="N170">
            <v>0</v>
          </cell>
          <cell r="O170">
            <v>0</v>
          </cell>
          <cell r="P170">
            <v>0</v>
          </cell>
          <cell r="Q170">
            <v>0</v>
          </cell>
          <cell r="R170">
            <v>0</v>
          </cell>
          <cell r="S170">
            <v>0</v>
          </cell>
          <cell r="T170">
            <v>0</v>
          </cell>
          <cell r="U170">
            <v>0</v>
          </cell>
          <cell r="V170">
            <v>0</v>
          </cell>
          <cell r="AW170">
            <v>-2.42E-4</v>
          </cell>
          <cell r="AX170">
            <v>-1.1154999999999999</v>
          </cell>
          <cell r="AY170">
            <v>-2.125845</v>
          </cell>
          <cell r="AZ170">
            <v>-7.1734560000000007</v>
          </cell>
          <cell r="BA170">
            <v>0</v>
          </cell>
          <cell r="BB170">
            <v>-9.6000000000000002E-5</v>
          </cell>
          <cell r="BC170">
            <v>-7.9089029999999996</v>
          </cell>
          <cell r="BD170">
            <v>-7.3400000000055257E-4</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row>
        <row r="171">
          <cell r="A171" t="str">
            <v>Weighted Average Price</v>
          </cell>
          <cell r="I171">
            <v>19.063387448328342</v>
          </cell>
          <cell r="J171">
            <v>20.270090027059066</v>
          </cell>
          <cell r="K171" t="str">
            <v>NA</v>
          </cell>
          <cell r="L171" t="str">
            <v>NA</v>
          </cell>
          <cell r="M171" t="str">
            <v>NA</v>
          </cell>
          <cell r="N171" t="str">
            <v>NA</v>
          </cell>
          <cell r="O171" t="str">
            <v>NA</v>
          </cell>
          <cell r="P171" t="str">
            <v>NA</v>
          </cell>
          <cell r="Q171" t="str">
            <v>NA</v>
          </cell>
          <cell r="R171" t="str">
            <v>NA</v>
          </cell>
          <cell r="S171" t="str">
            <v>NA</v>
          </cell>
          <cell r="T171" t="str">
            <v>NA</v>
          </cell>
          <cell r="U171" t="str">
            <v>NA</v>
          </cell>
          <cell r="V171" t="str">
            <v>NA</v>
          </cell>
          <cell r="AW171">
            <v>20.66115702479339</v>
          </cell>
          <cell r="AX171">
            <v>12.086060062752129</v>
          </cell>
          <cell r="AY171">
            <v>18.759128722931351</v>
          </cell>
          <cell r="AZ171">
            <v>20.238501497743904</v>
          </cell>
          <cell r="BA171" t="str">
            <v>NA</v>
          </cell>
          <cell r="BB171">
            <v>20.833333333333332</v>
          </cell>
          <cell r="BC171">
            <v>20.268803397892224</v>
          </cell>
          <cell r="BD171">
            <v>34.059945504043583</v>
          </cell>
          <cell r="BE171" t="str">
            <v>NA</v>
          </cell>
          <cell r="BF171" t="str">
            <v>NA</v>
          </cell>
          <cell r="BG171" t="str">
            <v>NA</v>
          </cell>
          <cell r="BH171" t="str">
            <v>NA</v>
          </cell>
          <cell r="BI171" t="str">
            <v>NA</v>
          </cell>
          <cell r="BJ171" t="str">
            <v>NA</v>
          </cell>
          <cell r="BK171" t="str">
            <v>NA</v>
          </cell>
          <cell r="BL171" t="str">
            <v>NA</v>
          </cell>
          <cell r="BM171" t="str">
            <v>NA</v>
          </cell>
          <cell r="BN171" t="str">
            <v>NA</v>
          </cell>
          <cell r="BO171" t="str">
            <v>NA</v>
          </cell>
          <cell r="BP171" t="str">
            <v>NA</v>
          </cell>
          <cell r="BQ171" t="str">
            <v>NA</v>
          </cell>
          <cell r="BR171" t="str">
            <v>NA</v>
          </cell>
          <cell r="BS171" t="str">
            <v>NA</v>
          </cell>
          <cell r="BT171" t="str">
            <v>NA</v>
          </cell>
        </row>
        <row r="172">
          <cell r="A172" t="str">
            <v>Net Proceeds for Share Issuances</v>
          </cell>
          <cell r="I172">
            <v>-198.54599999999999</v>
          </cell>
          <cell r="J172">
            <v>-160.33099999999999</v>
          </cell>
          <cell r="K172">
            <v>0</v>
          </cell>
          <cell r="L172">
            <v>0</v>
          </cell>
          <cell r="M172">
            <v>0</v>
          </cell>
          <cell r="N172">
            <v>0</v>
          </cell>
          <cell r="O172">
            <v>0</v>
          </cell>
          <cell r="P172">
            <v>0</v>
          </cell>
          <cell r="Q172">
            <v>0</v>
          </cell>
          <cell r="R172">
            <v>0</v>
          </cell>
          <cell r="S172">
            <v>0</v>
          </cell>
          <cell r="T172">
            <v>0</v>
          </cell>
          <cell r="U172">
            <v>0</v>
          </cell>
          <cell r="V172">
            <v>0</v>
          </cell>
          <cell r="AW172">
            <v>-5.0000000000000001E-3</v>
          </cell>
          <cell r="AX172">
            <v>-13.481999999999999</v>
          </cell>
          <cell r="AY172">
            <v>-39.878999999999998</v>
          </cell>
          <cell r="AZ172">
            <v>-145.18</v>
          </cell>
          <cell r="BA172">
            <v>0</v>
          </cell>
          <cell r="BB172">
            <v>-2E-3</v>
          </cell>
          <cell r="BC172">
            <v>-160.304</v>
          </cell>
          <cell r="BD172">
            <v>-2.4999999999986811E-2</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row>
        <row r="174">
          <cell r="A174" t="str">
            <v>Restricted Stock Units</v>
          </cell>
        </row>
        <row r="175">
          <cell r="A175" t="str">
            <v>Net Shares Issued (in mm)</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AW175">
            <v>0</v>
          </cell>
          <cell r="AX175">
            <v>0</v>
          </cell>
          <cell r="AY175">
            <v>0</v>
          </cell>
          <cell r="AZ175">
            <v>0</v>
          </cell>
          <cell r="BA175">
            <v>-0.177173</v>
          </cell>
          <cell r="BB175">
            <v>0.177173</v>
          </cell>
          <cell r="BC175">
            <v>0</v>
          </cell>
          <cell r="BD175">
            <v>0</v>
          </cell>
          <cell r="BE175">
            <v>0</v>
          </cell>
          <cell r="BF175">
            <v>-0.38761499999999999</v>
          </cell>
          <cell r="BG175">
            <v>0.38761499999999999</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row>
        <row r="176">
          <cell r="A176" t="str">
            <v>Weighted Average Price</v>
          </cell>
          <cell r="I176" t="str">
            <v>NA</v>
          </cell>
          <cell r="J176" t="str">
            <v>NA</v>
          </cell>
          <cell r="K176" t="str">
            <v>NA</v>
          </cell>
          <cell r="L176" t="str">
            <v>NA</v>
          </cell>
          <cell r="M176" t="str">
            <v>NA</v>
          </cell>
          <cell r="N176" t="str">
            <v>NA</v>
          </cell>
          <cell r="O176" t="str">
            <v>NA</v>
          </cell>
          <cell r="P176" t="str">
            <v>NA</v>
          </cell>
          <cell r="Q176" t="str">
            <v>NA</v>
          </cell>
          <cell r="R176" t="str">
            <v>NA</v>
          </cell>
          <cell r="S176" t="str">
            <v>NA</v>
          </cell>
          <cell r="T176" t="str">
            <v>NA</v>
          </cell>
          <cell r="U176" t="str">
            <v>NA</v>
          </cell>
          <cell r="V176" t="str">
            <v>NA</v>
          </cell>
          <cell r="AW176" t="str">
            <v>NA</v>
          </cell>
          <cell r="AX176" t="str">
            <v>NA</v>
          </cell>
          <cell r="AY176" t="str">
            <v>NA</v>
          </cell>
          <cell r="AZ176" t="str">
            <v>NA</v>
          </cell>
          <cell r="BA176">
            <v>14.319337596586386</v>
          </cell>
          <cell r="BB176">
            <v>14.319337596586386</v>
          </cell>
          <cell r="BC176" t="str">
            <v>NA</v>
          </cell>
          <cell r="BD176" t="str">
            <v>NA</v>
          </cell>
          <cell r="BE176" t="str">
            <v>NA</v>
          </cell>
          <cell r="BF176">
            <v>-18.541594107555177</v>
          </cell>
          <cell r="BG176">
            <v>-18.541594107555177</v>
          </cell>
          <cell r="BH176" t="str">
            <v>NA</v>
          </cell>
          <cell r="BI176" t="str">
            <v>NA</v>
          </cell>
          <cell r="BJ176" t="str">
            <v>NA</v>
          </cell>
          <cell r="BK176" t="str">
            <v>NA</v>
          </cell>
          <cell r="BL176" t="str">
            <v>NA</v>
          </cell>
          <cell r="BM176" t="str">
            <v>NA</v>
          </cell>
          <cell r="BN176" t="str">
            <v>NA</v>
          </cell>
          <cell r="BO176" t="str">
            <v>NA</v>
          </cell>
          <cell r="BP176" t="str">
            <v>NA</v>
          </cell>
          <cell r="BQ176" t="str">
            <v>NA</v>
          </cell>
          <cell r="BR176" t="str">
            <v>NA</v>
          </cell>
          <cell r="BS176" t="str">
            <v>NA</v>
          </cell>
          <cell r="BT176" t="str">
            <v>NA</v>
          </cell>
        </row>
        <row r="177">
          <cell r="A177" t="str">
            <v>Net Proceeds for Share Issuances</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AW177">
            <v>0</v>
          </cell>
          <cell r="AX177">
            <v>0</v>
          </cell>
          <cell r="AY177">
            <v>0</v>
          </cell>
          <cell r="AZ177">
            <v>0</v>
          </cell>
          <cell r="BA177">
            <v>2.5369999999999999</v>
          </cell>
          <cell r="BB177">
            <v>-2.5369999999999999</v>
          </cell>
          <cell r="BC177">
            <v>0</v>
          </cell>
          <cell r="BD177">
            <v>0</v>
          </cell>
          <cell r="BE177">
            <v>0</v>
          </cell>
          <cell r="BF177">
            <v>7.1870000000000003</v>
          </cell>
          <cell r="BG177">
            <v>-7.1870000000000003</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row>
        <row r="179">
          <cell r="A179" t="str">
            <v>Exercise of Warrants/Other</v>
          </cell>
        </row>
        <row r="180">
          <cell r="A180" t="str">
            <v>Shares Issued (in mm)</v>
          </cell>
          <cell r="I180">
            <v>-0.72691099999999997</v>
          </cell>
          <cell r="J180">
            <v>-7.2031999999999999E-2</v>
          </cell>
          <cell r="K180">
            <v>-1.6310610000000001</v>
          </cell>
          <cell r="L180">
            <v>0</v>
          </cell>
          <cell r="M180">
            <v>0</v>
          </cell>
          <cell r="N180">
            <v>0</v>
          </cell>
          <cell r="O180">
            <v>0</v>
          </cell>
          <cell r="P180">
            <v>0</v>
          </cell>
          <cell r="Q180">
            <v>0</v>
          </cell>
          <cell r="R180">
            <v>0</v>
          </cell>
          <cell r="S180">
            <v>0</v>
          </cell>
          <cell r="T180">
            <v>0</v>
          </cell>
          <cell r="U180">
            <v>0</v>
          </cell>
          <cell r="V180">
            <v>0</v>
          </cell>
          <cell r="AW180">
            <v>-0.26413799999999998</v>
          </cell>
          <cell r="AX180">
            <v>-0.17075600000000002</v>
          </cell>
          <cell r="AY180">
            <v>-0.23764600000000002</v>
          </cell>
          <cell r="AZ180">
            <v>-5.4370999999999947E-2</v>
          </cell>
          <cell r="BA180">
            <v>-8.5730000000000008E-3</v>
          </cell>
          <cell r="BB180">
            <v>-1.4038999999999999E-2</v>
          </cell>
          <cell r="BC180">
            <v>-9.4009999999999996E-3</v>
          </cell>
          <cell r="BD180">
            <v>-4.0018999999999999E-2</v>
          </cell>
          <cell r="BE180">
            <v>-1.6310610000000001</v>
          </cell>
          <cell r="BF180">
            <v>0</v>
          </cell>
          <cell r="BG180">
            <v>0</v>
          </cell>
          <cell r="BH180">
            <v>0</v>
          </cell>
          <cell r="BI180">
            <v>0</v>
          </cell>
          <cell r="BJ180">
            <v>0</v>
          </cell>
          <cell r="BK180">
            <v>0</v>
          </cell>
          <cell r="BL180">
            <v>0</v>
          </cell>
          <cell r="BM180">
            <v>0</v>
          </cell>
          <cell r="BN180">
            <v>0</v>
          </cell>
          <cell r="BO180">
            <v>0</v>
          </cell>
          <cell r="BP180">
            <v>0</v>
          </cell>
          <cell r="BQ180">
            <v>0</v>
          </cell>
          <cell r="BR180">
            <v>0</v>
          </cell>
          <cell r="BS180">
            <v>0</v>
          </cell>
          <cell r="BT180">
            <v>0</v>
          </cell>
        </row>
        <row r="181">
          <cell r="A181" t="str">
            <v>Weighted Average Price</v>
          </cell>
          <cell r="I181">
            <v>0.70022327355068226</v>
          </cell>
          <cell r="J181">
            <v>4.4424700133274095</v>
          </cell>
          <cell r="K181">
            <v>4.2052381854510648</v>
          </cell>
          <cell r="L181" t="str">
            <v>NA</v>
          </cell>
          <cell r="M181" t="str">
            <v>NA</v>
          </cell>
          <cell r="N181" t="str">
            <v>NA</v>
          </cell>
          <cell r="O181" t="str">
            <v>NA</v>
          </cell>
          <cell r="P181" t="str">
            <v>NA</v>
          </cell>
          <cell r="Q181" t="str">
            <v>NA</v>
          </cell>
          <cell r="R181" t="str">
            <v>NA</v>
          </cell>
          <cell r="S181" t="str">
            <v>NA</v>
          </cell>
          <cell r="T181" t="str">
            <v>NA</v>
          </cell>
          <cell r="U181" t="str">
            <v>NA</v>
          </cell>
          <cell r="V181" t="str">
            <v>NA</v>
          </cell>
          <cell r="AW181">
            <v>-0.22715398768825387</v>
          </cell>
          <cell r="AX181">
            <v>0.19911452599030194</v>
          </cell>
          <cell r="AY181">
            <v>1.0267372478392232</v>
          </cell>
          <cell r="AZ181">
            <v>3.1450589468650589</v>
          </cell>
          <cell r="BA181">
            <v>4.4325207045375006</v>
          </cell>
          <cell r="BB181">
            <v>4.3450388204288064</v>
          </cell>
          <cell r="BC181">
            <v>4.148494840974366</v>
          </cell>
          <cell r="BD181">
            <v>4.5478397761063487</v>
          </cell>
          <cell r="BE181">
            <v>4.2052381854510648</v>
          </cell>
          <cell r="BF181" t="str">
            <v>NA</v>
          </cell>
          <cell r="BG181" t="str">
            <v>NA</v>
          </cell>
          <cell r="BH181" t="str">
            <v>NA</v>
          </cell>
          <cell r="BI181" t="str">
            <v>NA</v>
          </cell>
          <cell r="BJ181" t="str">
            <v>NA</v>
          </cell>
          <cell r="BK181" t="str">
            <v>NA</v>
          </cell>
          <cell r="BL181" t="str">
            <v>NA</v>
          </cell>
          <cell r="BM181" t="str">
            <v>NA</v>
          </cell>
          <cell r="BN181" t="str">
            <v>NA</v>
          </cell>
          <cell r="BO181" t="str">
            <v>NA</v>
          </cell>
          <cell r="BP181" t="str">
            <v>NA</v>
          </cell>
          <cell r="BQ181" t="str">
            <v>NA</v>
          </cell>
          <cell r="BR181" t="str">
            <v>NA</v>
          </cell>
          <cell r="BS181" t="str">
            <v>NA</v>
          </cell>
          <cell r="BT181" t="str">
            <v>NA</v>
          </cell>
        </row>
        <row r="182">
          <cell r="A182" t="str">
            <v>Net Proceeds for Share Issuances</v>
          </cell>
          <cell r="I182">
            <v>-0.50900000000000001</v>
          </cell>
          <cell r="J182">
            <v>-0.31999999999999995</v>
          </cell>
          <cell r="K182">
            <v>-6.859</v>
          </cell>
          <cell r="L182">
            <v>0</v>
          </cell>
          <cell r="M182">
            <v>0</v>
          </cell>
          <cell r="N182">
            <v>0</v>
          </cell>
          <cell r="O182">
            <v>0</v>
          </cell>
          <cell r="P182">
            <v>0</v>
          </cell>
          <cell r="Q182">
            <v>0</v>
          </cell>
          <cell r="R182">
            <v>0</v>
          </cell>
          <cell r="S182">
            <v>0</v>
          </cell>
          <cell r="T182">
            <v>0</v>
          </cell>
          <cell r="U182">
            <v>0</v>
          </cell>
          <cell r="V182">
            <v>0</v>
          </cell>
          <cell r="AW182">
            <v>-0.06</v>
          </cell>
          <cell r="AX182">
            <v>-3.4000000000000002E-2</v>
          </cell>
          <cell r="AY182">
            <v>-0.24400000000000005</v>
          </cell>
          <cell r="AZ182">
            <v>-0.17099999999999996</v>
          </cell>
          <cell r="BA182">
            <v>-3.7999999999999999E-2</v>
          </cell>
          <cell r="BB182">
            <v>-6.1000000000000006E-2</v>
          </cell>
          <cell r="BC182">
            <v>-3.9000000000000014E-2</v>
          </cell>
          <cell r="BD182">
            <v>-0.18199999999999997</v>
          </cell>
          <cell r="BE182">
            <v>-6.859</v>
          </cell>
          <cell r="BF182">
            <v>0</v>
          </cell>
          <cell r="BG182">
            <v>0</v>
          </cell>
          <cell r="BH182">
            <v>0</v>
          </cell>
          <cell r="BI182">
            <v>0</v>
          </cell>
          <cell r="BJ182">
            <v>0</v>
          </cell>
          <cell r="BK182">
            <v>0</v>
          </cell>
          <cell r="BL182">
            <v>0</v>
          </cell>
          <cell r="BM182">
            <v>0</v>
          </cell>
          <cell r="BN182">
            <v>0</v>
          </cell>
          <cell r="BO182">
            <v>0</v>
          </cell>
          <cell r="BP182">
            <v>0</v>
          </cell>
          <cell r="BQ182">
            <v>0</v>
          </cell>
          <cell r="BR182">
            <v>0</v>
          </cell>
          <cell r="BS182">
            <v>0</v>
          </cell>
          <cell r="BT182">
            <v>0</v>
          </cell>
        </row>
        <row r="184">
          <cell r="A184" t="str">
            <v>Net Issuance/Repurchases (mm)</v>
          </cell>
          <cell r="I184">
            <v>-2.5416460000000143</v>
          </cell>
          <cell r="J184">
            <v>4.6200880000000097</v>
          </cell>
          <cell r="K184">
            <v>-2.9197500000000218</v>
          </cell>
          <cell r="L184">
            <v>-5.7658390431552675</v>
          </cell>
          <cell r="M184">
            <v>0.47454264167140536</v>
          </cell>
          <cell r="N184">
            <v>0.38489461121048407</v>
          </cell>
          <cell r="O184">
            <v>0.15570898756726592</v>
          </cell>
          <cell r="P184">
            <v>7.4364581388749684E-2</v>
          </cell>
          <cell r="Q184">
            <v>3.0874806028975854E-2</v>
          </cell>
          <cell r="R184">
            <v>1.7337718965393378E-2</v>
          </cell>
          <cell r="S184">
            <v>-7.249913600611535E-2</v>
          </cell>
          <cell r="T184">
            <v>-0.1435830498170958</v>
          </cell>
          <cell r="U184">
            <v>-0.19982859407929254</v>
          </cell>
          <cell r="V184">
            <v>-0.24433319546869825</v>
          </cell>
          <cell r="AW184">
            <v>-3.492979000000048</v>
          </cell>
          <cell r="AX184">
            <v>0.17221900000004098</v>
          </cell>
          <cell r="AY184">
            <v>-4.2133949999999913</v>
          </cell>
          <cell r="AZ184">
            <v>4.9925089999999841</v>
          </cell>
          <cell r="BA184">
            <v>0.68181599999996934</v>
          </cell>
          <cell r="BB184">
            <v>-1.8487089999999853</v>
          </cell>
          <cell r="BC184">
            <v>5.2497900000000186</v>
          </cell>
          <cell r="BD184">
            <v>0.53719100000000708</v>
          </cell>
          <cell r="BE184">
            <v>2.0946950000000015</v>
          </cell>
          <cell r="BF184">
            <v>-1.94657600000005</v>
          </cell>
          <cell r="BG184">
            <v>-2.1341079999999693</v>
          </cell>
          <cell r="BH184">
            <v>-0.93376100000000406</v>
          </cell>
          <cell r="BI184">
            <v>-1.6111359999999877</v>
          </cell>
          <cell r="BJ184">
            <v>-1.0699749999999995</v>
          </cell>
          <cell r="BK184">
            <v>-2.5289119999999912</v>
          </cell>
          <cell r="BL184">
            <v>-0.55581604315528921</v>
          </cell>
          <cell r="BM184">
            <v>0.12791785400565914</v>
          </cell>
          <cell r="BN184">
            <v>0.14991693458978261</v>
          </cell>
          <cell r="BO184">
            <v>8.6167563000344671E-2</v>
          </cell>
          <cell r="BP184">
            <v>0.11054029007561894</v>
          </cell>
          <cell r="BQ184">
            <v>9.9029615075778565E-2</v>
          </cell>
          <cell r="BR184">
            <v>0.12551376120137547</v>
          </cell>
          <cell r="BS184">
            <v>6.5994463874801568E-2</v>
          </cell>
          <cell r="BT184">
            <v>9.4356771058585309E-2</v>
          </cell>
        </row>
        <row r="185">
          <cell r="A185" t="str">
            <v>CHECK</v>
          </cell>
          <cell r="I185">
            <v>1.2999999984941724E-5</v>
          </cell>
          <cell r="J185">
            <v>9.7699626167013776E-15</v>
          </cell>
          <cell r="K185">
            <v>-2.1316282072803006E-14</v>
          </cell>
          <cell r="L185">
            <v>3.907985046680551E-14</v>
          </cell>
          <cell r="M185">
            <v>-5.3290705182007514E-15</v>
          </cell>
          <cell r="N185">
            <v>5.5511151231257827E-15</v>
          </cell>
          <cell r="O185">
            <v>-1.6764367671839864E-14</v>
          </cell>
          <cell r="P185">
            <v>4.6629367034256575E-15</v>
          </cell>
          <cell r="Q185">
            <v>-1.865174681370263E-14</v>
          </cell>
          <cell r="R185">
            <v>1.1102230246251565E-14</v>
          </cell>
          <cell r="S185">
            <v>2.4702462297909733E-14</v>
          </cell>
          <cell r="T185">
            <v>-2.1538326677728037E-14</v>
          </cell>
          <cell r="U185">
            <v>1.2045919817182948E-14</v>
          </cell>
          <cell r="V185">
            <v>1.2212453270876722E-14</v>
          </cell>
          <cell r="AW185">
            <v>-4.7961634663806763E-14</v>
          </cell>
          <cell r="AX185">
            <v>-6.9999999587899708E-6</v>
          </cell>
          <cell r="AY185">
            <v>7.0000000089720515E-6</v>
          </cell>
          <cell r="AZ185">
            <v>1.2999999983609456E-5</v>
          </cell>
          <cell r="BA185">
            <v>-3.0753177782116836E-14</v>
          </cell>
          <cell r="BB185">
            <v>1.4654943925052066E-14</v>
          </cell>
          <cell r="BC185">
            <v>1.8207657603852567E-14</v>
          </cell>
          <cell r="BD185">
            <v>7.2164496600635175E-15</v>
          </cell>
          <cell r="BE185">
            <v>0</v>
          </cell>
          <cell r="BF185">
            <v>-5.0182080713057076E-14</v>
          </cell>
          <cell r="BG185">
            <v>3.1974423109204508E-14</v>
          </cell>
          <cell r="BH185">
            <v>-5.1070259132757201E-15</v>
          </cell>
          <cell r="BI185">
            <v>1.1990408665951691E-14</v>
          </cell>
          <cell r="BJ185">
            <v>0</v>
          </cell>
          <cell r="BK185">
            <v>9.7699626167013776E-15</v>
          </cell>
          <cell r="BL185">
            <v>1.6875389974302379E-14</v>
          </cell>
          <cell r="BM185">
            <v>-1.5820678100908481E-14</v>
          </cell>
          <cell r="BN185">
            <v>1.8540724511240114E-14</v>
          </cell>
          <cell r="BO185">
            <v>1.5765166949677223E-14</v>
          </cell>
          <cell r="BP185">
            <v>-2.3703261575747092E-14</v>
          </cell>
          <cell r="BQ185">
            <v>2.9976021664879227E-15</v>
          </cell>
          <cell r="BR185">
            <v>3.0697666630885578E-14</v>
          </cell>
          <cell r="BS185">
            <v>1.354472090042691E-14</v>
          </cell>
          <cell r="BT185">
            <v>1.5210055437364645E-14</v>
          </cell>
        </row>
        <row r="186">
          <cell r="A186" t="str">
            <v>Net Issuance/Repurchases ($MM)</v>
          </cell>
          <cell r="I186">
            <v>-361.61099999999897</v>
          </cell>
          <cell r="J186">
            <v>69.783000000000357</v>
          </cell>
          <cell r="K186">
            <v>-237.27599999999984</v>
          </cell>
          <cell r="L186">
            <v>-337.19760060634781</v>
          </cell>
          <cell r="M186">
            <v>26.714180152987865</v>
          </cell>
          <cell r="N186">
            <v>23.511379768772713</v>
          </cell>
          <cell r="O186">
            <v>8.4196594167187868</v>
          </cell>
          <cell r="P186">
            <v>2.6837848158220368</v>
          </cell>
          <cell r="Q186">
            <v>-1.0040550886433266</v>
          </cell>
          <cell r="R186">
            <v>-2.506564800477463</v>
          </cell>
          <cell r="S186">
            <v>-13.058290002823014</v>
          </cell>
          <cell r="T186">
            <v>-23.614939821587541</v>
          </cell>
          <cell r="U186">
            <v>-34.319384281797284</v>
          </cell>
          <cell r="V186">
            <v>-45.314167199158874</v>
          </cell>
          <cell r="AW186">
            <v>-143.46899999999823</v>
          </cell>
          <cell r="AX186">
            <v>-59.49500000000171</v>
          </cell>
          <cell r="AY186">
            <v>-243.09199999999964</v>
          </cell>
          <cell r="AZ186">
            <v>84.445000000000618</v>
          </cell>
          <cell r="BA186">
            <v>28.86200000000008</v>
          </cell>
          <cell r="BB186">
            <v>-47.792000000001281</v>
          </cell>
          <cell r="BC186">
            <v>75.567000000000007</v>
          </cell>
          <cell r="BD186">
            <v>13.14600000000155</v>
          </cell>
          <cell r="BE186">
            <v>2.5409999999983484</v>
          </cell>
          <cell r="BF186">
            <v>-89.427000000000589</v>
          </cell>
          <cell r="BG186">
            <v>-104.0719999999983</v>
          </cell>
          <cell r="BH186">
            <v>-46.317999999999302</v>
          </cell>
          <cell r="BI186">
            <v>-110.45499999999993</v>
          </cell>
          <cell r="BJ186">
            <v>-60.596000000001368</v>
          </cell>
          <cell r="BK186">
            <v>-133.33199999999852</v>
          </cell>
          <cell r="BL186">
            <v>-32.814600606347994</v>
          </cell>
          <cell r="BM186">
            <v>7.5433924954986651</v>
          </cell>
          <cell r="BN186">
            <v>7.9618329564536907</v>
          </cell>
          <cell r="BO186">
            <v>5.3908072060085033</v>
          </cell>
          <cell r="BP186">
            <v>5.8181474950270058</v>
          </cell>
          <cell r="BQ186">
            <v>6.5727865706994635</v>
          </cell>
          <cell r="BR186">
            <v>7.104926673366208</v>
          </cell>
          <cell r="BS186">
            <v>4.6469328177408897</v>
          </cell>
          <cell r="BT186">
            <v>5.1867337069661517</v>
          </cell>
        </row>
        <row r="187">
          <cell r="A187" t="str">
            <v>CHECK</v>
          </cell>
          <cell r="I187">
            <v>1.0516032489249483E-12</v>
          </cell>
          <cell r="J187">
            <v>3.694822225952521E-13</v>
          </cell>
          <cell r="K187">
            <v>1.4921397450962104E-13</v>
          </cell>
          <cell r="L187">
            <v>7.3629990993140382E-13</v>
          </cell>
          <cell r="M187">
            <v>2.6942892361603299E-12</v>
          </cell>
          <cell r="N187">
            <v>2.6423307986078726E-13</v>
          </cell>
          <cell r="O187">
            <v>-8.3000273320976703E-13</v>
          </cell>
          <cell r="P187">
            <v>-6.8833827526759706E-14</v>
          </cell>
          <cell r="Q187">
            <v>1.2256862191861728E-13</v>
          </cell>
          <cell r="R187">
            <v>-6.6968652845389443E-13</v>
          </cell>
          <cell r="S187">
            <v>1.4210854715202004E-13</v>
          </cell>
          <cell r="T187">
            <v>7.3985262361020432E-13</v>
          </cell>
          <cell r="U187">
            <v>1.7879031588563521E-12</v>
          </cell>
          <cell r="V187">
            <v>7.2830630415410269E-14</v>
          </cell>
          <cell r="AW187">
            <v>1.7563216506144563E-12</v>
          </cell>
          <cell r="AX187">
            <v>-1.7283952047364437E-12</v>
          </cell>
          <cell r="AY187">
            <v>3.4816594052244909E-13</v>
          </cell>
          <cell r="AZ187">
            <v>6.5369931689929217E-13</v>
          </cell>
          <cell r="BA187">
            <v>7.5751904748955212E-14</v>
          </cell>
          <cell r="BB187">
            <v>-1.2748187921962639E-12</v>
          </cell>
          <cell r="BC187">
            <v>0</v>
          </cell>
          <cell r="BD187">
            <v>1.5593915048128792E-12</v>
          </cell>
          <cell r="BE187">
            <v>-1.6537882174816332E-12</v>
          </cell>
          <cell r="BF187">
            <v>-5.8886229226118303E-13</v>
          </cell>
          <cell r="BG187">
            <v>1.7381651673531451E-12</v>
          </cell>
          <cell r="BH187">
            <v>6.1817218011128716E-13</v>
          </cell>
          <cell r="BI187">
            <v>7.638334409421077E-14</v>
          </cell>
          <cell r="BJ187">
            <v>-1.3780088181647443E-12</v>
          </cell>
          <cell r="BK187">
            <v>1.4708234630234074E-12</v>
          </cell>
          <cell r="BL187">
            <v>5.3002047195604973E-13</v>
          </cell>
          <cell r="BM187">
            <v>-2.2382096176443156E-13</v>
          </cell>
          <cell r="BN187">
            <v>1.510569447304988E-12</v>
          </cell>
          <cell r="BO187">
            <v>1.3855583347321954E-13</v>
          </cell>
          <cell r="BP187">
            <v>1.2760903445041549E-12</v>
          </cell>
          <cell r="BQ187">
            <v>-1.0444978215673473E-12</v>
          </cell>
          <cell r="BR187">
            <v>1.9084733793306441E-12</v>
          </cell>
          <cell r="BS187">
            <v>-3.1974423109204508E-13</v>
          </cell>
          <cell r="BT187">
            <v>-2.6578739209526248E-13</v>
          </cell>
        </row>
        <row r="191">
          <cell r="A191" t="str">
            <v>NOL</v>
          </cell>
        </row>
        <row r="192">
          <cell r="A192" t="str">
            <v>Beginning Balance</v>
          </cell>
          <cell r="G192">
            <v>2163.6550000000002</v>
          </cell>
          <cell r="H192">
            <v>2093.683</v>
          </cell>
          <cell r="I192">
            <v>1600.807</v>
          </cell>
          <cell r="J192">
            <v>1620.04</v>
          </cell>
          <cell r="K192">
            <v>1311.7149999999999</v>
          </cell>
          <cell r="L192">
            <v>1197.607</v>
          </cell>
          <cell r="M192">
            <v>1000</v>
          </cell>
          <cell r="N192">
            <v>690</v>
          </cell>
          <cell r="O192">
            <v>257</v>
          </cell>
          <cell r="P192">
            <v>0</v>
          </cell>
          <cell r="Q192">
            <v>0</v>
          </cell>
          <cell r="R192">
            <v>0</v>
          </cell>
          <cell r="S192">
            <v>0</v>
          </cell>
          <cell r="T192">
            <v>0</v>
          </cell>
          <cell r="U192">
            <v>0</v>
          </cell>
          <cell r="V192">
            <v>0</v>
          </cell>
          <cell r="BI192">
            <v>1197.607</v>
          </cell>
          <cell r="BJ192">
            <v>1148.20525</v>
          </cell>
          <cell r="BK192">
            <v>1098.8035</v>
          </cell>
          <cell r="BL192">
            <v>1049.40175</v>
          </cell>
          <cell r="BM192">
            <v>1000</v>
          </cell>
          <cell r="BN192">
            <v>950</v>
          </cell>
          <cell r="BO192">
            <v>877</v>
          </cell>
          <cell r="BP192">
            <v>787</v>
          </cell>
          <cell r="BQ192">
            <v>690</v>
          </cell>
          <cell r="BR192">
            <v>597</v>
          </cell>
          <cell r="BS192">
            <v>492</v>
          </cell>
          <cell r="BT192">
            <v>377</v>
          </cell>
        </row>
        <row r="193">
          <cell r="A193" t="str">
            <v xml:space="preserve">  Additions</v>
          </cell>
          <cell r="G193">
            <v>0</v>
          </cell>
          <cell r="H193">
            <v>0</v>
          </cell>
          <cell r="I193">
            <v>300</v>
          </cell>
          <cell r="J193">
            <v>0</v>
          </cell>
          <cell r="K193">
            <v>0</v>
          </cell>
          <cell r="L193">
            <v>0</v>
          </cell>
          <cell r="M193">
            <v>0</v>
          </cell>
          <cell r="N193">
            <v>0</v>
          </cell>
          <cell r="O193">
            <v>0</v>
          </cell>
          <cell r="P193">
            <v>0</v>
          </cell>
          <cell r="Q193">
            <v>0</v>
          </cell>
          <cell r="R193">
            <v>0</v>
          </cell>
          <cell r="S193">
            <v>0</v>
          </cell>
          <cell r="T193">
            <v>0</v>
          </cell>
          <cell r="U193">
            <v>0</v>
          </cell>
          <cell r="V193">
            <v>0</v>
          </cell>
          <cell r="BI193">
            <v>0</v>
          </cell>
          <cell r="BJ193">
            <v>0</v>
          </cell>
          <cell r="BK193">
            <v>0</v>
          </cell>
          <cell r="BL193">
            <v>0</v>
          </cell>
          <cell r="BM193">
            <v>0</v>
          </cell>
          <cell r="BN193">
            <v>0</v>
          </cell>
          <cell r="BO193">
            <v>0</v>
          </cell>
          <cell r="BP193">
            <v>0</v>
          </cell>
          <cell r="BQ193">
            <v>0</v>
          </cell>
          <cell r="BR193">
            <v>0</v>
          </cell>
          <cell r="BS193">
            <v>0</v>
          </cell>
          <cell r="BT193">
            <v>0</v>
          </cell>
        </row>
        <row r="194">
          <cell r="A194" t="str">
            <v xml:space="preserve">  Uses</v>
          </cell>
          <cell r="G194">
            <v>-69.972000000000207</v>
          </cell>
          <cell r="H194">
            <v>-492.87599999999998</v>
          </cell>
          <cell r="I194">
            <v>-280.76700000000005</v>
          </cell>
          <cell r="J194">
            <v>-308.32500000000005</v>
          </cell>
          <cell r="K194">
            <v>-114.10799999999995</v>
          </cell>
          <cell r="L194">
            <v>-197.60699999999997</v>
          </cell>
          <cell r="M194">
            <v>-310</v>
          </cell>
          <cell r="N194">
            <v>-433</v>
          </cell>
          <cell r="O194">
            <v>-257</v>
          </cell>
          <cell r="P194">
            <v>0</v>
          </cell>
          <cell r="Q194">
            <v>0</v>
          </cell>
          <cell r="R194">
            <v>0</v>
          </cell>
          <cell r="S194">
            <v>0</v>
          </cell>
          <cell r="T194">
            <v>0</v>
          </cell>
          <cell r="U194">
            <v>0</v>
          </cell>
          <cell r="V194">
            <v>0</v>
          </cell>
          <cell r="BI194">
            <v>-49.401749999999993</v>
          </cell>
          <cell r="BJ194">
            <v>-49.401749999999993</v>
          </cell>
          <cell r="BK194">
            <v>-49.401749999999993</v>
          </cell>
          <cell r="BL194">
            <v>-49.401749999999993</v>
          </cell>
          <cell r="BM194">
            <v>-50</v>
          </cell>
          <cell r="BN194">
            <v>-73</v>
          </cell>
          <cell r="BO194">
            <v>-90</v>
          </cell>
          <cell r="BP194">
            <v>-97</v>
          </cell>
          <cell r="BQ194">
            <v>-93</v>
          </cell>
          <cell r="BR194">
            <v>-105</v>
          </cell>
          <cell r="BS194">
            <v>-115</v>
          </cell>
          <cell r="BT194">
            <v>-120</v>
          </cell>
        </row>
        <row r="195">
          <cell r="A195" t="str">
            <v>Ending Balance</v>
          </cell>
          <cell r="F195">
            <v>2163.6550000000002</v>
          </cell>
          <cell r="G195">
            <v>2093.683</v>
          </cell>
          <cell r="H195">
            <v>1600.807</v>
          </cell>
          <cell r="I195">
            <v>1620.04</v>
          </cell>
          <cell r="J195">
            <v>1311.7149999999999</v>
          </cell>
          <cell r="K195">
            <v>1197.607</v>
          </cell>
          <cell r="L195">
            <v>1000</v>
          </cell>
          <cell r="M195">
            <v>690</v>
          </cell>
          <cell r="N195">
            <v>257</v>
          </cell>
          <cell r="O195">
            <v>0</v>
          </cell>
          <cell r="P195">
            <v>0</v>
          </cell>
          <cell r="Q195">
            <v>0</v>
          </cell>
          <cell r="R195">
            <v>0</v>
          </cell>
          <cell r="S195">
            <v>0</v>
          </cell>
          <cell r="T195">
            <v>0</v>
          </cell>
          <cell r="U195">
            <v>0</v>
          </cell>
          <cell r="V195">
            <v>0</v>
          </cell>
          <cell r="AN195">
            <v>2163.6550000000002</v>
          </cell>
          <cell r="AR195">
            <v>2093.683</v>
          </cell>
          <cell r="AV195">
            <v>1600.807</v>
          </cell>
          <cell r="AZ195">
            <v>1620.04</v>
          </cell>
          <cell r="BD195">
            <v>1311.7149999999999</v>
          </cell>
          <cell r="BH195">
            <v>1197.607</v>
          </cell>
          <cell r="BI195">
            <v>1148.20525</v>
          </cell>
          <cell r="BJ195">
            <v>1098.8035</v>
          </cell>
          <cell r="BK195">
            <v>1049.40175</v>
          </cell>
          <cell r="BL195">
            <v>1000</v>
          </cell>
          <cell r="BM195">
            <v>950</v>
          </cell>
          <cell r="BN195">
            <v>877</v>
          </cell>
          <cell r="BO195">
            <v>787</v>
          </cell>
          <cell r="BP195">
            <v>690</v>
          </cell>
          <cell r="BQ195">
            <v>597</v>
          </cell>
          <cell r="BR195">
            <v>492</v>
          </cell>
          <cell r="BS195">
            <v>377</v>
          </cell>
          <cell r="BT195">
            <v>257</v>
          </cell>
        </row>
        <row r="197">
          <cell r="A197" t="str">
            <v>Customer Concentrations</v>
          </cell>
        </row>
        <row r="198">
          <cell r="A198" t="str">
            <v>AT&amp;T</v>
          </cell>
          <cell r="F198">
            <v>0.17</v>
          </cell>
          <cell r="G198">
            <v>0.2</v>
          </cell>
          <cell r="H198">
            <v>0.2</v>
          </cell>
          <cell r="I198">
            <v>0.2</v>
          </cell>
          <cell r="J198">
            <v>0.19</v>
          </cell>
          <cell r="K198">
            <v>0.2</v>
          </cell>
          <cell r="AS198">
            <v>0.19</v>
          </cell>
          <cell r="AT198">
            <v>0.2</v>
          </cell>
          <cell r="AU198">
            <v>0.2</v>
          </cell>
          <cell r="AV198">
            <v>0.2</v>
          </cell>
          <cell r="AW198">
            <v>0.2</v>
          </cell>
          <cell r="AZ198">
            <v>0.2</v>
          </cell>
          <cell r="BA198">
            <v>0.21</v>
          </cell>
          <cell r="BB198">
            <v>0.2</v>
          </cell>
          <cell r="BC198">
            <v>0.19</v>
          </cell>
          <cell r="BD198">
            <v>0.19</v>
          </cell>
          <cell r="BE198">
            <v>0.18</v>
          </cell>
          <cell r="BF198">
            <v>0.18</v>
          </cell>
          <cell r="BG198">
            <v>0.19</v>
          </cell>
          <cell r="BH198">
            <v>0.2</v>
          </cell>
          <cell r="BI198">
            <v>0.2</v>
          </cell>
          <cell r="BJ198">
            <v>0.19</v>
          </cell>
          <cell r="BK198">
            <v>0.2</v>
          </cell>
        </row>
        <row r="199">
          <cell r="A199" t="str">
            <v>Sprint Nextel</v>
          </cell>
          <cell r="F199">
            <v>0.14000000000000001</v>
          </cell>
          <cell r="G199">
            <v>0.21</v>
          </cell>
          <cell r="H199">
            <v>0.21</v>
          </cell>
          <cell r="I199">
            <v>0.19</v>
          </cell>
          <cell r="J199">
            <v>0.17</v>
          </cell>
          <cell r="K199">
            <v>0.16</v>
          </cell>
          <cell r="AS199">
            <v>0.2</v>
          </cell>
          <cell r="AT199">
            <v>0.2</v>
          </cell>
          <cell r="AU199">
            <v>0.2</v>
          </cell>
          <cell r="AV199">
            <v>0.21</v>
          </cell>
          <cell r="AW199">
            <v>0.2</v>
          </cell>
          <cell r="AZ199">
            <v>0.19</v>
          </cell>
          <cell r="BA199">
            <v>0.19</v>
          </cell>
          <cell r="BB199">
            <v>0.18</v>
          </cell>
          <cell r="BC199">
            <v>0.17</v>
          </cell>
          <cell r="BD199">
            <v>0.17</v>
          </cell>
          <cell r="BE199">
            <v>0.17</v>
          </cell>
          <cell r="BF199">
            <v>0.17</v>
          </cell>
          <cell r="BG199">
            <v>0.16</v>
          </cell>
          <cell r="BH199">
            <v>0.16</v>
          </cell>
          <cell r="BI199">
            <v>0.15</v>
          </cell>
          <cell r="BJ199">
            <v>0.14000000000000001</v>
          </cell>
          <cell r="BK199">
            <v>0.13</v>
          </cell>
        </row>
        <row r="200">
          <cell r="A200" t="str">
            <v>Verizon Wireless</v>
          </cell>
          <cell r="F200">
            <v>0.11</v>
          </cell>
          <cell r="G200">
            <v>0.1</v>
          </cell>
          <cell r="H200">
            <v>0.11</v>
          </cell>
          <cell r="I200">
            <v>0.16</v>
          </cell>
          <cell r="J200">
            <v>0.15</v>
          </cell>
          <cell r="K200">
            <v>0.15</v>
          </cell>
          <cell r="AS200">
            <v>0.11</v>
          </cell>
          <cell r="AT200">
            <v>0.11</v>
          </cell>
          <cell r="AU200">
            <v>0.11</v>
          </cell>
          <cell r="AV200">
            <v>0.11</v>
          </cell>
          <cell r="AW200">
            <v>0.11</v>
          </cell>
          <cell r="AZ200">
            <v>0.16</v>
          </cell>
          <cell r="BA200">
            <v>0.16</v>
          </cell>
          <cell r="BB200">
            <v>0.16</v>
          </cell>
          <cell r="BC200">
            <v>0.15</v>
          </cell>
          <cell r="BD200">
            <v>0.15</v>
          </cell>
          <cell r="BE200">
            <v>0.17</v>
          </cell>
          <cell r="BF200">
            <v>0.16</v>
          </cell>
          <cell r="BG200">
            <v>0.16</v>
          </cell>
          <cell r="BH200">
            <v>0.15</v>
          </cell>
          <cell r="BI200">
            <v>0.13</v>
          </cell>
          <cell r="BJ200">
            <v>0.13</v>
          </cell>
          <cell r="BK200">
            <v>0.12</v>
          </cell>
        </row>
        <row r="201">
          <cell r="A201" t="str">
            <v>T-Mobile (estimate)</v>
          </cell>
          <cell r="F201">
            <v>7.0000000000000007E-2</v>
          </cell>
          <cell r="G201">
            <v>0.08</v>
          </cell>
          <cell r="H201">
            <v>0.08</v>
          </cell>
          <cell r="I201">
            <v>0.09</v>
          </cell>
          <cell r="J201">
            <v>0.09</v>
          </cell>
          <cell r="K201">
            <v>0.08</v>
          </cell>
          <cell r="AS201">
            <v>0.08</v>
          </cell>
          <cell r="AT201">
            <v>0.08</v>
          </cell>
          <cell r="AU201">
            <v>0.08</v>
          </cell>
          <cell r="AV201">
            <v>0.08</v>
          </cell>
          <cell r="AW201">
            <v>0.09</v>
          </cell>
          <cell r="AZ201">
            <v>0.09</v>
          </cell>
          <cell r="BA201">
            <v>0.09</v>
          </cell>
          <cell r="BB201">
            <v>0.09</v>
          </cell>
          <cell r="BC201">
            <v>0.09</v>
          </cell>
          <cell r="BD201">
            <v>0.09</v>
          </cell>
          <cell r="BE201">
            <v>0.09</v>
          </cell>
          <cell r="BF201">
            <v>0.09</v>
          </cell>
          <cell r="BG201">
            <v>0.09</v>
          </cell>
          <cell r="BH201">
            <v>0.08</v>
          </cell>
          <cell r="BI201">
            <v>0.08</v>
          </cell>
          <cell r="BJ201">
            <v>7.0000000000000007E-2</v>
          </cell>
          <cell r="BK201">
            <v>7.0000000000000007E-2</v>
          </cell>
        </row>
        <row r="202">
          <cell r="A202" t="str">
            <v>TOTAL</v>
          </cell>
          <cell r="F202">
            <v>0.49000000000000005</v>
          </cell>
          <cell r="G202">
            <v>0.59</v>
          </cell>
          <cell r="H202">
            <v>0.6</v>
          </cell>
          <cell r="I202">
            <v>0.64</v>
          </cell>
          <cell r="J202">
            <v>0.6</v>
          </cell>
          <cell r="K202">
            <v>0.59</v>
          </cell>
          <cell r="AS202">
            <v>0.57999999999999996</v>
          </cell>
          <cell r="AT202">
            <v>0.59</v>
          </cell>
          <cell r="AU202">
            <v>0.59</v>
          </cell>
          <cell r="AV202">
            <v>0.6</v>
          </cell>
          <cell r="AW202">
            <v>0.6</v>
          </cell>
          <cell r="AZ202">
            <v>0.64</v>
          </cell>
          <cell r="BA202">
            <v>0.65</v>
          </cell>
          <cell r="BB202">
            <v>0.63</v>
          </cell>
          <cell r="BC202">
            <v>0.6</v>
          </cell>
          <cell r="BD202">
            <v>0.6</v>
          </cell>
          <cell r="BE202">
            <v>0.61</v>
          </cell>
          <cell r="BF202">
            <v>0.6</v>
          </cell>
          <cell r="BG202">
            <v>0.6</v>
          </cell>
          <cell r="BH202">
            <v>0.59</v>
          </cell>
          <cell r="BI202">
            <v>0.55999999999999994</v>
          </cell>
          <cell r="BJ202">
            <v>0.53</v>
          </cell>
          <cell r="BK202">
            <v>0.52</v>
          </cell>
        </row>
        <row r="204">
          <cell r="A204" t="str">
            <v>Employees</v>
          </cell>
        </row>
        <row r="205">
          <cell r="D205">
            <v>1400</v>
          </cell>
          <cell r="E205">
            <v>726</v>
          </cell>
          <cell r="F205">
            <v>904</v>
          </cell>
          <cell r="G205">
            <v>995</v>
          </cell>
          <cell r="H205">
            <v>1124</v>
          </cell>
          <cell r="I205">
            <v>1198</v>
          </cell>
          <cell r="J205">
            <v>1420</v>
          </cell>
          <cell r="K205">
            <v>1729</v>
          </cell>
        </row>
        <row r="207">
          <cell r="D207" t="str">
            <v>2003-FY</v>
          </cell>
          <cell r="E207" t="str">
            <v>2004-FY</v>
          </cell>
          <cell r="F207" t="str">
            <v>2005-FY</v>
          </cell>
          <cell r="G207" t="str">
            <v>2006-FY</v>
          </cell>
          <cell r="H207" t="str">
            <v>2007-FY</v>
          </cell>
          <cell r="I207" t="str">
            <v>2008-FY</v>
          </cell>
          <cell r="J207" t="str">
            <v>2009-FY</v>
          </cell>
          <cell r="K207" t="str">
            <v>2010-FY</v>
          </cell>
          <cell r="L207" t="str">
            <v>2011-FY</v>
          </cell>
          <cell r="M207" t="str">
            <v>2012-FY</v>
          </cell>
          <cell r="N207" t="str">
            <v>2013-FY</v>
          </cell>
          <cell r="O207" t="str">
            <v>2014-FY</v>
          </cell>
          <cell r="P207" t="str">
            <v>2015-FY</v>
          </cell>
          <cell r="Q207" t="str">
            <v>2016-FY</v>
          </cell>
          <cell r="R207" t="str">
            <v>2017-FY</v>
          </cell>
          <cell r="S207" t="str">
            <v>2018-FY</v>
          </cell>
          <cell r="T207" t="str">
            <v>2019-FY</v>
          </cell>
          <cell r="U207" t="str">
            <v>2020-FY</v>
          </cell>
          <cell r="V207" t="str">
            <v>2021-FY</v>
          </cell>
          <cell r="AC207" t="str">
            <v>2003-Q1</v>
          </cell>
          <cell r="AD207" t="str">
            <v>2003-Q2</v>
          </cell>
          <cell r="AE207" t="str">
            <v>2003-Q3</v>
          </cell>
          <cell r="AF207" t="str">
            <v>2003-Q4</v>
          </cell>
          <cell r="AG207" t="str">
            <v>2004-Q1</v>
          </cell>
          <cell r="AH207" t="str">
            <v>2004-Q2</v>
          </cell>
          <cell r="AI207" t="str">
            <v>2004-Q3</v>
          </cell>
          <cell r="AJ207" t="str">
            <v>2004-Q4</v>
          </cell>
          <cell r="AK207" t="str">
            <v>2005-Q1</v>
          </cell>
          <cell r="AL207" t="str">
            <v>2005-Q2</v>
          </cell>
          <cell r="AM207" t="str">
            <v>2005-Q3</v>
          </cell>
          <cell r="AN207" t="str">
            <v>2005-Q4</v>
          </cell>
          <cell r="AO207" t="str">
            <v>2006-Q1</v>
          </cell>
          <cell r="AP207" t="str">
            <v>2006-Q2</v>
          </cell>
          <cell r="AQ207" t="str">
            <v>2006-Q3</v>
          </cell>
          <cell r="AR207" t="str">
            <v>2006-Q4</v>
          </cell>
          <cell r="AS207" t="str">
            <v>2007-Q1</v>
          </cell>
          <cell r="AT207" t="str">
            <v>2007-Q2</v>
          </cell>
          <cell r="AU207" t="str">
            <v>2007-Q3</v>
          </cell>
          <cell r="AV207" t="str">
            <v>2007-Q4</v>
          </cell>
          <cell r="AW207" t="str">
            <v>2008-Q1</v>
          </cell>
          <cell r="AX207" t="str">
            <v>2008-Q2</v>
          </cell>
          <cell r="AY207" t="str">
            <v>2008-Q3</v>
          </cell>
          <cell r="AZ207" t="str">
            <v>2008-Q4</v>
          </cell>
          <cell r="BA207" t="str">
            <v>2009-Q1</v>
          </cell>
          <cell r="BB207" t="str">
            <v>2009-Q2</v>
          </cell>
          <cell r="BC207" t="str">
            <v>2009-Q3</v>
          </cell>
          <cell r="BD207" t="str">
            <v>2009-Q4</v>
          </cell>
          <cell r="BE207" t="str">
            <v>2010-Q1</v>
          </cell>
          <cell r="BF207" t="str">
            <v>2010-Q2</v>
          </cell>
          <cell r="BG207" t="str">
            <v>2010-Q3</v>
          </cell>
          <cell r="BH207" t="str">
            <v>2010-Q4</v>
          </cell>
          <cell r="BI207" t="str">
            <v>2011-Q1</v>
          </cell>
          <cell r="BJ207" t="str">
            <v>2011-Q2</v>
          </cell>
          <cell r="BK207" t="str">
            <v>2011-Q3</v>
          </cell>
          <cell r="BL207" t="str">
            <v>2011-Q4</v>
          </cell>
          <cell r="BM207" t="str">
            <v>2012-Q1</v>
          </cell>
          <cell r="BN207" t="str">
            <v>2012-Q2</v>
          </cell>
          <cell r="BO207" t="str">
            <v>2012-Q3</v>
          </cell>
          <cell r="BP207" t="str">
            <v>2012-Q4</v>
          </cell>
          <cell r="BQ207" t="str">
            <v>2013-Q1</v>
          </cell>
          <cell r="BR207" t="str">
            <v>2013-Q2</v>
          </cell>
          <cell r="BS207" t="str">
            <v>2013-Q3</v>
          </cell>
          <cell r="BT207" t="str">
            <v>2013-Q4</v>
          </cell>
        </row>
      </sheetData>
      <sheetData sheetId="3" refreshError="1">
        <row r="1">
          <cell r="A1" t="str">
            <v>Simon Flannery / simon.flannery@morganstanley.com / 212-761-6432</v>
          </cell>
          <cell r="BW1" t="str">
            <v>ElementName</v>
          </cell>
          <cell r="BX1" t="str">
            <v>ScaleOverride</v>
          </cell>
          <cell r="BY1" t="str">
            <v>UnitOverride</v>
          </cell>
          <cell r="BZ1" t="str">
            <v>ReverseSign</v>
          </cell>
          <cell r="CA1" t="str">
            <v>IsDrivingAssumption</v>
          </cell>
          <cell r="CB1" t="str">
            <v>SegmentID</v>
          </cell>
        </row>
        <row r="2">
          <cell r="A2" t="str">
            <v>American Tower</v>
          </cell>
        </row>
        <row r="3">
          <cell r="A3" t="str">
            <v>Balance Sheet</v>
          </cell>
        </row>
        <row r="8">
          <cell r="A8" t="str">
            <v>Fiscal Year Ending December 31</v>
          </cell>
          <cell r="G8" t="str">
            <v>Calendar Year</v>
          </cell>
          <cell r="X8" t="str">
            <v>2002A</v>
          </cell>
          <cell r="AB8" t="str">
            <v>2003A</v>
          </cell>
          <cell r="AF8" t="str">
            <v>2004A</v>
          </cell>
          <cell r="AJ8" t="str">
            <v>2005A</v>
          </cell>
          <cell r="AN8" t="str">
            <v>2006A</v>
          </cell>
          <cell r="AR8" t="str">
            <v>2007A</v>
          </cell>
          <cell r="AV8" t="str">
            <v>2008A</v>
          </cell>
          <cell r="AZ8" t="str">
            <v>2009A</v>
          </cell>
          <cell r="BD8" t="str">
            <v>2010A</v>
          </cell>
          <cell r="BH8" t="str">
            <v>2011E</v>
          </cell>
          <cell r="BL8" t="str">
            <v>2012E</v>
          </cell>
          <cell r="BP8" t="str">
            <v>2013E</v>
          </cell>
          <cell r="BU8" t="str">
            <v>CHECKS</v>
          </cell>
        </row>
        <row r="9">
          <cell r="C9" t="str">
            <v>2002A</v>
          </cell>
          <cell r="D9" t="str">
            <v>2003A</v>
          </cell>
          <cell r="E9" t="str">
            <v>2004A</v>
          </cell>
          <cell r="F9" t="str">
            <v>2005A</v>
          </cell>
          <cell r="G9" t="str">
            <v>2006A</v>
          </cell>
          <cell r="H9" t="str">
            <v>2007A</v>
          </cell>
          <cell r="I9" t="str">
            <v>2008A</v>
          </cell>
          <cell r="J9" t="str">
            <v>2009A</v>
          </cell>
          <cell r="K9" t="str">
            <v>2010A</v>
          </cell>
          <cell r="L9" t="str">
            <v>2011E</v>
          </cell>
          <cell r="M9" t="str">
            <v>2012E</v>
          </cell>
          <cell r="N9" t="str">
            <v>2013E</v>
          </cell>
          <cell r="O9" t="str">
            <v>2014E</v>
          </cell>
          <cell r="P9" t="str">
            <v>2015E</v>
          </cell>
          <cell r="Q9" t="str">
            <v>2016E</v>
          </cell>
          <cell r="R9" t="str">
            <v>2017E</v>
          </cell>
          <cell r="S9" t="str">
            <v>2018E</v>
          </cell>
          <cell r="T9" t="str">
            <v>2019E</v>
          </cell>
          <cell r="U9" t="str">
            <v>2020E</v>
          </cell>
          <cell r="V9" t="str">
            <v>2021E</v>
          </cell>
          <cell r="X9" t="str">
            <v>Mar</v>
          </cell>
          <cell r="Y9" t="str">
            <v>Jun</v>
          </cell>
          <cell r="Z9" t="str">
            <v>Sep</v>
          </cell>
          <cell r="AA9" t="str">
            <v>Dec</v>
          </cell>
          <cell r="AB9" t="str">
            <v>Mar</v>
          </cell>
          <cell r="AC9" t="str">
            <v>Jun</v>
          </cell>
          <cell r="AD9" t="str">
            <v>Sep</v>
          </cell>
          <cell r="AE9" t="str">
            <v>Dec</v>
          </cell>
          <cell r="AF9" t="str">
            <v>Mar</v>
          </cell>
          <cell r="AG9" t="str">
            <v>Jun</v>
          </cell>
          <cell r="AH9" t="str">
            <v>Sep</v>
          </cell>
          <cell r="AI9" t="str">
            <v>Dec</v>
          </cell>
          <cell r="AJ9" t="str">
            <v>Mar</v>
          </cell>
          <cell r="AK9" t="str">
            <v>Jun</v>
          </cell>
          <cell r="AL9" t="str">
            <v>Sep</v>
          </cell>
          <cell r="AM9" t="str">
            <v>Dec</v>
          </cell>
          <cell r="AN9" t="str">
            <v>Mar</v>
          </cell>
          <cell r="AO9" t="str">
            <v>Jun</v>
          </cell>
          <cell r="AP9" t="str">
            <v>Sep</v>
          </cell>
          <cell r="AQ9" t="str">
            <v>Dec</v>
          </cell>
          <cell r="AR9" t="str">
            <v>Mar</v>
          </cell>
          <cell r="AS9" t="str">
            <v>Jun</v>
          </cell>
          <cell r="AT9" t="str">
            <v>Sep</v>
          </cell>
          <cell r="AU9" t="str">
            <v>Dec</v>
          </cell>
          <cell r="AV9" t="str">
            <v>Mar</v>
          </cell>
          <cell r="AW9" t="str">
            <v>Jun</v>
          </cell>
          <cell r="AX9" t="str">
            <v>Sep</v>
          </cell>
          <cell r="AY9" t="str">
            <v>Dec</v>
          </cell>
          <cell r="AZ9" t="str">
            <v>Mar</v>
          </cell>
          <cell r="BA9" t="str">
            <v>Jun</v>
          </cell>
          <cell r="BB9" t="str">
            <v>Sep</v>
          </cell>
          <cell r="BC9" t="str">
            <v>Dec</v>
          </cell>
          <cell r="BD9" t="str">
            <v>Mar</v>
          </cell>
          <cell r="BE9" t="str">
            <v>Jun</v>
          </cell>
          <cell r="BF9" t="str">
            <v>Sep</v>
          </cell>
          <cell r="BG9" t="str">
            <v>Dec</v>
          </cell>
          <cell r="BH9" t="str">
            <v>Mar (A)</v>
          </cell>
          <cell r="BI9" t="str">
            <v>Jun (A)</v>
          </cell>
          <cell r="BJ9" t="str">
            <v>Sep (A)</v>
          </cell>
          <cell r="BK9" t="str">
            <v>Dec</v>
          </cell>
          <cell r="BL9" t="str">
            <v>Mar</v>
          </cell>
          <cell r="BM9" t="str">
            <v>Jun</v>
          </cell>
          <cell r="BN9" t="str">
            <v>Sep</v>
          </cell>
          <cell r="BO9" t="str">
            <v>Dec</v>
          </cell>
          <cell r="BP9" t="str">
            <v>Mar</v>
          </cell>
          <cell r="BQ9" t="str">
            <v>Jun</v>
          </cell>
          <cell r="BR9" t="str">
            <v>Sep</v>
          </cell>
          <cell r="BS9" t="str">
            <v>Dec</v>
          </cell>
          <cell r="BU9" t="str">
            <v>X</v>
          </cell>
        </row>
        <row r="10">
          <cell r="A10" t="str">
            <v>ASSETS</v>
          </cell>
        </row>
        <row r="11">
          <cell r="A11" t="str">
            <v xml:space="preserve">  Cash and Equivalents</v>
          </cell>
          <cell r="C11">
            <v>127.29200000000003</v>
          </cell>
          <cell r="D11">
            <v>105.46499999999982</v>
          </cell>
          <cell r="E11">
            <v>215.55699999999979</v>
          </cell>
          <cell r="F11">
            <v>112.70099999999985</v>
          </cell>
          <cell r="G11">
            <v>281.2639999999999</v>
          </cell>
          <cell r="H11">
            <v>33.122999999999934</v>
          </cell>
          <cell r="I11">
            <v>143.07700000000006</v>
          </cell>
          <cell r="J11">
            <v>247.29299999999995</v>
          </cell>
          <cell r="K11">
            <v>883.96299999999974</v>
          </cell>
          <cell r="L11">
            <v>49.43480890566741</v>
          </cell>
          <cell r="M11">
            <v>475.92065996555436</v>
          </cell>
          <cell r="N11">
            <v>1441.2230041238672</v>
          </cell>
          <cell r="O11">
            <v>2148.7511497629757</v>
          </cell>
          <cell r="P11">
            <v>2563.6691058852698</v>
          </cell>
          <cell r="Q11">
            <v>3002.0723766987667</v>
          </cell>
          <cell r="R11">
            <v>3451.3904741795523</v>
          </cell>
          <cell r="S11">
            <v>3922.6989413739684</v>
          </cell>
          <cell r="T11">
            <v>4398.6591129152985</v>
          </cell>
          <cell r="U11">
            <v>4903.534024764951</v>
          </cell>
          <cell r="V11">
            <v>5414.6556283865457</v>
          </cell>
          <cell r="AB11">
            <v>101.41099999999982</v>
          </cell>
          <cell r="AC11">
            <v>107.59699999999987</v>
          </cell>
          <cell r="AD11">
            <v>66.130999999999872</v>
          </cell>
          <cell r="AE11">
            <v>105.46499999999982</v>
          </cell>
          <cell r="AF11">
            <v>98.697999999999809</v>
          </cell>
          <cell r="AG11">
            <v>197.85599999999971</v>
          </cell>
          <cell r="AH11">
            <v>126.8329999999998</v>
          </cell>
          <cell r="AI11">
            <v>215.55699999999979</v>
          </cell>
          <cell r="AJ11">
            <v>122.79699999999974</v>
          </cell>
          <cell r="AK11">
            <v>85.621999999999787</v>
          </cell>
          <cell r="AL11">
            <v>109.15899999999979</v>
          </cell>
          <cell r="AM11">
            <v>112.70099999999985</v>
          </cell>
          <cell r="AN11">
            <v>85.572999999999837</v>
          </cell>
          <cell r="AO11">
            <v>90.453999999999866</v>
          </cell>
          <cell r="AP11">
            <v>207.20199999999986</v>
          </cell>
          <cell r="AQ11">
            <v>281.2639999999999</v>
          </cell>
          <cell r="AR11">
            <v>47.150999999999897</v>
          </cell>
          <cell r="AS11">
            <v>213.0209999999999</v>
          </cell>
          <cell r="AT11">
            <v>82.734999999999729</v>
          </cell>
          <cell r="AU11">
            <v>33.122999999999934</v>
          </cell>
          <cell r="AV11">
            <v>121.63300000000001</v>
          </cell>
          <cell r="AW11">
            <v>152.13000000000005</v>
          </cell>
          <cell r="AX11">
            <v>66.23500000000007</v>
          </cell>
          <cell r="AY11">
            <v>143.07700000000006</v>
          </cell>
          <cell r="AZ11">
            <v>303.03800000000001</v>
          </cell>
          <cell r="BA11">
            <v>323.637</v>
          </cell>
          <cell r="BB11">
            <v>229.67399999999992</v>
          </cell>
          <cell r="BC11">
            <v>247.29299999999995</v>
          </cell>
          <cell r="BD11">
            <v>352.88699999999994</v>
          </cell>
          <cell r="BE11">
            <v>302.89299999999986</v>
          </cell>
          <cell r="BF11">
            <v>371.87799999999982</v>
          </cell>
          <cell r="BG11">
            <v>883.96299999999974</v>
          </cell>
          <cell r="BH11">
            <v>362.82329999999968</v>
          </cell>
          <cell r="BI11">
            <v>332.54229999999961</v>
          </cell>
          <cell r="BJ11">
            <v>177.50629999999967</v>
          </cell>
          <cell r="BK11">
            <v>49.43480890566741</v>
          </cell>
          <cell r="BL11">
            <v>76.260982694191824</v>
          </cell>
          <cell r="BM11">
            <v>177.23563689270486</v>
          </cell>
          <cell r="BN11">
            <v>322.05931598765937</v>
          </cell>
          <cell r="BO11">
            <v>475.92065996555436</v>
          </cell>
          <cell r="BP11">
            <v>683.76668656129209</v>
          </cell>
          <cell r="BQ11">
            <v>928.86865021005906</v>
          </cell>
          <cell r="BR11">
            <v>1181.8425317377753</v>
          </cell>
          <cell r="BS11">
            <v>1441.2230041238672</v>
          </cell>
          <cell r="BW11" t="str">
            <v>mstag:cashAndCashEquivalents</v>
          </cell>
          <cell r="BX11">
            <v>6</v>
          </cell>
          <cell r="BY11" t="str">
            <v>ISO4217:USD</v>
          </cell>
          <cell r="BZ11" t="b">
            <v>0</v>
          </cell>
          <cell r="CA11" t="b">
            <v>0</v>
          </cell>
        </row>
        <row r="12">
          <cell r="A12" t="str">
            <v xml:space="preserve">  Restricted Cash and Investments</v>
          </cell>
          <cell r="D12">
            <v>170.036</v>
          </cell>
          <cell r="E12">
            <v>0</v>
          </cell>
          <cell r="F12">
            <v>0</v>
          </cell>
          <cell r="G12">
            <v>0</v>
          </cell>
          <cell r="H12">
            <v>53.683999999999997</v>
          </cell>
          <cell r="I12">
            <v>51.866</v>
          </cell>
          <cell r="J12">
            <v>47.835999999999999</v>
          </cell>
          <cell r="K12">
            <v>75.971999999999994</v>
          </cell>
          <cell r="L12">
            <v>50.220999999999997</v>
          </cell>
          <cell r="M12">
            <v>50.220999999999997</v>
          </cell>
          <cell r="N12">
            <v>50.220999999999997</v>
          </cell>
          <cell r="O12">
            <v>50.220999999999997</v>
          </cell>
          <cell r="P12">
            <v>50.220999999999997</v>
          </cell>
          <cell r="Q12">
            <v>50.220999999999997</v>
          </cell>
          <cell r="R12">
            <v>50.220999999999997</v>
          </cell>
          <cell r="S12">
            <v>50.220999999999997</v>
          </cell>
          <cell r="T12">
            <v>50.220999999999997</v>
          </cell>
          <cell r="U12">
            <v>50.220999999999997</v>
          </cell>
          <cell r="V12">
            <v>50.220999999999997</v>
          </cell>
          <cell r="AB12">
            <v>217.18799999999999</v>
          </cell>
          <cell r="AC12">
            <v>192.88499999999999</v>
          </cell>
          <cell r="AD12">
            <v>283.72199999999998</v>
          </cell>
          <cell r="AE12">
            <v>170.036</v>
          </cell>
          <cell r="AF12">
            <v>119.137</v>
          </cell>
          <cell r="AS12">
            <v>35.927999999999997</v>
          </cell>
          <cell r="AT12">
            <v>41.154000000000003</v>
          </cell>
          <cell r="AU12">
            <v>53.683999999999997</v>
          </cell>
          <cell r="AV12">
            <v>50.127000000000002</v>
          </cell>
          <cell r="AW12">
            <v>51.16</v>
          </cell>
          <cell r="AX12">
            <v>50.826999999999998</v>
          </cell>
          <cell r="AY12">
            <v>51.866</v>
          </cell>
          <cell r="AZ12">
            <v>61.475000000000001</v>
          </cell>
          <cell r="BA12">
            <v>50.774000000000001</v>
          </cell>
          <cell r="BB12">
            <v>50.795000000000002</v>
          </cell>
          <cell r="BC12">
            <v>47.835999999999999</v>
          </cell>
          <cell r="BD12">
            <v>49.793999999999997</v>
          </cell>
          <cell r="BE12">
            <v>52.566000000000003</v>
          </cell>
          <cell r="BF12">
            <v>69.159000000000006</v>
          </cell>
          <cell r="BG12">
            <v>75.971999999999994</v>
          </cell>
          <cell r="BH12">
            <v>79.427000000000007</v>
          </cell>
          <cell r="BI12">
            <v>50.206000000000003</v>
          </cell>
          <cell r="BJ12">
            <v>50.220999999999997</v>
          </cell>
          <cell r="BK12">
            <v>50.220999999999997</v>
          </cell>
          <cell r="BL12">
            <v>50.220999999999997</v>
          </cell>
          <cell r="BM12">
            <v>50.220999999999997</v>
          </cell>
          <cell r="BN12">
            <v>50.220999999999997</v>
          </cell>
          <cell r="BO12">
            <v>50.220999999999997</v>
          </cell>
          <cell r="BP12">
            <v>50.220999999999997</v>
          </cell>
          <cell r="BQ12">
            <v>50.220999999999997</v>
          </cell>
          <cell r="BR12">
            <v>50.220999999999997</v>
          </cell>
          <cell r="BS12">
            <v>50.220999999999997</v>
          </cell>
          <cell r="BW12" t="str">
            <v>mstag:shortTermInvestments</v>
          </cell>
          <cell r="BX12">
            <v>6</v>
          </cell>
          <cell r="BY12" t="str">
            <v>ISO4217:USD</v>
          </cell>
          <cell r="BZ12" t="b">
            <v>0</v>
          </cell>
          <cell r="CA12" t="b">
            <v>0</v>
          </cell>
        </row>
        <row r="13">
          <cell r="A13" t="str">
            <v xml:space="preserve">  Accounts Receivable</v>
          </cell>
          <cell r="C13">
            <v>83.177000000000007</v>
          </cell>
          <cell r="D13">
            <v>57.734999999999999</v>
          </cell>
          <cell r="E13">
            <v>38.634</v>
          </cell>
          <cell r="F13">
            <v>36.994999999999997</v>
          </cell>
          <cell r="G13">
            <v>29.367999999999999</v>
          </cell>
          <cell r="H13">
            <v>40.316000000000003</v>
          </cell>
          <cell r="I13">
            <v>51.313000000000002</v>
          </cell>
          <cell r="J13">
            <v>67.948999999999998</v>
          </cell>
          <cell r="K13">
            <v>80.960999999999999</v>
          </cell>
          <cell r="L13">
            <v>115.93803389618637</v>
          </cell>
          <cell r="M13">
            <v>138.09946239025967</v>
          </cell>
          <cell r="N13">
            <v>148.44387572824377</v>
          </cell>
          <cell r="O13">
            <v>155.84206586392017</v>
          </cell>
          <cell r="P13">
            <v>162.19655085793906</v>
          </cell>
          <cell r="Q13">
            <v>168.31185250108578</v>
          </cell>
          <cell r="R13">
            <v>173.76420486896484</v>
          </cell>
          <cell r="S13">
            <v>178.49999826336548</v>
          </cell>
          <cell r="T13">
            <v>182.50719432208615</v>
          </cell>
          <cell r="U13">
            <v>185.676625847667</v>
          </cell>
          <cell r="V13">
            <v>188.09802865817832</v>
          </cell>
          <cell r="AB13">
            <v>78.778000000000006</v>
          </cell>
          <cell r="AC13">
            <v>57.904000000000003</v>
          </cell>
          <cell r="AD13">
            <v>52.622999999999998</v>
          </cell>
          <cell r="AE13">
            <v>57.734999999999999</v>
          </cell>
          <cell r="AF13">
            <v>46.31</v>
          </cell>
          <cell r="AG13">
            <v>44.192999999999998</v>
          </cell>
          <cell r="AH13">
            <v>41.704000000000001</v>
          </cell>
          <cell r="AI13">
            <v>38.634</v>
          </cell>
          <cell r="AJ13">
            <v>30.423999999999999</v>
          </cell>
          <cell r="AK13">
            <v>23.117999999999999</v>
          </cell>
          <cell r="AL13">
            <v>37.552999999999997</v>
          </cell>
          <cell r="AM13">
            <v>36.994999999999997</v>
          </cell>
          <cell r="AN13">
            <v>33.216000000000001</v>
          </cell>
          <cell r="AO13">
            <v>30.782</v>
          </cell>
          <cell r="AP13">
            <v>33.505000000000003</v>
          </cell>
          <cell r="AQ13">
            <v>29.367999999999999</v>
          </cell>
          <cell r="AR13">
            <v>33.734000000000002</v>
          </cell>
          <cell r="AS13">
            <v>45.414999999999999</v>
          </cell>
          <cell r="AT13">
            <v>46.426000000000002</v>
          </cell>
          <cell r="AU13">
            <v>40.316000000000003</v>
          </cell>
          <cell r="AV13">
            <v>37.119999999999997</v>
          </cell>
          <cell r="AW13">
            <v>40.774000000000001</v>
          </cell>
          <cell r="AX13">
            <v>46.146000000000001</v>
          </cell>
          <cell r="AY13">
            <v>51.313000000000002</v>
          </cell>
          <cell r="AZ13">
            <v>60.057000000000002</v>
          </cell>
          <cell r="BA13">
            <v>72.525999999999996</v>
          </cell>
          <cell r="BB13">
            <v>71.271000000000001</v>
          </cell>
          <cell r="BC13">
            <v>67.948999999999998</v>
          </cell>
          <cell r="BD13">
            <v>73.540999999999997</v>
          </cell>
          <cell r="BE13">
            <v>48.872</v>
          </cell>
          <cell r="BF13">
            <v>92.869</v>
          </cell>
          <cell r="BG13">
            <v>80.960999999999999</v>
          </cell>
          <cell r="BH13">
            <v>97.828999999999994</v>
          </cell>
          <cell r="BI13">
            <v>99.822999999999993</v>
          </cell>
          <cell r="BJ13">
            <v>100.063</v>
          </cell>
          <cell r="BK13">
            <v>115.93803389618637</v>
          </cell>
          <cell r="BL13">
            <v>118.12467743033675</v>
          </cell>
          <cell r="BM13">
            <v>127.7345001019918</v>
          </cell>
          <cell r="BN13">
            <v>133.63496540454412</v>
          </cell>
          <cell r="BO13">
            <v>138.09946239025967</v>
          </cell>
          <cell r="BP13">
            <v>137.39213237515452</v>
          </cell>
          <cell r="BQ13">
            <v>142.07267540368602</v>
          </cell>
          <cell r="BR13">
            <v>145.90085246172853</v>
          </cell>
          <cell r="BS13">
            <v>148.44387572824377</v>
          </cell>
          <cell r="BW13" t="str">
            <v>mstag:tradeReceivables</v>
          </cell>
          <cell r="BX13">
            <v>6</v>
          </cell>
          <cell r="BY13" t="str">
            <v>ISO4217:USD</v>
          </cell>
          <cell r="BZ13" t="b">
            <v>0</v>
          </cell>
          <cell r="CA13" t="b">
            <v>0</v>
          </cell>
        </row>
        <row r="14">
          <cell r="A14" t="str">
            <v xml:space="preserve">  Inventories</v>
          </cell>
          <cell r="L14">
            <v>0</v>
          </cell>
          <cell r="M14">
            <v>0</v>
          </cell>
          <cell r="N14">
            <v>0</v>
          </cell>
        </row>
        <row r="15">
          <cell r="A15" t="str">
            <v xml:space="preserve">  Short-term Investments</v>
          </cell>
          <cell r="L15">
            <v>0</v>
          </cell>
          <cell r="M15">
            <v>0</v>
          </cell>
          <cell r="N15">
            <v>0</v>
          </cell>
        </row>
        <row r="16">
          <cell r="A16" t="str">
            <v xml:space="preserve">  Assets of Discontinued Operations</v>
          </cell>
          <cell r="L16">
            <v>0</v>
          </cell>
          <cell r="M16">
            <v>0</v>
          </cell>
          <cell r="N16">
            <v>0</v>
          </cell>
        </row>
        <row r="17">
          <cell r="A17" t="str">
            <v xml:space="preserve">  Prepaid Expenses and Other Current Assets</v>
          </cell>
          <cell r="C17">
            <v>44.768999999999998</v>
          </cell>
          <cell r="D17">
            <v>34.104999999999997</v>
          </cell>
          <cell r="E17">
            <v>45.366999999999997</v>
          </cell>
          <cell r="F17">
            <v>44.823</v>
          </cell>
          <cell r="G17">
            <v>63.918999999999997</v>
          </cell>
          <cell r="H17">
            <v>71.263999999999996</v>
          </cell>
          <cell r="I17">
            <v>61.414999999999999</v>
          </cell>
          <cell r="J17">
            <v>89.051000000000002</v>
          </cell>
          <cell r="K17">
            <v>147.84299999999999</v>
          </cell>
          <cell r="L17">
            <v>236.47618717209781</v>
          </cell>
          <cell r="M17">
            <v>281.67835195314058</v>
          </cell>
          <cell r="N17">
            <v>302.77761802219482</v>
          </cell>
          <cell r="O17">
            <v>317.86753921945717</v>
          </cell>
          <cell r="P17">
            <v>330.8286386303152</v>
          </cell>
          <cell r="Q17">
            <v>343.30188116669882</v>
          </cell>
          <cell r="R17">
            <v>354.42292105106765</v>
          </cell>
          <cell r="S17">
            <v>364.08241179372988</v>
          </cell>
          <cell r="T17">
            <v>372.25579901940802</v>
          </cell>
          <cell r="U17">
            <v>378.72041686296666</v>
          </cell>
          <cell r="V17">
            <v>383.65929744421101</v>
          </cell>
          <cell r="AB17">
            <v>40.677999999999997</v>
          </cell>
          <cell r="AC17">
            <v>42.154000000000003</v>
          </cell>
          <cell r="AD17">
            <v>34.551000000000002</v>
          </cell>
          <cell r="AE17">
            <v>34.104999999999997</v>
          </cell>
          <cell r="AF17">
            <v>37.286999999999999</v>
          </cell>
          <cell r="AG17">
            <v>38.045000000000002</v>
          </cell>
          <cell r="AH17">
            <v>42.529000000000003</v>
          </cell>
          <cell r="AI17">
            <v>45.366999999999997</v>
          </cell>
          <cell r="AJ17">
            <v>35.82</v>
          </cell>
          <cell r="AK17">
            <v>38.277000000000001</v>
          </cell>
          <cell r="AL17">
            <v>53.866</v>
          </cell>
          <cell r="AM17">
            <v>44.823</v>
          </cell>
          <cell r="AN17">
            <v>77.266000000000005</v>
          </cell>
          <cell r="AO17">
            <v>73.242999999999995</v>
          </cell>
          <cell r="AP17">
            <v>65.849999999999994</v>
          </cell>
          <cell r="AQ17">
            <v>63.918999999999997</v>
          </cell>
          <cell r="AR17">
            <v>75.929000000000002</v>
          </cell>
          <cell r="AS17">
            <v>79.403999999999996</v>
          </cell>
          <cell r="AT17">
            <v>86.63</v>
          </cell>
          <cell r="AU17">
            <v>71.263999999999996</v>
          </cell>
          <cell r="AV17">
            <v>76.075999999999993</v>
          </cell>
          <cell r="AW17">
            <v>63.177</v>
          </cell>
          <cell r="AX17">
            <v>62.406999999999996</v>
          </cell>
          <cell r="AY17">
            <v>61.414999999999999</v>
          </cell>
          <cell r="AZ17">
            <v>70.180000000000007</v>
          </cell>
          <cell r="BA17">
            <v>70.974000000000004</v>
          </cell>
          <cell r="BB17">
            <v>78.722999999999999</v>
          </cell>
          <cell r="BC17">
            <v>89.051000000000002</v>
          </cell>
          <cell r="BD17">
            <v>107.208</v>
          </cell>
          <cell r="BE17">
            <v>113.84399999999999</v>
          </cell>
          <cell r="BF17">
            <v>157.43799999999999</v>
          </cell>
          <cell r="BG17">
            <v>147.84299999999999</v>
          </cell>
          <cell r="BH17">
            <v>150.393</v>
          </cell>
          <cell r="BI17">
            <v>172.011</v>
          </cell>
          <cell r="BJ17">
            <v>228.59</v>
          </cell>
          <cell r="BK17">
            <v>236.47618717209781</v>
          </cell>
          <cell r="BL17">
            <v>240.93623456365023</v>
          </cell>
          <cell r="BM17">
            <v>260.53717265466366</v>
          </cell>
          <cell r="BN17">
            <v>272.57221836311714</v>
          </cell>
          <cell r="BO17">
            <v>281.67835195314058</v>
          </cell>
          <cell r="BP17">
            <v>280.23562690922421</v>
          </cell>
          <cell r="BQ17">
            <v>289.78242472945601</v>
          </cell>
          <cell r="BR17">
            <v>297.590670945846</v>
          </cell>
          <cell r="BS17">
            <v>302.77761802219482</v>
          </cell>
          <cell r="BW17" t="str">
            <v>mstag:prepaidExpenses</v>
          </cell>
          <cell r="BX17">
            <v>6</v>
          </cell>
          <cell r="BY17" t="str">
            <v>ISO4217:USD</v>
          </cell>
          <cell r="BZ17" t="b">
            <v>0</v>
          </cell>
          <cell r="CA17" t="b">
            <v>0</v>
          </cell>
        </row>
        <row r="18">
          <cell r="A18" t="str">
            <v xml:space="preserve">  Deferred Income Taxes and Other</v>
          </cell>
          <cell r="C18">
            <v>37.198999999999998</v>
          </cell>
          <cell r="D18">
            <v>34.055</v>
          </cell>
          <cell r="E18">
            <v>6.09</v>
          </cell>
          <cell r="F18">
            <v>31.359000000000002</v>
          </cell>
          <cell r="G18">
            <v>88.484999999999999</v>
          </cell>
          <cell r="H18">
            <v>40.063000000000002</v>
          </cell>
          <cell r="I18">
            <v>163.98099999999999</v>
          </cell>
          <cell r="J18">
            <v>189.45099999999999</v>
          </cell>
          <cell r="K18">
            <v>166.31399999999999</v>
          </cell>
          <cell r="L18">
            <v>252.69900000000001</v>
          </cell>
          <cell r="M18">
            <v>252.69900000000001</v>
          </cell>
          <cell r="N18">
            <v>252.69900000000001</v>
          </cell>
          <cell r="O18">
            <v>252.69900000000001</v>
          </cell>
          <cell r="P18">
            <v>252.69900000000001</v>
          </cell>
          <cell r="Q18">
            <v>252.69900000000001</v>
          </cell>
          <cell r="R18">
            <v>252.69900000000001</v>
          </cell>
          <cell r="S18">
            <v>252.69900000000001</v>
          </cell>
          <cell r="T18">
            <v>252.69900000000001</v>
          </cell>
          <cell r="U18">
            <v>252.69900000000001</v>
          </cell>
          <cell r="V18">
            <v>252.69900000000001</v>
          </cell>
          <cell r="AB18">
            <v>27.89</v>
          </cell>
          <cell r="AC18">
            <v>31.083000000000002</v>
          </cell>
          <cell r="AD18">
            <v>32.863</v>
          </cell>
          <cell r="AE18">
            <v>34.055</v>
          </cell>
          <cell r="AF18">
            <v>29.503</v>
          </cell>
          <cell r="AG18">
            <v>30.187000000000001</v>
          </cell>
          <cell r="AH18">
            <v>30.673999999999999</v>
          </cell>
          <cell r="AI18">
            <v>6.09</v>
          </cell>
          <cell r="AJ18">
            <v>6.09</v>
          </cell>
          <cell r="AK18">
            <v>6.09</v>
          </cell>
          <cell r="AL18">
            <v>39.610999999999997</v>
          </cell>
          <cell r="AM18">
            <v>31.359000000000002</v>
          </cell>
          <cell r="AN18">
            <v>31.359000000000002</v>
          </cell>
          <cell r="AO18">
            <v>94.236000000000004</v>
          </cell>
          <cell r="AP18">
            <v>94.236000000000004</v>
          </cell>
          <cell r="AQ18">
            <v>88.484999999999999</v>
          </cell>
          <cell r="AR18">
            <v>88.480999999999995</v>
          </cell>
          <cell r="AS18">
            <v>23.494</v>
          </cell>
          <cell r="AT18">
            <v>23.494</v>
          </cell>
          <cell r="AU18">
            <v>40.063000000000002</v>
          </cell>
          <cell r="AV18">
            <v>40.08</v>
          </cell>
          <cell r="AW18">
            <v>40.124000000000002</v>
          </cell>
          <cell r="AX18">
            <v>40.055</v>
          </cell>
          <cell r="AY18">
            <v>163.98099999999999</v>
          </cell>
          <cell r="AZ18">
            <v>163.98099999999999</v>
          </cell>
          <cell r="BA18">
            <v>191.15700000000001</v>
          </cell>
          <cell r="BB18">
            <v>191.62299999999999</v>
          </cell>
          <cell r="BC18">
            <v>189.45099999999999</v>
          </cell>
          <cell r="BD18">
            <v>216.822</v>
          </cell>
          <cell r="BE18">
            <v>224.47200000000001</v>
          </cell>
          <cell r="BF18">
            <v>210.244</v>
          </cell>
          <cell r="BG18">
            <v>166.31399999999999</v>
          </cell>
          <cell r="BH18">
            <v>250.25</v>
          </cell>
          <cell r="BI18">
            <v>256.14600000000002</v>
          </cell>
          <cell r="BJ18">
            <v>252.69900000000001</v>
          </cell>
          <cell r="BK18">
            <v>252.69900000000001</v>
          </cell>
          <cell r="BL18">
            <v>252.69900000000001</v>
          </cell>
          <cell r="BM18">
            <v>252.69900000000001</v>
          </cell>
          <cell r="BN18">
            <v>252.69900000000001</v>
          </cell>
          <cell r="BO18">
            <v>252.69900000000001</v>
          </cell>
          <cell r="BP18">
            <v>252.69900000000001</v>
          </cell>
          <cell r="BQ18">
            <v>252.69900000000001</v>
          </cell>
          <cell r="BR18">
            <v>252.69900000000001</v>
          </cell>
          <cell r="BS18">
            <v>252.69900000000001</v>
          </cell>
          <cell r="BW18" t="str">
            <v>mstag:otherAssetsOperatingCurrent</v>
          </cell>
          <cell r="BX18">
            <v>6</v>
          </cell>
          <cell r="BY18" t="str">
            <v>ISO4217:USD</v>
          </cell>
          <cell r="BZ18" t="b">
            <v>0</v>
          </cell>
          <cell r="CA18" t="b">
            <v>0</v>
          </cell>
        </row>
        <row r="19">
          <cell r="A19" t="str">
            <v xml:space="preserve">  Assets Held for Sale</v>
          </cell>
          <cell r="C19">
            <v>234.72399999999999</v>
          </cell>
          <cell r="D19">
            <v>10.119</v>
          </cell>
          <cell r="E19">
            <v>3.3889999999999998</v>
          </cell>
          <cell r="F19">
            <v>0</v>
          </cell>
          <cell r="G19">
            <v>22.986000000000001</v>
          </cell>
          <cell r="H19">
            <v>7.2240000000000002</v>
          </cell>
          <cell r="I19">
            <v>2.028</v>
          </cell>
          <cell r="J19">
            <v>9.7759999999999998</v>
          </cell>
          <cell r="K19">
            <v>46.427999999999997</v>
          </cell>
          <cell r="L19">
            <v>4.726</v>
          </cell>
          <cell r="M19">
            <v>4.726</v>
          </cell>
          <cell r="N19">
            <v>4.726</v>
          </cell>
          <cell r="O19">
            <v>4.726</v>
          </cell>
          <cell r="P19">
            <v>4.726</v>
          </cell>
          <cell r="Q19">
            <v>4.726</v>
          </cell>
          <cell r="R19">
            <v>4.726</v>
          </cell>
          <cell r="S19">
            <v>4.726</v>
          </cell>
          <cell r="T19">
            <v>4.726</v>
          </cell>
          <cell r="U19">
            <v>4.726</v>
          </cell>
          <cell r="V19">
            <v>4.726</v>
          </cell>
          <cell r="AB19">
            <v>185.15799999999999</v>
          </cell>
          <cell r="AC19">
            <v>153.52099999999999</v>
          </cell>
          <cell r="AD19">
            <v>138.26400000000001</v>
          </cell>
          <cell r="AE19">
            <v>10.119</v>
          </cell>
          <cell r="AF19">
            <v>3.4390000000000001</v>
          </cell>
          <cell r="AG19">
            <v>3.3889999999999998</v>
          </cell>
          <cell r="AH19">
            <v>3.3889999999999998</v>
          </cell>
          <cell r="AI19">
            <v>3.3889999999999998</v>
          </cell>
          <cell r="AJ19">
            <v>3.3889999999999998</v>
          </cell>
          <cell r="AK19">
            <v>3.3889999999999998</v>
          </cell>
          <cell r="AL19">
            <v>3.3889999999999998</v>
          </cell>
          <cell r="AQ19">
            <v>22.986000000000001</v>
          </cell>
          <cell r="AR19">
            <v>14.329000000000001</v>
          </cell>
          <cell r="AS19">
            <v>15.634</v>
          </cell>
          <cell r="AT19">
            <v>5.2190000000000003</v>
          </cell>
          <cell r="AU19">
            <v>7.2240000000000002</v>
          </cell>
          <cell r="AV19">
            <v>6.8019999999999996</v>
          </cell>
          <cell r="AW19">
            <v>11.786</v>
          </cell>
          <cell r="AX19">
            <v>8.0129999999999999</v>
          </cell>
          <cell r="AY19">
            <v>2.028</v>
          </cell>
          <cell r="AZ19">
            <v>0.96199999999999997</v>
          </cell>
          <cell r="BA19">
            <v>8.99</v>
          </cell>
          <cell r="BB19">
            <v>3.8439999999999999</v>
          </cell>
          <cell r="BC19">
            <v>9.7759999999999998</v>
          </cell>
          <cell r="BD19">
            <v>18.945</v>
          </cell>
          <cell r="BE19">
            <v>27.890999999999998</v>
          </cell>
          <cell r="BF19">
            <v>42.72</v>
          </cell>
          <cell r="BG19">
            <v>46.427999999999997</v>
          </cell>
          <cell r="BH19">
            <v>10.695</v>
          </cell>
          <cell r="BI19">
            <v>1.357</v>
          </cell>
          <cell r="BJ19">
            <v>4.726</v>
          </cell>
          <cell r="BK19">
            <v>4.726</v>
          </cell>
          <cell r="BL19">
            <v>4.726</v>
          </cell>
          <cell r="BM19">
            <v>4.726</v>
          </cell>
          <cell r="BN19">
            <v>4.726</v>
          </cell>
          <cell r="BO19">
            <v>4.726</v>
          </cell>
          <cell r="BP19">
            <v>4.726</v>
          </cell>
          <cell r="BQ19">
            <v>4.726</v>
          </cell>
          <cell r="BR19">
            <v>4.726</v>
          </cell>
          <cell r="BS19">
            <v>4.726</v>
          </cell>
          <cell r="BW19" t="str">
            <v>mstag:assetsOfDiscontinuedOperations</v>
          </cell>
          <cell r="BX19">
            <v>6</v>
          </cell>
          <cell r="BY19" t="str">
            <v>ISO4217:USD</v>
          </cell>
          <cell r="BZ19" t="b">
            <v>0</v>
          </cell>
          <cell r="CA19" t="b">
            <v>0</v>
          </cell>
        </row>
        <row r="20">
          <cell r="A20" t="str">
            <v xml:space="preserve">  Total Current Assets</v>
          </cell>
          <cell r="C20">
            <v>527.16100000000006</v>
          </cell>
          <cell r="D20">
            <v>411.51499999999987</v>
          </cell>
          <cell r="E20">
            <v>309.03699999999981</v>
          </cell>
          <cell r="F20">
            <v>225.87799999999987</v>
          </cell>
          <cell r="G20">
            <v>486.02199999999988</v>
          </cell>
          <cell r="H20">
            <v>245.67399999999992</v>
          </cell>
          <cell r="I20">
            <v>473.68000000000006</v>
          </cell>
          <cell r="J20">
            <v>651.35599999999988</v>
          </cell>
          <cell r="K20">
            <v>1401.4809999999998</v>
          </cell>
          <cell r="L20">
            <v>709.49502997395155</v>
          </cell>
          <cell r="M20">
            <v>1203.3444743089547</v>
          </cell>
          <cell r="N20">
            <v>2200.090497874306</v>
          </cell>
          <cell r="O20">
            <v>2930.1067548463534</v>
          </cell>
          <cell r="P20">
            <v>3364.3402953735244</v>
          </cell>
          <cell r="Q20">
            <v>3821.3321103665517</v>
          </cell>
          <cell r="R20">
            <v>4287.2236000995845</v>
          </cell>
          <cell r="S20">
            <v>4772.9273514310635</v>
          </cell>
          <cell r="T20">
            <v>5261.0681062567919</v>
          </cell>
          <cell r="U20">
            <v>5775.577067475584</v>
          </cell>
          <cell r="V20">
            <v>6294.0589544889335</v>
          </cell>
          <cell r="AB20">
            <v>651.10299999999984</v>
          </cell>
          <cell r="AC20">
            <v>585.14399999999989</v>
          </cell>
          <cell r="AD20">
            <v>608.15399999999977</v>
          </cell>
          <cell r="AE20">
            <v>411.51499999999987</v>
          </cell>
          <cell r="AF20">
            <v>334.3739999999998</v>
          </cell>
          <cell r="AG20">
            <v>313.66999999999973</v>
          </cell>
          <cell r="AH20">
            <v>245.12899999999982</v>
          </cell>
          <cell r="AI20">
            <v>309.03699999999981</v>
          </cell>
          <cell r="AJ20">
            <v>198.51999999999975</v>
          </cell>
          <cell r="AK20">
            <v>156.49599999999978</v>
          </cell>
          <cell r="AL20">
            <v>243.5779999999998</v>
          </cell>
          <cell r="AM20">
            <v>225.87799999999987</v>
          </cell>
          <cell r="AN20">
            <v>227.41399999999985</v>
          </cell>
          <cell r="AO20">
            <v>288.71499999999986</v>
          </cell>
          <cell r="AP20">
            <v>400.79299999999984</v>
          </cell>
          <cell r="AQ20">
            <v>486.02199999999988</v>
          </cell>
          <cell r="AR20">
            <v>259.62399999999991</v>
          </cell>
          <cell r="AS20">
            <v>412.89599999999996</v>
          </cell>
          <cell r="AT20">
            <v>285.65799999999973</v>
          </cell>
          <cell r="AU20">
            <v>245.67399999999992</v>
          </cell>
          <cell r="AV20">
            <v>331.83800000000002</v>
          </cell>
          <cell r="AW20">
            <v>359.15100000000007</v>
          </cell>
          <cell r="AX20">
            <v>273.68300000000005</v>
          </cell>
          <cell r="AY20">
            <v>473.68000000000006</v>
          </cell>
          <cell r="AZ20">
            <v>659.69299999999998</v>
          </cell>
          <cell r="BA20">
            <v>718.05800000000011</v>
          </cell>
          <cell r="BB20">
            <v>625.93000000000006</v>
          </cell>
          <cell r="BC20">
            <v>651.35599999999988</v>
          </cell>
          <cell r="BD20">
            <v>819.197</v>
          </cell>
          <cell r="BE20">
            <v>770.53799999999978</v>
          </cell>
          <cell r="BF20">
            <v>944.30799999999988</v>
          </cell>
          <cell r="BG20">
            <v>1401.4809999999998</v>
          </cell>
          <cell r="BH20">
            <v>951.41729999999973</v>
          </cell>
          <cell r="BI20">
            <v>912.08529999999951</v>
          </cell>
          <cell r="BJ20">
            <v>813.80529999999965</v>
          </cell>
          <cell r="BK20">
            <v>709.49502997395155</v>
          </cell>
          <cell r="BL20">
            <v>742.96789468817872</v>
          </cell>
          <cell r="BM20">
            <v>873.15330964936027</v>
          </cell>
          <cell r="BN20">
            <v>1035.9124997553208</v>
          </cell>
          <cell r="BO20">
            <v>1203.3444743089547</v>
          </cell>
          <cell r="BP20">
            <v>1409.040445845671</v>
          </cell>
          <cell r="BQ20">
            <v>1668.3697503432013</v>
          </cell>
          <cell r="BR20">
            <v>1932.98005514535</v>
          </cell>
          <cell r="BS20">
            <v>2200.090497874306</v>
          </cell>
        </row>
        <row r="22">
          <cell r="A22" t="str">
            <v xml:space="preserve">  Gross PP&amp;E</v>
          </cell>
          <cell r="C22">
            <v>3284.0630000000001</v>
          </cell>
          <cell r="D22">
            <v>3284.7139999999999</v>
          </cell>
          <cell r="E22">
            <v>3400.74</v>
          </cell>
          <cell r="F22">
            <v>4999.1639999999998</v>
          </cell>
          <cell r="G22">
            <v>4828.2070000000003</v>
          </cell>
          <cell r="H22">
            <v>4992.0290000000005</v>
          </cell>
          <cell r="I22">
            <v>5213.0469999999996</v>
          </cell>
          <cell r="J22">
            <v>5626.97</v>
          </cell>
          <cell r="K22">
            <v>6873.2343000000001</v>
          </cell>
          <cell r="L22">
            <v>9590.0679528140772</v>
          </cell>
          <cell r="M22">
            <v>10418.529801066097</v>
          </cell>
          <cell r="N22">
            <v>10868.342468799534</v>
          </cell>
          <cell r="O22">
            <v>11290.542468799535</v>
          </cell>
          <cell r="P22">
            <v>11723.042468799535</v>
          </cell>
          <cell r="Q22">
            <v>12149.042468799535</v>
          </cell>
          <cell r="R22">
            <v>12582.542468799535</v>
          </cell>
          <cell r="S22">
            <v>13003.542468799535</v>
          </cell>
          <cell r="T22">
            <v>13429.542468799535</v>
          </cell>
          <cell r="U22">
            <v>13835.542468799535</v>
          </cell>
          <cell r="V22">
            <v>14244.042468799535</v>
          </cell>
          <cell r="AB22">
            <v>3328.681</v>
          </cell>
          <cell r="AC22">
            <v>3351.9969999999998</v>
          </cell>
          <cell r="AD22">
            <v>3417.4490000000001</v>
          </cell>
          <cell r="AE22">
            <v>3284.7139999999999</v>
          </cell>
          <cell r="AF22">
            <v>3299.71</v>
          </cell>
          <cell r="AG22">
            <v>3350.3910000000001</v>
          </cell>
          <cell r="AH22">
            <v>3370.6559999999999</v>
          </cell>
          <cell r="AI22">
            <v>3400.74</v>
          </cell>
          <cell r="AJ22">
            <v>3440.6329999999998</v>
          </cell>
          <cell r="AK22">
            <v>3486.5920000000001</v>
          </cell>
          <cell r="AL22">
            <v>4815.28</v>
          </cell>
          <cell r="AM22">
            <v>4999.1639999999998</v>
          </cell>
          <cell r="AN22">
            <v>5058.1610000000001</v>
          </cell>
          <cell r="AO22">
            <v>5125.5320000000002</v>
          </cell>
          <cell r="AP22">
            <v>5204.3989999999994</v>
          </cell>
          <cell r="AQ22">
            <v>4828.2070000000003</v>
          </cell>
          <cell r="AR22">
            <v>4860.6149999999998</v>
          </cell>
          <cell r="AS22">
            <v>4893.5079999999998</v>
          </cell>
          <cell r="AT22">
            <v>4935.799</v>
          </cell>
          <cell r="AU22">
            <v>4992.0290000000005</v>
          </cell>
          <cell r="AV22">
            <v>5064.9660000000003</v>
          </cell>
          <cell r="AW22">
            <v>5121.4820000000009</v>
          </cell>
          <cell r="AX22">
            <v>5189.8560000000007</v>
          </cell>
          <cell r="AY22">
            <v>5213.0469999999996</v>
          </cell>
          <cell r="AZ22">
            <v>5263.8190000000004</v>
          </cell>
          <cell r="BA22">
            <v>5420.1670000000004</v>
          </cell>
          <cell r="BB22">
            <v>5556.6490000000003</v>
          </cell>
          <cell r="BC22">
            <v>5626.97</v>
          </cell>
          <cell r="BD22">
            <v>5770.5140000000001</v>
          </cell>
          <cell r="BE22">
            <v>5891.9732999999997</v>
          </cell>
          <cell r="BF22">
            <v>6439.7412999999997</v>
          </cell>
          <cell r="BG22">
            <v>6873.2343000000001</v>
          </cell>
          <cell r="BH22">
            <v>7588.4242999999997</v>
          </cell>
          <cell r="BI22">
            <v>8002.3092999999999</v>
          </cell>
          <cell r="BJ22">
            <v>8490.8352999999988</v>
          </cell>
          <cell r="BK22">
            <v>9590.0679528140772</v>
          </cell>
          <cell r="BL22">
            <v>9816.0312364904403</v>
          </cell>
          <cell r="BM22">
            <v>10041.994520166803</v>
          </cell>
          <cell r="BN22">
            <v>10230.26216061645</v>
          </cell>
          <cell r="BO22">
            <v>10418.529801066097</v>
          </cell>
          <cell r="BP22">
            <v>10530.982967999456</v>
          </cell>
          <cell r="BQ22">
            <v>10643.436134932816</v>
          </cell>
          <cell r="BR22">
            <v>10755.889301866175</v>
          </cell>
          <cell r="BS22">
            <v>10868.342468799534</v>
          </cell>
          <cell r="BW22" t="str">
            <v>mstag:propertyPlantAndEquipmentGross</v>
          </cell>
          <cell r="BX22">
            <v>6</v>
          </cell>
          <cell r="BY22" t="str">
            <v>ISO4217:USD</v>
          </cell>
          <cell r="BZ22" t="b">
            <v>0</v>
          </cell>
          <cell r="CA22" t="b">
            <v>0</v>
          </cell>
        </row>
        <row r="23">
          <cell r="A23" t="str">
            <v xml:space="preserve">  Accumulated Depreciation</v>
          </cell>
          <cell r="C23">
            <v>-549.178</v>
          </cell>
          <cell r="D23">
            <v>-796.36400000000003</v>
          </cell>
          <cell r="E23">
            <v>-1127.384</v>
          </cell>
          <cell r="F23">
            <v>-1538.6380000000001</v>
          </cell>
          <cell r="G23">
            <v>-1610.0830000000001</v>
          </cell>
          <cell r="H23">
            <v>-1946.8430000000001</v>
          </cell>
          <cell r="I23">
            <v>-2190.4110000000001</v>
          </cell>
          <cell r="J23">
            <v>-2451.4589999999998</v>
          </cell>
          <cell r="K23">
            <v>-3249.3993</v>
          </cell>
          <cell r="L23">
            <v>-4467.0132762499989</v>
          </cell>
          <cell r="M23">
            <v>-4897.5496553182511</v>
          </cell>
          <cell r="N23">
            <v>-5340.2061182979523</v>
          </cell>
          <cell r="O23">
            <v>-5773.6469349796844</v>
          </cell>
          <cell r="P23">
            <v>-6221.7286699932429</v>
          </cell>
          <cell r="Q23">
            <v>-6686.7972315054458</v>
          </cell>
          <cell r="R23">
            <v>-7170.9639368664284</v>
          </cell>
          <cell r="S23">
            <v>-7676.1289716913125</v>
          </cell>
          <cell r="T23">
            <v>-8204.0025030337092</v>
          </cell>
          <cell r="U23">
            <v>-8756.1236812418647</v>
          </cell>
          <cell r="V23">
            <v>-9333.877741629205</v>
          </cell>
          <cell r="AB23">
            <v>-633.24099999999999</v>
          </cell>
          <cell r="AC23">
            <v>-717.42200000000003</v>
          </cell>
          <cell r="AD23">
            <v>-800.04100000000005</v>
          </cell>
          <cell r="AE23">
            <v>-796.36400000000003</v>
          </cell>
          <cell r="AF23">
            <v>-877.70900000000006</v>
          </cell>
          <cell r="AG23">
            <v>-963.93100000000004</v>
          </cell>
          <cell r="AH23">
            <v>-1046.3130000000001</v>
          </cell>
          <cell r="AI23">
            <v>-1127.384</v>
          </cell>
          <cell r="AJ23">
            <v>-1209.355</v>
          </cell>
          <cell r="AK23">
            <v>-1294.1390000000001</v>
          </cell>
          <cell r="AL23">
            <v>-1410.8910000000001</v>
          </cell>
          <cell r="AM23">
            <v>-1538.6380000000001</v>
          </cell>
          <cell r="AN23">
            <v>-1671.8990000000001</v>
          </cell>
          <cell r="AO23">
            <v>-1804.71</v>
          </cell>
          <cell r="AP23">
            <v>-1936.067</v>
          </cell>
          <cell r="AQ23">
            <v>-1610.0830000000001</v>
          </cell>
          <cell r="AR23">
            <v>-1695.4590000000001</v>
          </cell>
          <cell r="AS23">
            <v>-1777.62</v>
          </cell>
          <cell r="AT23">
            <v>-1864.674</v>
          </cell>
          <cell r="AU23">
            <v>-1946.8430000000001</v>
          </cell>
          <cell r="AV23">
            <v>-2034.5780000000004</v>
          </cell>
          <cell r="AW23">
            <v>-2110.563000000001</v>
          </cell>
          <cell r="AX23">
            <v>-2175.7770000000005</v>
          </cell>
          <cell r="AY23">
            <v>-2190.4110000000001</v>
          </cell>
          <cell r="AZ23">
            <v>-2260.6040000000003</v>
          </cell>
          <cell r="BA23">
            <v>-2332.3680000000004</v>
          </cell>
          <cell r="BB23">
            <v>-2428.5290000000005</v>
          </cell>
          <cell r="BC23">
            <v>-2451.4589999999998</v>
          </cell>
          <cell r="BD23">
            <v>-2591.3180000000002</v>
          </cell>
          <cell r="BE23">
            <v>-2703.5122999999999</v>
          </cell>
          <cell r="BF23">
            <v>-2945.3392999999996</v>
          </cell>
          <cell r="BG23">
            <v>-3249.3993</v>
          </cell>
          <cell r="BH23">
            <v>-3817.7532999999999</v>
          </cell>
          <cell r="BI23">
            <v>-4092.6742999999997</v>
          </cell>
          <cell r="BJ23">
            <v>-4364.9482999999991</v>
          </cell>
          <cell r="BK23">
            <v>-4467.0132762499989</v>
          </cell>
          <cell r="BL23">
            <v>-4573.6772530937487</v>
          </cell>
          <cell r="BM23">
            <v>-4680.9569742664053</v>
          </cell>
          <cell r="BN23">
            <v>-4788.8992336597448</v>
          </cell>
          <cell r="BO23">
            <v>-4897.5496553182511</v>
          </cell>
          <cell r="BP23">
            <v>-5006.9589726852946</v>
          </cell>
          <cell r="BQ23">
            <v>-5117.1768071181623</v>
          </cell>
          <cell r="BR23">
            <v>-5228.2454456902078</v>
          </cell>
          <cell r="BS23">
            <v>-5340.2061182979523</v>
          </cell>
          <cell r="BW23" t="str">
            <v>mstag:accumulatedDepreciation</v>
          </cell>
          <cell r="BX23">
            <v>6</v>
          </cell>
          <cell r="BY23" t="str">
            <v>ISO4217:USD</v>
          </cell>
          <cell r="BZ23" t="b">
            <v>1</v>
          </cell>
          <cell r="CA23" t="b">
            <v>0</v>
          </cell>
        </row>
        <row r="24">
          <cell r="A24" t="str">
            <v xml:space="preserve">  Net PP&amp;E</v>
          </cell>
          <cell r="C24">
            <v>2734.8850000000002</v>
          </cell>
          <cell r="D24">
            <v>2488.35</v>
          </cell>
          <cell r="E24">
            <v>2273.3559999999998</v>
          </cell>
          <cell r="F24">
            <v>3460.5259999999998</v>
          </cell>
          <cell r="G24">
            <v>3218.1240000000003</v>
          </cell>
          <cell r="H24">
            <v>3045.1860000000006</v>
          </cell>
          <cell r="I24">
            <v>3022.6359999999995</v>
          </cell>
          <cell r="J24">
            <v>3175.5110000000004</v>
          </cell>
          <cell r="K24">
            <v>3623.835</v>
          </cell>
          <cell r="L24">
            <v>5123.0546765640784</v>
          </cell>
          <cell r="M24">
            <v>5520.9801457478461</v>
          </cell>
          <cell r="N24">
            <v>5528.1363505015815</v>
          </cell>
          <cell r="O24">
            <v>5516.8955338198502</v>
          </cell>
          <cell r="P24">
            <v>5501.3137988062917</v>
          </cell>
          <cell r="Q24">
            <v>5462.2452372940888</v>
          </cell>
          <cell r="R24">
            <v>5411.5785319331062</v>
          </cell>
          <cell r="S24">
            <v>5327.4134971082221</v>
          </cell>
          <cell r="T24">
            <v>5225.5399657658254</v>
          </cell>
          <cell r="U24">
            <v>5079.4187875576699</v>
          </cell>
          <cell r="V24">
            <v>4910.1647271703296</v>
          </cell>
          <cell r="AB24">
            <v>2695.44</v>
          </cell>
          <cell r="AC24">
            <v>2634.5749999999998</v>
          </cell>
          <cell r="AD24">
            <v>2617.4079999999999</v>
          </cell>
          <cell r="AE24">
            <v>2488.35</v>
          </cell>
          <cell r="AF24">
            <v>2422.0010000000002</v>
          </cell>
          <cell r="AG24">
            <v>2386.46</v>
          </cell>
          <cell r="AH24">
            <v>2324.3429999999998</v>
          </cell>
          <cell r="AI24">
            <v>2273.3559999999998</v>
          </cell>
          <cell r="AJ24">
            <v>2231.2779999999998</v>
          </cell>
          <cell r="AK24">
            <v>2192.453</v>
          </cell>
          <cell r="AL24">
            <v>3404.3889999999997</v>
          </cell>
          <cell r="AM24">
            <v>3460.5259999999998</v>
          </cell>
          <cell r="AN24">
            <v>3386.2619999999997</v>
          </cell>
          <cell r="AO24">
            <v>3320.8220000000001</v>
          </cell>
          <cell r="AP24">
            <v>3268.3319999999994</v>
          </cell>
          <cell r="AQ24">
            <v>3218.1240000000003</v>
          </cell>
          <cell r="AR24">
            <v>3165.1559999999999</v>
          </cell>
          <cell r="AS24">
            <v>3115.8879999999999</v>
          </cell>
          <cell r="AT24">
            <v>3071.125</v>
          </cell>
          <cell r="AU24">
            <v>3045.1860000000006</v>
          </cell>
          <cell r="AV24">
            <v>3030.3879999999999</v>
          </cell>
          <cell r="AW24">
            <v>3010.9189999999999</v>
          </cell>
          <cell r="AX24">
            <v>3014.0790000000002</v>
          </cell>
          <cell r="AY24">
            <v>3022.6359999999995</v>
          </cell>
          <cell r="AZ24">
            <v>3003.2150000000001</v>
          </cell>
          <cell r="BA24">
            <v>3087.799</v>
          </cell>
          <cell r="BB24">
            <v>3128.12</v>
          </cell>
          <cell r="BC24">
            <v>3175.5110000000004</v>
          </cell>
          <cell r="BD24">
            <v>3179.1959999999999</v>
          </cell>
          <cell r="BE24">
            <v>3188.4609999999998</v>
          </cell>
          <cell r="BF24">
            <v>3494.402</v>
          </cell>
          <cell r="BG24">
            <v>3623.835</v>
          </cell>
          <cell r="BH24">
            <v>3770.6709999999998</v>
          </cell>
          <cell r="BI24">
            <v>3909.6350000000002</v>
          </cell>
          <cell r="BJ24">
            <v>4125.8869999999997</v>
          </cell>
          <cell r="BK24">
            <v>5123.0546765640784</v>
          </cell>
          <cell r="BL24">
            <v>5242.3539833966915</v>
          </cell>
          <cell r="BM24">
            <v>5361.0375459003981</v>
          </cell>
          <cell r="BN24">
            <v>5441.3629269567055</v>
          </cell>
          <cell r="BO24">
            <v>5520.9801457478461</v>
          </cell>
          <cell r="BP24">
            <v>5524.0239953141618</v>
          </cell>
          <cell r="BQ24">
            <v>5526.2593278146533</v>
          </cell>
          <cell r="BR24">
            <v>5527.6438561759669</v>
          </cell>
          <cell r="BS24">
            <v>5528.1363505015815</v>
          </cell>
        </row>
        <row r="25">
          <cell r="A25" t="str">
            <v xml:space="preserve">  Goodwill and Other Intangibles</v>
          </cell>
          <cell r="C25">
            <v>1745.5039999999999</v>
          </cell>
          <cell r="D25">
            <v>1612.5439999999999</v>
          </cell>
          <cell r="E25">
            <v>1577.9860000000001</v>
          </cell>
          <cell r="F25">
            <v>4219.8629999999994</v>
          </cell>
          <cell r="G25">
            <v>4010.643</v>
          </cell>
          <cell r="H25">
            <v>3874.7460000000001</v>
          </cell>
          <cell r="I25">
            <v>3752.3879999999999</v>
          </cell>
          <cell r="J25">
            <v>3836.4830000000002</v>
          </cell>
          <cell r="K25">
            <v>4475.6469999999999</v>
          </cell>
          <cell r="L25">
            <v>4848.2261500000004</v>
          </cell>
          <cell r="M25">
            <v>4684.0091499999999</v>
          </cell>
          <cell r="N25">
            <v>4519.7921499999993</v>
          </cell>
          <cell r="O25">
            <v>4374.7471499999992</v>
          </cell>
          <cell r="P25">
            <v>4245.1571499999991</v>
          </cell>
          <cell r="Q25">
            <v>4126.3663166666656</v>
          </cell>
          <cell r="R25">
            <v>4017.4747194444435</v>
          </cell>
          <cell r="S25">
            <v>3917.6574219907397</v>
          </cell>
          <cell r="T25">
            <v>3826.1582326581779</v>
          </cell>
          <cell r="U25">
            <v>3742.2839757699962</v>
          </cell>
          <cell r="V25">
            <v>3665.3992402891631</v>
          </cell>
          <cell r="AB25">
            <v>1724.509</v>
          </cell>
          <cell r="AC25">
            <v>1688.912</v>
          </cell>
          <cell r="AD25">
            <v>1662.595</v>
          </cell>
          <cell r="AE25">
            <v>1612.5439999999999</v>
          </cell>
          <cell r="AF25">
            <v>1597.837</v>
          </cell>
          <cell r="AG25">
            <v>1596.2379999999998</v>
          </cell>
          <cell r="AH25">
            <v>1586.067</v>
          </cell>
          <cell r="AI25">
            <v>1577.9860000000001</v>
          </cell>
          <cell r="AJ25">
            <v>1559.912</v>
          </cell>
          <cell r="AK25">
            <v>1530.8109999999999</v>
          </cell>
          <cell r="AL25">
            <v>4290.2629999999999</v>
          </cell>
          <cell r="AM25">
            <v>4219.8629999999994</v>
          </cell>
          <cell r="AN25">
            <v>4168.7359999999999</v>
          </cell>
          <cell r="AO25">
            <v>4113.3649999999998</v>
          </cell>
          <cell r="AP25">
            <v>4062.7240000000002</v>
          </cell>
          <cell r="AQ25">
            <v>4010.643</v>
          </cell>
          <cell r="AR25">
            <v>3970.4560000000001</v>
          </cell>
          <cell r="AS25">
            <v>3949.884</v>
          </cell>
          <cell r="AT25">
            <v>3902.7289999999998</v>
          </cell>
          <cell r="AU25">
            <v>3874.7460000000001</v>
          </cell>
          <cell r="AV25">
            <v>3858.701</v>
          </cell>
          <cell r="AW25">
            <v>3825.6459999999997</v>
          </cell>
          <cell r="AX25">
            <v>3787.134</v>
          </cell>
          <cell r="AY25">
            <v>3752.3879999999999</v>
          </cell>
          <cell r="AZ25">
            <v>3719.1019999999999</v>
          </cell>
          <cell r="BA25">
            <v>3780.7269999999999</v>
          </cell>
          <cell r="BB25">
            <v>3771.82</v>
          </cell>
          <cell r="BC25">
            <v>3836.4830000000002</v>
          </cell>
          <cell r="BD25">
            <v>3901.7780000000002</v>
          </cell>
          <cell r="BE25">
            <v>3852.4350000000004</v>
          </cell>
          <cell r="BF25">
            <v>4236.817</v>
          </cell>
          <cell r="BG25">
            <v>4475.6469999999999</v>
          </cell>
          <cell r="BH25">
            <v>5110.2999999999993</v>
          </cell>
          <cell r="BI25">
            <v>5125.826</v>
          </cell>
          <cell r="BJ25">
            <v>4882.018</v>
          </cell>
          <cell r="BK25">
            <v>4848.2261500000004</v>
          </cell>
          <cell r="BL25">
            <v>4807.1719000000003</v>
          </cell>
          <cell r="BM25">
            <v>4766.1176500000001</v>
          </cell>
          <cell r="BN25">
            <v>4725.0634</v>
          </cell>
          <cell r="BO25">
            <v>4684.0091499999999</v>
          </cell>
          <cell r="BP25">
            <v>4642.9548999999997</v>
          </cell>
          <cell r="BQ25">
            <v>4601.9006499999996</v>
          </cell>
          <cell r="BR25">
            <v>4560.8463999999994</v>
          </cell>
          <cell r="BS25">
            <v>4519.7921499999993</v>
          </cell>
          <cell r="BW25" t="str">
            <v>mstag:otherIntangibleAssets</v>
          </cell>
          <cell r="BX25">
            <v>6</v>
          </cell>
          <cell r="BY25" t="str">
            <v>ISO4217:USD</v>
          </cell>
          <cell r="BZ25" t="b">
            <v>0</v>
          </cell>
          <cell r="CA25" t="b">
            <v>0</v>
          </cell>
        </row>
        <row r="26">
          <cell r="A26" t="str">
            <v xml:space="preserve">  Deferred Income Taxes and Other Assets</v>
          </cell>
          <cell r="C26">
            <v>383.43099999999998</v>
          </cell>
          <cell r="D26">
            <v>502.73700000000002</v>
          </cell>
          <cell r="E26">
            <v>633.81399999999996</v>
          </cell>
          <cell r="F26">
            <v>523.29300000000001</v>
          </cell>
          <cell r="G26">
            <v>482.71</v>
          </cell>
          <cell r="H26">
            <v>479.85399999999998</v>
          </cell>
          <cell r="I26">
            <v>381.428</v>
          </cell>
          <cell r="J26">
            <v>198.185</v>
          </cell>
          <cell r="K26">
            <v>78.483999999999995</v>
          </cell>
          <cell r="L26">
            <v>177.423</v>
          </cell>
          <cell r="M26">
            <v>177.423</v>
          </cell>
          <cell r="N26">
            <v>177.423</v>
          </cell>
          <cell r="O26">
            <v>177.423</v>
          </cell>
          <cell r="P26">
            <v>177.423</v>
          </cell>
          <cell r="Q26">
            <v>177.423</v>
          </cell>
          <cell r="R26">
            <v>177.423</v>
          </cell>
          <cell r="S26">
            <v>177.423</v>
          </cell>
          <cell r="T26">
            <v>177.423</v>
          </cell>
          <cell r="U26">
            <v>177.423</v>
          </cell>
          <cell r="V26">
            <v>177.423</v>
          </cell>
          <cell r="AB26">
            <v>393.88</v>
          </cell>
          <cell r="AC26">
            <v>411.92</v>
          </cell>
          <cell r="AD26">
            <v>428.15100000000001</v>
          </cell>
          <cell r="AE26">
            <v>502.73700000000002</v>
          </cell>
          <cell r="AF26">
            <v>517.16399999999999</v>
          </cell>
          <cell r="AG26">
            <v>538.20600000000002</v>
          </cell>
          <cell r="AH26">
            <v>577.13499999999999</v>
          </cell>
          <cell r="AI26">
            <v>633.81399999999996</v>
          </cell>
          <cell r="AJ26">
            <v>642.14499999999998</v>
          </cell>
          <cell r="AK26">
            <v>649.25599999999997</v>
          </cell>
          <cell r="AL26">
            <v>476.661</v>
          </cell>
          <cell r="AM26">
            <v>523.29300000000001</v>
          </cell>
          <cell r="AN26">
            <v>520.649</v>
          </cell>
          <cell r="AO26">
            <v>475.65899999999999</v>
          </cell>
          <cell r="AP26">
            <v>468.07100000000003</v>
          </cell>
          <cell r="AQ26">
            <v>482.71</v>
          </cell>
          <cell r="AR26">
            <v>488.38499999999999</v>
          </cell>
          <cell r="AS26">
            <v>473.65100000000001</v>
          </cell>
          <cell r="AT26">
            <v>497.19</v>
          </cell>
          <cell r="AU26">
            <v>479.85399999999998</v>
          </cell>
          <cell r="AV26">
            <v>455.57799999999997</v>
          </cell>
          <cell r="AW26">
            <v>519.404</v>
          </cell>
          <cell r="AX26">
            <v>487.916</v>
          </cell>
          <cell r="AY26">
            <v>381.428</v>
          </cell>
          <cell r="AZ26">
            <v>349.44600000000003</v>
          </cell>
          <cell r="BA26">
            <v>267.35000000000002</v>
          </cell>
          <cell r="BB26">
            <v>225.72800000000001</v>
          </cell>
          <cell r="BC26">
            <v>198.185</v>
          </cell>
          <cell r="BD26">
            <v>105.976</v>
          </cell>
          <cell r="BE26">
            <v>96.369</v>
          </cell>
          <cell r="BF26">
            <v>52.545999999999999</v>
          </cell>
          <cell r="BG26">
            <v>78.483999999999995</v>
          </cell>
          <cell r="BH26">
            <v>77.022000000000006</v>
          </cell>
          <cell r="BI26">
            <v>143.95699999999999</v>
          </cell>
          <cell r="BJ26">
            <v>177.423</v>
          </cell>
          <cell r="BK26">
            <v>177.423</v>
          </cell>
          <cell r="BL26">
            <v>177.423</v>
          </cell>
          <cell r="BM26">
            <v>177.423</v>
          </cell>
          <cell r="BN26">
            <v>177.423</v>
          </cell>
          <cell r="BO26">
            <v>177.423</v>
          </cell>
          <cell r="BP26">
            <v>177.423</v>
          </cell>
          <cell r="BQ26">
            <v>177.423</v>
          </cell>
          <cell r="BR26">
            <v>177.423</v>
          </cell>
          <cell r="BS26">
            <v>177.423</v>
          </cell>
          <cell r="BW26" t="str">
            <v>mstag:otherAssetsOperatingNonCurrent</v>
          </cell>
          <cell r="BX26">
            <v>6</v>
          </cell>
          <cell r="BY26" t="str">
            <v>ISO4217:USD</v>
          </cell>
          <cell r="BZ26" t="b">
            <v>0</v>
          </cell>
          <cell r="CA26" t="b">
            <v>0</v>
          </cell>
        </row>
        <row r="27">
          <cell r="A27" t="str">
            <v xml:space="preserve">  Other Assets</v>
          </cell>
          <cell r="C27">
            <v>271.22199999999998</v>
          </cell>
          <cell r="D27">
            <v>275.50799999999998</v>
          </cell>
          <cell r="E27">
            <v>291.779</v>
          </cell>
          <cell r="F27">
            <v>357.29399999999998</v>
          </cell>
          <cell r="G27">
            <v>415.72</v>
          </cell>
          <cell r="H27">
            <v>484.99700000000001</v>
          </cell>
          <cell r="I27">
            <v>581.53300000000002</v>
          </cell>
          <cell r="J27">
            <v>651.13300000000004</v>
          </cell>
          <cell r="K27">
            <v>785.87400000000002</v>
          </cell>
          <cell r="L27">
            <v>927.12134551903216</v>
          </cell>
          <cell r="M27">
            <v>1104.3395776519553</v>
          </cell>
          <cell r="N27">
            <v>1187.0607183356451</v>
          </cell>
          <cell r="O27">
            <v>1246.2218043269402</v>
          </cell>
          <cell r="P27">
            <v>1297.0366963839383</v>
          </cell>
          <cell r="Q27">
            <v>1345.9389116201019</v>
          </cell>
          <cell r="R27">
            <v>1389.5397222745094</v>
          </cell>
          <cell r="S27">
            <v>1427.410427826135</v>
          </cell>
          <cell r="T27">
            <v>1459.4547611382413</v>
          </cell>
          <cell r="U27">
            <v>1484.799745193759</v>
          </cell>
          <cell r="V27">
            <v>1504.1629701535251</v>
          </cell>
          <cell r="AB27">
            <v>257.96499999999997</v>
          </cell>
          <cell r="AC27">
            <v>255.70099999999999</v>
          </cell>
          <cell r="AD27">
            <v>273.99900000000002</v>
          </cell>
          <cell r="AE27">
            <v>275.50799999999998</v>
          </cell>
          <cell r="AF27">
            <v>282.55200000000002</v>
          </cell>
          <cell r="AG27">
            <v>285.82100000000003</v>
          </cell>
          <cell r="AH27">
            <v>288.536</v>
          </cell>
          <cell r="AI27">
            <v>291.779</v>
          </cell>
          <cell r="AJ27">
            <v>293.04500000000002</v>
          </cell>
          <cell r="AK27">
            <v>296.64699999999999</v>
          </cell>
          <cell r="AL27">
            <v>370.76799999999997</v>
          </cell>
          <cell r="AM27">
            <v>357.29399999999998</v>
          </cell>
          <cell r="AN27">
            <v>384.99099999999999</v>
          </cell>
          <cell r="AO27">
            <v>409.113</v>
          </cell>
          <cell r="AP27">
            <v>405.81</v>
          </cell>
          <cell r="AQ27">
            <v>415.72</v>
          </cell>
          <cell r="AR27">
            <v>436.291</v>
          </cell>
          <cell r="AS27">
            <v>431.77199999999999</v>
          </cell>
          <cell r="AT27">
            <v>446.73599999999999</v>
          </cell>
          <cell r="AU27">
            <v>484.99700000000001</v>
          </cell>
          <cell r="AV27">
            <v>515.72199999999998</v>
          </cell>
          <cell r="AW27">
            <v>550.41999999999996</v>
          </cell>
          <cell r="AX27">
            <v>567.12400000000002</v>
          </cell>
          <cell r="AY27">
            <v>581.53300000000002</v>
          </cell>
          <cell r="AZ27">
            <v>594.41399999999999</v>
          </cell>
          <cell r="BA27">
            <v>632.553</v>
          </cell>
          <cell r="BB27">
            <v>643.226</v>
          </cell>
          <cell r="BC27">
            <v>651.13300000000004</v>
          </cell>
          <cell r="BD27">
            <v>668.10400000000004</v>
          </cell>
          <cell r="BE27">
            <v>678.12</v>
          </cell>
          <cell r="BF27">
            <v>720.90499999999997</v>
          </cell>
          <cell r="BG27">
            <v>785.87400000000002</v>
          </cell>
          <cell r="BH27">
            <v>849.33900000000006</v>
          </cell>
          <cell r="BI27">
            <v>882.28099999999995</v>
          </cell>
          <cell r="BJ27">
            <v>896.20299999999997</v>
          </cell>
          <cell r="BK27">
            <v>927.12134551903216</v>
          </cell>
          <cell r="BL27">
            <v>944.60727164200978</v>
          </cell>
          <cell r="BM27">
            <v>1021.4541132360451</v>
          </cell>
          <cell r="BN27">
            <v>1068.6383473191333</v>
          </cell>
          <cell r="BO27">
            <v>1104.3395776519553</v>
          </cell>
          <cell r="BP27">
            <v>1098.6832737343168</v>
          </cell>
          <cell r="BQ27">
            <v>1136.1121588425247</v>
          </cell>
          <cell r="BR27">
            <v>1166.7249314216724</v>
          </cell>
          <cell r="BS27">
            <v>1187.0607183356451</v>
          </cell>
          <cell r="BW27" t="str">
            <v>mstag:otherAssetsOperatingNonCurrent</v>
          </cell>
          <cell r="BX27">
            <v>6</v>
          </cell>
          <cell r="BY27" t="str">
            <v>ISO4217:USD</v>
          </cell>
          <cell r="BZ27" t="b">
            <v>0</v>
          </cell>
          <cell r="CA27" t="b">
            <v>0</v>
          </cell>
        </row>
        <row r="28">
          <cell r="A28" t="str">
            <v>Total Assets</v>
          </cell>
          <cell r="C28">
            <v>5662.2029999999995</v>
          </cell>
          <cell r="D28">
            <v>5290.6540000000005</v>
          </cell>
          <cell r="E28">
            <v>5085.9719999999998</v>
          </cell>
          <cell r="F28">
            <v>8786.8539999999994</v>
          </cell>
          <cell r="G28">
            <v>8613.2189999999991</v>
          </cell>
          <cell r="H28">
            <v>8130.4570000000012</v>
          </cell>
          <cell r="I28">
            <v>8211.6649999999991</v>
          </cell>
          <cell r="J28">
            <v>8512.6680000000015</v>
          </cell>
          <cell r="K28">
            <v>10365.321</v>
          </cell>
          <cell r="L28">
            <v>11785.320202057062</v>
          </cell>
          <cell r="M28">
            <v>12690.096347708757</v>
          </cell>
          <cell r="N28">
            <v>13612.502716711533</v>
          </cell>
          <cell r="O28">
            <v>14245.394242993145</v>
          </cell>
          <cell r="P28">
            <v>14585.270940563754</v>
          </cell>
          <cell r="Q28">
            <v>14933.305575947408</v>
          </cell>
          <cell r="R28">
            <v>15283.239573751645</v>
          </cell>
          <cell r="S28">
            <v>15622.83169835616</v>
          </cell>
          <cell r="T28">
            <v>15949.644065819037</v>
          </cell>
          <cell r="U28">
            <v>16259.50257599701</v>
          </cell>
          <cell r="V28">
            <v>16551.208892101953</v>
          </cell>
          <cell r="AB28">
            <v>5722.8970000000008</v>
          </cell>
          <cell r="AC28">
            <v>5576.2520000000004</v>
          </cell>
          <cell r="AD28">
            <v>5590.3069999999989</v>
          </cell>
          <cell r="AE28">
            <v>5290.6540000000005</v>
          </cell>
          <cell r="AF28">
            <v>5153.9279999999999</v>
          </cell>
          <cell r="AG28">
            <v>5120.3949999999995</v>
          </cell>
          <cell r="AH28">
            <v>5021.21</v>
          </cell>
          <cell r="AI28">
            <v>5085.9719999999998</v>
          </cell>
          <cell r="AJ28">
            <v>4924.8999999999987</v>
          </cell>
          <cell r="AK28">
            <v>4825.6630000000005</v>
          </cell>
          <cell r="AL28">
            <v>8785.6589999999997</v>
          </cell>
          <cell r="AM28">
            <v>8786.8539999999994</v>
          </cell>
          <cell r="AN28">
            <v>8688.0519999999997</v>
          </cell>
          <cell r="AO28">
            <v>8607.6739999999991</v>
          </cell>
          <cell r="AP28">
            <v>8605.73</v>
          </cell>
          <cell r="AQ28">
            <v>8613.2189999999991</v>
          </cell>
          <cell r="AR28">
            <v>8319.9120000000003</v>
          </cell>
          <cell r="AS28">
            <v>8384.0910000000003</v>
          </cell>
          <cell r="AT28">
            <v>8203.4379999999983</v>
          </cell>
          <cell r="AU28">
            <v>8130.4570000000012</v>
          </cell>
          <cell r="AV28">
            <v>8192.226999999999</v>
          </cell>
          <cell r="AW28">
            <v>8265.5399999999991</v>
          </cell>
          <cell r="AX28">
            <v>8129.9359999999997</v>
          </cell>
          <cell r="AY28">
            <v>8211.6649999999991</v>
          </cell>
          <cell r="AZ28">
            <v>8325.869999999999</v>
          </cell>
          <cell r="BA28">
            <v>8486.487000000001</v>
          </cell>
          <cell r="BB28">
            <v>8394.8240000000005</v>
          </cell>
          <cell r="BC28">
            <v>8512.6680000000015</v>
          </cell>
          <cell r="BD28">
            <v>8674.2510000000002</v>
          </cell>
          <cell r="BE28">
            <v>8585.9230000000007</v>
          </cell>
          <cell r="BF28">
            <v>9448.9779999999992</v>
          </cell>
          <cell r="BG28">
            <v>10365.321</v>
          </cell>
          <cell r="BH28">
            <v>10758.749299999999</v>
          </cell>
          <cell r="BI28">
            <v>10973.784299999999</v>
          </cell>
          <cell r="BJ28">
            <v>10895.336299999999</v>
          </cell>
          <cell r="BK28">
            <v>11785.320202057062</v>
          </cell>
          <cell r="BL28">
            <v>11914.524049726881</v>
          </cell>
          <cell r="BM28">
            <v>12199.185618785805</v>
          </cell>
          <cell r="BN28">
            <v>12448.40017403116</v>
          </cell>
          <cell r="BO28">
            <v>12690.096347708757</v>
          </cell>
          <cell r="BP28">
            <v>12852.12561489415</v>
          </cell>
          <cell r="BQ28">
            <v>13110.064887000379</v>
          </cell>
          <cell r="BR28">
            <v>13365.61824274299</v>
          </cell>
          <cell r="BS28">
            <v>13612.502716711533</v>
          </cell>
        </row>
        <row r="30">
          <cell r="A30" t="str">
            <v>LIABILITIES &amp; SHRLDRS. EQUITY</v>
          </cell>
        </row>
        <row r="31">
          <cell r="A31" t="str">
            <v xml:space="preserve">  Accounts Payable</v>
          </cell>
          <cell r="C31">
            <v>124.41200000000001</v>
          </cell>
          <cell r="D31">
            <v>107.557</v>
          </cell>
          <cell r="E31">
            <v>121.672</v>
          </cell>
          <cell r="F31">
            <v>178.95099999999999</v>
          </cell>
          <cell r="G31">
            <v>187.63399999999999</v>
          </cell>
          <cell r="H31">
            <v>175.464</v>
          </cell>
          <cell r="I31">
            <v>151.98500000000001</v>
          </cell>
          <cell r="J31">
            <v>185.13800000000001</v>
          </cell>
          <cell r="K31">
            <v>292.54300000000001</v>
          </cell>
          <cell r="L31">
            <v>387.99928571816122</v>
          </cell>
          <cell r="M31">
            <v>443.58052123918839</v>
          </cell>
          <cell r="N31">
            <v>476.39486099093773</v>
          </cell>
          <cell r="O31">
            <v>499.75726694667998</v>
          </cell>
          <cell r="P31">
            <v>517.87862902619338</v>
          </cell>
          <cell r="Q31">
            <v>535.10692944432049</v>
          </cell>
          <cell r="R31">
            <v>550.14357839651643</v>
          </cell>
          <cell r="S31">
            <v>562.70918065460694</v>
          </cell>
          <cell r="T31">
            <v>572.92849950807192</v>
          </cell>
          <cell r="U31">
            <v>580.49608061925301</v>
          </cell>
          <cell r="V31">
            <v>585.71578382181667</v>
          </cell>
          <cell r="AB31">
            <v>112.866</v>
          </cell>
          <cell r="AC31">
            <v>92.421999999999997</v>
          </cell>
          <cell r="AD31">
            <v>92.034000000000006</v>
          </cell>
          <cell r="AE31">
            <v>107.557</v>
          </cell>
          <cell r="AF31">
            <v>100.877</v>
          </cell>
          <cell r="AG31">
            <v>104.285</v>
          </cell>
          <cell r="AH31">
            <v>104.833</v>
          </cell>
          <cell r="AI31">
            <v>121.672</v>
          </cell>
          <cell r="AJ31">
            <v>120.666</v>
          </cell>
          <cell r="AK31">
            <v>119.623</v>
          </cell>
          <cell r="AL31">
            <v>194.16</v>
          </cell>
          <cell r="AM31">
            <v>178.95099999999999</v>
          </cell>
          <cell r="AN31">
            <v>179.184</v>
          </cell>
          <cell r="AO31">
            <v>166.66</v>
          </cell>
          <cell r="AP31">
            <v>169.58199999999999</v>
          </cell>
          <cell r="AQ31">
            <v>187.63399999999999</v>
          </cell>
          <cell r="AR31">
            <v>173.58699999999999</v>
          </cell>
          <cell r="AS31">
            <v>205.87799999999999</v>
          </cell>
          <cell r="AT31">
            <v>203.864</v>
          </cell>
          <cell r="AU31">
            <v>175.464</v>
          </cell>
          <cell r="AV31">
            <v>149.53299999999999</v>
          </cell>
          <cell r="AW31">
            <v>138.017</v>
          </cell>
          <cell r="AX31">
            <v>149.029</v>
          </cell>
          <cell r="AY31">
            <v>151.98500000000001</v>
          </cell>
          <cell r="AZ31">
            <v>144.268</v>
          </cell>
          <cell r="BA31">
            <v>172.66300000000001</v>
          </cell>
          <cell r="BB31">
            <v>165.95699999999999</v>
          </cell>
          <cell r="BC31">
            <v>185.13800000000001</v>
          </cell>
          <cell r="BD31">
            <v>183.85400000000001</v>
          </cell>
          <cell r="BE31">
            <v>205.04</v>
          </cell>
          <cell r="BF31">
            <v>245.952</v>
          </cell>
          <cell r="BG31">
            <v>292.54300000000001</v>
          </cell>
          <cell r="BH31">
            <v>431.40800000000002</v>
          </cell>
          <cell r="BI31">
            <v>339.93099999999998</v>
          </cell>
          <cell r="BJ31">
            <v>352.78100000000001</v>
          </cell>
          <cell r="BK31">
            <v>387.99928571816122</v>
          </cell>
          <cell r="BL31">
            <v>380.80582060313566</v>
          </cell>
          <cell r="BM31">
            <v>410.95317848839102</v>
          </cell>
          <cell r="BN31">
            <v>429.50996121556375</v>
          </cell>
          <cell r="BO31">
            <v>443.58052123918839</v>
          </cell>
          <cell r="BP31">
            <v>441.49031195468103</v>
          </cell>
          <cell r="BQ31">
            <v>456.23840790166525</v>
          </cell>
          <cell r="BR31">
            <v>468.3240741806996</v>
          </cell>
          <cell r="BS31">
            <v>476.39486099093773</v>
          </cell>
          <cell r="BW31" t="str">
            <v>mstag:tradePayablesCurrent</v>
          </cell>
          <cell r="BX31">
            <v>6</v>
          </cell>
          <cell r="BY31" t="str">
            <v>ISO4217:USD</v>
          </cell>
          <cell r="BZ31" t="b">
            <v>0</v>
          </cell>
          <cell r="CA31" t="b">
            <v>0</v>
          </cell>
        </row>
        <row r="32">
          <cell r="A32" t="str">
            <v xml:space="preserve">  Accrued Interest</v>
          </cell>
          <cell r="C32">
            <v>63.610999999999997</v>
          </cell>
          <cell r="D32">
            <v>59.734000000000002</v>
          </cell>
          <cell r="E32">
            <v>39.466000000000001</v>
          </cell>
          <cell r="F32">
            <v>37.85</v>
          </cell>
          <cell r="G32">
            <v>41.319000000000003</v>
          </cell>
          <cell r="H32">
            <v>33.701999999999998</v>
          </cell>
          <cell r="I32">
            <v>28.635000000000002</v>
          </cell>
          <cell r="J32">
            <v>23.538</v>
          </cell>
          <cell r="K32">
            <v>40.621000000000002</v>
          </cell>
          <cell r="L32">
            <v>61.536000000000001</v>
          </cell>
          <cell r="M32">
            <v>61.536000000000001</v>
          </cell>
          <cell r="N32">
            <v>61.536000000000001</v>
          </cell>
          <cell r="O32">
            <v>61.536000000000001</v>
          </cell>
          <cell r="P32">
            <v>61.536000000000001</v>
          </cell>
          <cell r="Q32">
            <v>61.536000000000001</v>
          </cell>
          <cell r="R32">
            <v>61.536000000000001</v>
          </cell>
          <cell r="S32">
            <v>61.536000000000001</v>
          </cell>
          <cell r="T32">
            <v>61.536000000000001</v>
          </cell>
          <cell r="U32">
            <v>61.536000000000001</v>
          </cell>
          <cell r="V32">
            <v>61.536000000000001</v>
          </cell>
          <cell r="AB32">
            <v>36.048000000000002</v>
          </cell>
          <cell r="AC32">
            <v>59.478999999999999</v>
          </cell>
          <cell r="AD32">
            <v>34.165999999999997</v>
          </cell>
          <cell r="AE32">
            <v>59.734000000000002</v>
          </cell>
          <cell r="AF32">
            <v>33.524999999999999</v>
          </cell>
          <cell r="AG32">
            <v>52.639000000000003</v>
          </cell>
          <cell r="AH32">
            <v>31.161999999999999</v>
          </cell>
          <cell r="AI32">
            <v>39.466000000000001</v>
          </cell>
          <cell r="AJ32">
            <v>43.585999999999999</v>
          </cell>
          <cell r="AK32">
            <v>32.338999999999999</v>
          </cell>
          <cell r="AL32">
            <v>41.993000000000002</v>
          </cell>
          <cell r="AM32">
            <v>37.85</v>
          </cell>
          <cell r="AN32">
            <v>52.652000000000001</v>
          </cell>
          <cell r="AO32">
            <v>40.155000000000001</v>
          </cell>
          <cell r="AP32">
            <v>54.503999999999998</v>
          </cell>
          <cell r="AQ32">
            <v>41.319000000000003</v>
          </cell>
          <cell r="AR32">
            <v>53.079000000000001</v>
          </cell>
          <cell r="AS32">
            <v>23.888999999999999</v>
          </cell>
          <cell r="AT32">
            <v>36.938000000000002</v>
          </cell>
          <cell r="AU32">
            <v>33.701999999999998</v>
          </cell>
          <cell r="AV32">
            <v>50.82</v>
          </cell>
          <cell r="AW32">
            <v>30.591000000000001</v>
          </cell>
          <cell r="AX32">
            <v>49.054000000000002</v>
          </cell>
          <cell r="AY32">
            <v>28.635000000000002</v>
          </cell>
          <cell r="AZ32">
            <v>47.994</v>
          </cell>
          <cell r="BA32">
            <v>26.812999999999999</v>
          </cell>
          <cell r="BB32">
            <v>47.27</v>
          </cell>
          <cell r="BC32">
            <v>23.538</v>
          </cell>
          <cell r="BD32">
            <v>44.024000000000001</v>
          </cell>
          <cell r="BE32">
            <v>23.661999999999999</v>
          </cell>
          <cell r="BF32">
            <v>49.779000000000003</v>
          </cell>
          <cell r="BG32">
            <v>40.621000000000002</v>
          </cell>
          <cell r="BH32">
            <v>61.286000000000001</v>
          </cell>
          <cell r="BI32">
            <v>61.703000000000003</v>
          </cell>
          <cell r="BJ32">
            <v>61.536000000000001</v>
          </cell>
          <cell r="BK32">
            <v>61.536000000000001</v>
          </cell>
          <cell r="BL32">
            <v>61.536000000000001</v>
          </cell>
          <cell r="BM32">
            <v>61.536000000000001</v>
          </cell>
          <cell r="BN32">
            <v>61.536000000000001</v>
          </cell>
          <cell r="BO32">
            <v>61.536000000000001</v>
          </cell>
          <cell r="BP32">
            <v>61.536000000000001</v>
          </cell>
          <cell r="BQ32">
            <v>61.536000000000001</v>
          </cell>
          <cell r="BR32">
            <v>61.536000000000001</v>
          </cell>
          <cell r="BS32">
            <v>61.536000000000001</v>
          </cell>
          <cell r="BW32" t="str">
            <v>mstag:accruedExpenses</v>
          </cell>
          <cell r="BX32">
            <v>6</v>
          </cell>
          <cell r="BY32" t="str">
            <v>ISO4217:USD</v>
          </cell>
          <cell r="BZ32" t="b">
            <v>0</v>
          </cell>
          <cell r="CA32" t="b">
            <v>0</v>
          </cell>
        </row>
        <row r="33">
          <cell r="A33" t="str">
            <v xml:space="preserve">  Current Portion of LT Debt</v>
          </cell>
          <cell r="C33">
            <v>59.243000000000002</v>
          </cell>
          <cell r="D33">
            <v>77.622</v>
          </cell>
          <cell r="E33">
            <v>138.386</v>
          </cell>
          <cell r="F33">
            <v>162.15299999999999</v>
          </cell>
          <cell r="G33">
            <v>253.90700000000001</v>
          </cell>
          <cell r="H33">
            <v>1.8169999999999999</v>
          </cell>
          <cell r="I33">
            <v>1.837</v>
          </cell>
          <cell r="J33">
            <v>70.521000000000001</v>
          </cell>
          <cell r="K33">
            <v>74.896000000000001</v>
          </cell>
          <cell r="L33">
            <v>861.16</v>
          </cell>
          <cell r="M33">
            <v>861.16</v>
          </cell>
          <cell r="N33">
            <v>861.16</v>
          </cell>
          <cell r="O33">
            <v>861.16</v>
          </cell>
          <cell r="P33">
            <v>861.16</v>
          </cell>
          <cell r="Q33">
            <v>861.16</v>
          </cell>
          <cell r="R33">
            <v>861.16</v>
          </cell>
          <cell r="S33">
            <v>861.16</v>
          </cell>
          <cell r="T33">
            <v>861.16</v>
          </cell>
          <cell r="U33">
            <v>861.16</v>
          </cell>
          <cell r="V33">
            <v>861.16</v>
          </cell>
          <cell r="AB33">
            <v>75.774000000000001</v>
          </cell>
          <cell r="AC33">
            <v>94.123000000000005</v>
          </cell>
          <cell r="AD33">
            <v>101.643</v>
          </cell>
          <cell r="AE33">
            <v>77.622</v>
          </cell>
          <cell r="AF33">
            <v>82.619</v>
          </cell>
          <cell r="AG33">
            <v>6.4950000000000001</v>
          </cell>
          <cell r="AH33">
            <v>6.7220000000000004</v>
          </cell>
          <cell r="AI33">
            <v>138.386</v>
          </cell>
          <cell r="AJ33">
            <v>5.35</v>
          </cell>
          <cell r="AK33">
            <v>87.954999999999998</v>
          </cell>
          <cell r="AL33">
            <v>2.2410000000000001</v>
          </cell>
          <cell r="AM33">
            <v>162.15299999999999</v>
          </cell>
          <cell r="AN33">
            <v>277.471</v>
          </cell>
          <cell r="AO33">
            <v>277.42599999999999</v>
          </cell>
          <cell r="AP33">
            <v>253.876</v>
          </cell>
          <cell r="AQ33">
            <v>253.90700000000001</v>
          </cell>
          <cell r="AR33">
            <v>1.643</v>
          </cell>
          <cell r="AS33">
            <v>1.6659999999999999</v>
          </cell>
          <cell r="AT33">
            <v>1.77</v>
          </cell>
          <cell r="AU33">
            <v>1.8169999999999999</v>
          </cell>
          <cell r="AV33">
            <v>1.6879999999999999</v>
          </cell>
          <cell r="AW33">
            <v>1.6990000000000001</v>
          </cell>
          <cell r="AX33">
            <v>1.7889999999999999</v>
          </cell>
          <cell r="AY33">
            <v>1.837</v>
          </cell>
          <cell r="AZ33">
            <v>1.5269999999999999</v>
          </cell>
          <cell r="BA33">
            <v>22.577000000000002</v>
          </cell>
          <cell r="BB33">
            <v>7.7169999999999996</v>
          </cell>
          <cell r="BC33">
            <v>70.521000000000001</v>
          </cell>
          <cell r="BD33">
            <v>77.905000000000001</v>
          </cell>
          <cell r="BE33">
            <v>1.61</v>
          </cell>
          <cell r="BF33">
            <v>178.655</v>
          </cell>
          <cell r="BG33">
            <v>74.896000000000001</v>
          </cell>
          <cell r="BH33">
            <v>178.10499999999999</v>
          </cell>
          <cell r="BI33">
            <v>782.77499999999998</v>
          </cell>
          <cell r="BJ33">
            <v>861.16</v>
          </cell>
          <cell r="BK33">
            <v>861.16</v>
          </cell>
          <cell r="BL33">
            <v>861.16</v>
          </cell>
          <cell r="BM33">
            <v>861.16</v>
          </cell>
          <cell r="BN33">
            <v>861.16</v>
          </cell>
          <cell r="BO33">
            <v>861.16</v>
          </cell>
          <cell r="BP33">
            <v>861.16</v>
          </cell>
          <cell r="BQ33">
            <v>861.16</v>
          </cell>
          <cell r="BR33">
            <v>861.16</v>
          </cell>
          <cell r="BS33">
            <v>861.16</v>
          </cell>
          <cell r="BW33" t="str">
            <v>mstag:shortTermBorrowings</v>
          </cell>
          <cell r="BX33">
            <v>6</v>
          </cell>
          <cell r="BY33" t="str">
            <v>ISO4217:USD</v>
          </cell>
          <cell r="BZ33" t="b">
            <v>0</v>
          </cell>
          <cell r="CA33" t="b">
            <v>0</v>
          </cell>
        </row>
        <row r="34">
          <cell r="A34" t="str">
            <v xml:space="preserve">  Convertible notes, net–2.25%</v>
          </cell>
          <cell r="C34">
            <v>210.899</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AB34">
            <v>209.501</v>
          </cell>
          <cell r="AC34">
            <v>140.12299999999999</v>
          </cell>
          <cell r="AD34">
            <v>84.088999999999999</v>
          </cell>
          <cell r="BW34" t="str">
            <v>mstag:shortTermBorrowings</v>
          </cell>
          <cell r="BX34">
            <v>6</v>
          </cell>
          <cell r="BY34" t="str">
            <v>ISO4217:USD</v>
          </cell>
          <cell r="BZ34" t="b">
            <v>0</v>
          </cell>
          <cell r="CA34" t="b">
            <v>0</v>
          </cell>
        </row>
        <row r="35">
          <cell r="A35" t="str">
            <v xml:space="preserve">  Liabilities held for sale</v>
          </cell>
          <cell r="C35">
            <v>165.006</v>
          </cell>
          <cell r="D35">
            <v>8.4160000000000004</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AB35">
            <v>183.08699999999999</v>
          </cell>
          <cell r="AC35">
            <v>138.50800000000001</v>
          </cell>
          <cell r="AD35">
            <v>130.977</v>
          </cell>
          <cell r="AE35">
            <v>8.4160000000000004</v>
          </cell>
          <cell r="BW35" t="str">
            <v>mstag:liabilitiesOfDiscontinuedOperations</v>
          </cell>
          <cell r="BX35">
            <v>6</v>
          </cell>
          <cell r="BY35" t="str">
            <v>ISO4217:USD</v>
          </cell>
          <cell r="BZ35" t="b">
            <v>0</v>
          </cell>
          <cell r="CA35" t="b">
            <v>0</v>
          </cell>
        </row>
        <row r="36">
          <cell r="A36" t="str">
            <v>Unearned Revenue</v>
          </cell>
          <cell r="C36">
            <v>47.122999999999998</v>
          </cell>
          <cell r="D36">
            <v>41.448999999999998</v>
          </cell>
          <cell r="E36">
            <v>32.680999999999997</v>
          </cell>
          <cell r="F36">
            <v>77.655000000000001</v>
          </cell>
          <cell r="G36">
            <v>86.769000000000005</v>
          </cell>
          <cell r="H36">
            <v>106.395</v>
          </cell>
          <cell r="I36">
            <v>120.188</v>
          </cell>
          <cell r="J36">
            <v>112.047</v>
          </cell>
          <cell r="K36">
            <v>134.13499999999999</v>
          </cell>
          <cell r="L36">
            <v>99.157789127401671</v>
          </cell>
          <cell r="M36">
            <v>118.11169216965081</v>
          </cell>
          <cell r="N36">
            <v>126.95891099805502</v>
          </cell>
          <cell r="O36">
            <v>133.28632705597005</v>
          </cell>
          <cell r="P36">
            <v>138.72109821669517</v>
          </cell>
          <cell r="Q36">
            <v>143.95130413276721</v>
          </cell>
          <cell r="R36">
            <v>148.61451247065006</v>
          </cell>
          <cell r="S36">
            <v>152.66487271027086</v>
          </cell>
          <cell r="T36">
            <v>156.09208885694602</v>
          </cell>
          <cell r="U36">
            <v>158.80279398369234</v>
          </cell>
          <cell r="V36">
            <v>160.87373603099473</v>
          </cell>
          <cell r="AB36">
            <v>45.347000000000001</v>
          </cell>
          <cell r="AC36">
            <v>36.662999999999997</v>
          </cell>
          <cell r="AD36">
            <v>39.359000000000002</v>
          </cell>
          <cell r="AE36">
            <v>41.448999999999998</v>
          </cell>
          <cell r="AF36">
            <v>37.371000000000002</v>
          </cell>
          <cell r="AG36">
            <v>34.445</v>
          </cell>
          <cell r="AH36">
            <v>33.154000000000003</v>
          </cell>
          <cell r="AI36">
            <v>32.680999999999997</v>
          </cell>
          <cell r="AJ36">
            <v>28.422000000000001</v>
          </cell>
          <cell r="AK36">
            <v>32.280999999999999</v>
          </cell>
          <cell r="AL36">
            <v>74.846999999999994</v>
          </cell>
          <cell r="AM36">
            <v>77.655000000000001</v>
          </cell>
          <cell r="AN36">
            <v>71.09</v>
          </cell>
          <cell r="AO36">
            <v>75.162999999999997</v>
          </cell>
          <cell r="AP36">
            <v>76.471000000000004</v>
          </cell>
          <cell r="AQ36">
            <v>86.769000000000005</v>
          </cell>
          <cell r="AR36">
            <v>78.009</v>
          </cell>
          <cell r="AS36">
            <v>83.626000000000005</v>
          </cell>
          <cell r="AT36">
            <v>95.99</v>
          </cell>
          <cell r="AU36">
            <v>106.395</v>
          </cell>
          <cell r="AV36">
            <v>104.482</v>
          </cell>
          <cell r="AW36">
            <v>108.863</v>
          </cell>
          <cell r="AX36">
            <v>109.631</v>
          </cell>
          <cell r="AY36">
            <v>120.188</v>
          </cell>
          <cell r="AZ36">
            <v>125.51900000000001</v>
          </cell>
          <cell r="BA36">
            <v>125.967</v>
          </cell>
          <cell r="BB36">
            <v>120.057</v>
          </cell>
          <cell r="BC36">
            <v>112.047</v>
          </cell>
          <cell r="BD36">
            <v>117.02800000000001</v>
          </cell>
          <cell r="BE36">
            <v>128.50800000000001</v>
          </cell>
          <cell r="BF36">
            <v>140.48099999999999</v>
          </cell>
          <cell r="BG36">
            <v>134.13499999999999</v>
          </cell>
          <cell r="BH36">
            <v>155.608</v>
          </cell>
          <cell r="BI36">
            <v>125.474</v>
          </cell>
          <cell r="BJ36">
            <v>95.850999999999999</v>
          </cell>
          <cell r="BK36">
            <v>99.157789127401671</v>
          </cell>
          <cell r="BL36">
            <v>101.02794968791477</v>
          </cell>
          <cell r="BM36">
            <v>109.24689853502852</v>
          </cell>
          <cell r="BN36">
            <v>114.29336236197184</v>
          </cell>
          <cell r="BO36">
            <v>118.11169216965081</v>
          </cell>
          <cell r="BP36">
            <v>117.5067372801787</v>
          </cell>
          <cell r="BQ36">
            <v>121.5098437934428</v>
          </cell>
          <cell r="BR36">
            <v>124.78395118259893</v>
          </cell>
          <cell r="BS36">
            <v>126.95891099805502</v>
          </cell>
          <cell r="BW36" t="str">
            <v>mstag:billingsInExcessOfCost</v>
          </cell>
          <cell r="BX36">
            <v>6</v>
          </cell>
          <cell r="BY36" t="str">
            <v>ISO4217:USD</v>
          </cell>
          <cell r="BZ36" t="b">
            <v>0</v>
          </cell>
          <cell r="CA36" t="b">
            <v>0</v>
          </cell>
        </row>
        <row r="37">
          <cell r="A37" t="str">
            <v xml:space="preserve">  Total Current Liabilities</v>
          </cell>
          <cell r="C37">
            <v>670.29399999999998</v>
          </cell>
          <cell r="D37">
            <v>294.77800000000002</v>
          </cell>
          <cell r="E37">
            <v>332.20499999999998</v>
          </cell>
          <cell r="F37">
            <v>456.60899999999992</v>
          </cell>
          <cell r="G37">
            <v>569.62900000000002</v>
          </cell>
          <cell r="H37">
            <v>317.37799999999999</v>
          </cell>
          <cell r="I37">
            <v>302.64499999999998</v>
          </cell>
          <cell r="J37">
            <v>391.24400000000003</v>
          </cell>
          <cell r="K37">
            <v>542.19499999999994</v>
          </cell>
          <cell r="L37">
            <v>1409.8530748455628</v>
          </cell>
          <cell r="M37">
            <v>1484.388213408839</v>
          </cell>
          <cell r="N37">
            <v>1526.0497719889927</v>
          </cell>
          <cell r="O37">
            <v>1555.7395940026499</v>
          </cell>
          <cell r="P37">
            <v>1579.2957272428885</v>
          </cell>
          <cell r="Q37">
            <v>1601.7542335770877</v>
          </cell>
          <cell r="R37">
            <v>1621.4540908671665</v>
          </cell>
          <cell r="S37">
            <v>1638.0700533648776</v>
          </cell>
          <cell r="T37">
            <v>1651.716588365018</v>
          </cell>
          <cell r="U37">
            <v>1661.9948746029452</v>
          </cell>
          <cell r="V37">
            <v>1669.2855198528114</v>
          </cell>
          <cell r="AB37">
            <v>662.62299999999993</v>
          </cell>
          <cell r="AC37">
            <v>561.31799999999998</v>
          </cell>
          <cell r="AD37">
            <v>482.26799999999997</v>
          </cell>
          <cell r="AE37">
            <v>294.77800000000002</v>
          </cell>
          <cell r="AF37">
            <v>254.392</v>
          </cell>
          <cell r="AG37">
            <v>197.864</v>
          </cell>
          <cell r="AH37">
            <v>175.87100000000001</v>
          </cell>
          <cell r="AI37">
            <v>332.20499999999998</v>
          </cell>
          <cell r="AJ37">
            <v>198.024</v>
          </cell>
          <cell r="AK37">
            <v>272.19799999999998</v>
          </cell>
          <cell r="AL37">
            <v>313.24099999999999</v>
          </cell>
          <cell r="AM37">
            <v>456.60899999999992</v>
          </cell>
          <cell r="AN37">
            <v>580.39700000000005</v>
          </cell>
          <cell r="AO37">
            <v>559.404</v>
          </cell>
          <cell r="AP37">
            <v>554.43299999999999</v>
          </cell>
          <cell r="AQ37">
            <v>569.62900000000002</v>
          </cell>
          <cell r="AR37">
            <v>306.31799999999998</v>
          </cell>
          <cell r="AS37">
            <v>315.05899999999997</v>
          </cell>
          <cell r="AT37">
            <v>338.56200000000001</v>
          </cell>
          <cell r="AU37">
            <v>317.37799999999999</v>
          </cell>
          <cell r="AV37">
            <v>306.52299999999997</v>
          </cell>
          <cell r="AW37">
            <v>279.17</v>
          </cell>
          <cell r="AX37">
            <v>309.50299999999999</v>
          </cell>
          <cell r="AY37">
            <v>302.64499999999998</v>
          </cell>
          <cell r="AZ37">
            <v>319.30799999999999</v>
          </cell>
          <cell r="BA37">
            <v>348.02</v>
          </cell>
          <cell r="BB37">
            <v>341.00100000000003</v>
          </cell>
          <cell r="BC37">
            <v>391.24400000000003</v>
          </cell>
          <cell r="BD37">
            <v>422.81100000000004</v>
          </cell>
          <cell r="BE37">
            <v>358.82000000000005</v>
          </cell>
          <cell r="BF37">
            <v>614.86699999999996</v>
          </cell>
          <cell r="BG37">
            <v>542.19499999999994</v>
          </cell>
          <cell r="BH37">
            <v>826.40699999999993</v>
          </cell>
          <cell r="BI37">
            <v>1309.883</v>
          </cell>
          <cell r="BJ37">
            <v>1371.328</v>
          </cell>
          <cell r="BK37">
            <v>1409.8530748455628</v>
          </cell>
          <cell r="BL37">
            <v>1404.5297702910505</v>
          </cell>
          <cell r="BM37">
            <v>1442.8960770234196</v>
          </cell>
          <cell r="BN37">
            <v>1466.4993235775355</v>
          </cell>
          <cell r="BO37">
            <v>1484.388213408839</v>
          </cell>
          <cell r="BP37">
            <v>1481.6930492348597</v>
          </cell>
          <cell r="BQ37">
            <v>1500.4442516951078</v>
          </cell>
          <cell r="BR37">
            <v>1515.8040253632985</v>
          </cell>
          <cell r="BS37">
            <v>1526.0497719889927</v>
          </cell>
        </row>
        <row r="39">
          <cell r="A39" t="str">
            <v>Long-Term Debt, less Current Portion</v>
          </cell>
          <cell r="C39">
            <v>3194.5369999999998</v>
          </cell>
          <cell r="D39">
            <v>3283.6030000000001</v>
          </cell>
          <cell r="E39">
            <v>3155.2280000000001</v>
          </cell>
          <cell r="F39">
            <v>3451.2759999999998</v>
          </cell>
          <cell r="G39">
            <v>3289.1089999999999</v>
          </cell>
          <cell r="H39">
            <v>4283.4669999999996</v>
          </cell>
          <cell r="I39">
            <v>4331.3090000000002</v>
          </cell>
          <cell r="J39">
            <v>4141.0600000000004</v>
          </cell>
          <cell r="K39">
            <v>5512.4920000000002</v>
          </cell>
          <cell r="L39">
            <v>5806.8677507774992</v>
          </cell>
          <cell r="M39">
            <v>5807.9262372068333</v>
          </cell>
          <cell r="N39">
            <v>5809.0521863199083</v>
          </cell>
          <cell r="O39">
            <v>5810.2232768164749</v>
          </cell>
          <cell r="P39">
            <v>5811.4675032096166</v>
          </cell>
          <cell r="Q39">
            <v>5812.7895794465558</v>
          </cell>
          <cell r="R39">
            <v>5814.1945318416665</v>
          </cell>
          <cell r="S39">
            <v>5815.6877202674559</v>
          </cell>
          <cell r="T39">
            <v>5817.1536512940147</v>
          </cell>
          <cell r="U39">
            <v>5818.7141619933336</v>
          </cell>
          <cell r="V39">
            <v>5820.3755084788145</v>
          </cell>
          <cell r="AB39">
            <v>3300.6370000000002</v>
          </cell>
          <cell r="AC39">
            <v>3282.5889999999999</v>
          </cell>
          <cell r="AD39">
            <v>3304.866</v>
          </cell>
          <cell r="AE39">
            <v>3283.6030000000001</v>
          </cell>
          <cell r="AF39">
            <v>3216.627</v>
          </cell>
          <cell r="AG39">
            <v>3260.3220000000001</v>
          </cell>
          <cell r="AH39">
            <v>3211.6350000000002</v>
          </cell>
          <cell r="AI39">
            <v>3155.2280000000001</v>
          </cell>
          <cell r="AJ39">
            <v>3141.835</v>
          </cell>
          <cell r="AK39">
            <v>2991.9250000000002</v>
          </cell>
          <cell r="AL39">
            <v>3637.9160000000002</v>
          </cell>
          <cell r="AM39">
            <v>3451.2759999999998</v>
          </cell>
          <cell r="AN39">
            <v>3332.08</v>
          </cell>
          <cell r="AO39">
            <v>3325.3020000000001</v>
          </cell>
          <cell r="AP39">
            <v>3309.5639999999999</v>
          </cell>
          <cell r="AQ39">
            <v>3289.1089999999999</v>
          </cell>
          <cell r="AR39">
            <v>3570.2930000000001</v>
          </cell>
          <cell r="AS39">
            <v>3975.299</v>
          </cell>
          <cell r="AT39">
            <v>4025.145</v>
          </cell>
          <cell r="AU39">
            <v>4283.4669999999996</v>
          </cell>
          <cell r="AV39">
            <v>4433.1620000000003</v>
          </cell>
          <cell r="AW39">
            <v>4419.0169999999998</v>
          </cell>
          <cell r="AX39">
            <v>4428.5739999999996</v>
          </cell>
          <cell r="AY39">
            <v>4331.3090000000002</v>
          </cell>
          <cell r="AZ39">
            <v>4330.9989999999998</v>
          </cell>
          <cell r="BA39">
            <v>4421.6940000000004</v>
          </cell>
          <cell r="BB39">
            <v>4179.0379999999996</v>
          </cell>
          <cell r="BC39">
            <v>4141.0600000000004</v>
          </cell>
          <cell r="BD39">
            <v>4152.03</v>
          </cell>
          <cell r="BE39">
            <v>4152.0410000000002</v>
          </cell>
          <cell r="BF39">
            <v>4626.3050000000003</v>
          </cell>
          <cell r="BG39">
            <v>5512.4920000000002</v>
          </cell>
          <cell r="BH39">
            <v>5387.7280000000001</v>
          </cell>
          <cell r="BI39">
            <v>4919.0680000000002</v>
          </cell>
          <cell r="BJ39">
            <v>4970.5020000000004</v>
          </cell>
          <cell r="BK39">
            <v>5806.8677507774992</v>
          </cell>
          <cell r="BL39">
            <v>5807.126280320841</v>
          </cell>
          <cell r="BM39">
            <v>5807.3888279186913</v>
          </cell>
          <cell r="BN39">
            <v>5807.6554583593079</v>
          </cell>
          <cell r="BO39">
            <v>5807.9262372068333</v>
          </cell>
          <cell r="BP39">
            <v>5808.2012311122289</v>
          </cell>
          <cell r="BQ39">
            <v>5808.4805078279378</v>
          </cell>
          <cell r="BR39">
            <v>5808.7641362265767</v>
          </cell>
          <cell r="BS39">
            <v>5809.0521863199083</v>
          </cell>
          <cell r="BW39" t="str">
            <v>mstag:longTermDebt</v>
          </cell>
          <cell r="BX39">
            <v>6</v>
          </cell>
          <cell r="BY39" t="str">
            <v>ISO4217:USD</v>
          </cell>
          <cell r="BZ39" t="b">
            <v>0</v>
          </cell>
          <cell r="CA39" t="b">
            <v>0</v>
          </cell>
        </row>
        <row r="40">
          <cell r="A40" t="str">
            <v>Other Long-Term Liabilities</v>
          </cell>
          <cell r="C40">
            <v>41.481999999999999</v>
          </cell>
          <cell r="D40">
            <v>83.495999999999995</v>
          </cell>
          <cell r="E40">
            <v>121.505</v>
          </cell>
          <cell r="F40">
            <v>327.35399999999998</v>
          </cell>
          <cell r="G40">
            <v>365.97399999999999</v>
          </cell>
          <cell r="H40">
            <v>504.178</v>
          </cell>
          <cell r="I40">
            <v>583.23199999999997</v>
          </cell>
          <cell r="J40">
            <v>662.23900000000003</v>
          </cell>
          <cell r="K40">
            <v>806.07600000000002</v>
          </cell>
          <cell r="L40">
            <v>1247.4664571690876</v>
          </cell>
          <cell r="M40">
            <v>1485.9183073536633</v>
          </cell>
          <cell r="N40">
            <v>1597.2218047873223</v>
          </cell>
          <cell r="O40">
            <v>1676.8246212908298</v>
          </cell>
          <cell r="P40">
            <v>1745.1974116188157</v>
          </cell>
          <cell r="Q40">
            <v>1810.9966443548769</v>
          </cell>
          <cell r="R40">
            <v>1869.6626960638951</v>
          </cell>
          <cell r="S40">
            <v>1920.6187387796761</v>
          </cell>
          <cell r="T40">
            <v>1963.7352425064023</v>
          </cell>
          <cell r="U40">
            <v>1997.8375934225528</v>
          </cell>
          <cell r="V40">
            <v>2023.8913281970497</v>
          </cell>
          <cell r="AB40">
            <v>33.478000000000002</v>
          </cell>
          <cell r="AC40">
            <v>29.821999999999999</v>
          </cell>
          <cell r="AD40">
            <v>28.471</v>
          </cell>
          <cell r="AE40">
            <v>83.495999999999995</v>
          </cell>
          <cell r="AF40">
            <v>91.778999999999996</v>
          </cell>
          <cell r="AG40">
            <v>111.742</v>
          </cell>
          <cell r="AH40">
            <v>115.42</v>
          </cell>
          <cell r="AI40">
            <v>121.505</v>
          </cell>
          <cell r="AJ40">
            <v>126.74</v>
          </cell>
          <cell r="AK40">
            <v>129.446</v>
          </cell>
          <cell r="AL40">
            <v>190.172</v>
          </cell>
          <cell r="AM40">
            <v>327.35399999999998</v>
          </cell>
          <cell r="AN40">
            <v>337.57799999999997</v>
          </cell>
          <cell r="AO40">
            <v>344.72</v>
          </cell>
          <cell r="AP40">
            <v>354.09100000000001</v>
          </cell>
          <cell r="AQ40">
            <v>365.97399999999999</v>
          </cell>
          <cell r="AR40">
            <v>446.28100000000001</v>
          </cell>
          <cell r="AS40">
            <v>453.50799999999998</v>
          </cell>
          <cell r="AT40">
            <v>460.62099999999998</v>
          </cell>
          <cell r="AU40">
            <v>504.178</v>
          </cell>
          <cell r="AV40">
            <v>535.99800000000005</v>
          </cell>
          <cell r="AW40">
            <v>539.62099999999998</v>
          </cell>
          <cell r="AX40">
            <v>548.63</v>
          </cell>
          <cell r="AY40">
            <v>583.23199999999997</v>
          </cell>
          <cell r="AZ40">
            <v>593.49300000000005</v>
          </cell>
          <cell r="BA40">
            <v>625.73800000000006</v>
          </cell>
          <cell r="BB40">
            <v>639.63400000000001</v>
          </cell>
          <cell r="BC40">
            <v>662.23900000000003</v>
          </cell>
          <cell r="BD40">
            <v>641.56399999999996</v>
          </cell>
          <cell r="BE40">
            <v>645.05200000000002</v>
          </cell>
          <cell r="BF40">
            <v>754.15599999999995</v>
          </cell>
          <cell r="BG40">
            <v>806.07600000000002</v>
          </cell>
          <cell r="BH40">
            <v>1035.598</v>
          </cell>
          <cell r="BI40">
            <v>1145.0450000000001</v>
          </cell>
          <cell r="BJ40">
            <v>1205.865</v>
          </cell>
          <cell r="BK40">
            <v>1247.4664571690876</v>
          </cell>
          <cell r="BL40">
            <v>1270.9942363712153</v>
          </cell>
          <cell r="BM40">
            <v>1374.3937079627983</v>
          </cell>
          <cell r="BN40">
            <v>1437.8813513121322</v>
          </cell>
          <cell r="BO40">
            <v>1485.9183073536633</v>
          </cell>
          <cell r="BP40">
            <v>1478.3075998201657</v>
          </cell>
          <cell r="BQ40">
            <v>1528.6691613648259</v>
          </cell>
          <cell r="BR40">
            <v>1569.8594620067049</v>
          </cell>
          <cell r="BS40">
            <v>1597.2218047873223</v>
          </cell>
          <cell r="BW40" t="str">
            <v>mstag:otherLiabilitiesOperatingNonCurrent</v>
          </cell>
          <cell r="BX40">
            <v>6</v>
          </cell>
          <cell r="BY40" t="str">
            <v>ISO4217:USD</v>
          </cell>
          <cell r="BZ40" t="b">
            <v>0</v>
          </cell>
          <cell r="CA40" t="b">
            <v>0</v>
          </cell>
        </row>
        <row r="41">
          <cell r="A41" t="str">
            <v xml:space="preserve">  Total Liabilities</v>
          </cell>
          <cell r="C41">
            <v>3906.3129999999996</v>
          </cell>
          <cell r="D41">
            <v>3661.8770000000004</v>
          </cell>
          <cell r="E41">
            <v>3608.9380000000001</v>
          </cell>
          <cell r="F41">
            <v>4235.2389999999996</v>
          </cell>
          <cell r="G41">
            <v>4224.7119999999995</v>
          </cell>
          <cell r="H41">
            <v>5105.0229999999992</v>
          </cell>
          <cell r="I41">
            <v>5217.1859999999997</v>
          </cell>
          <cell r="J41">
            <v>5194.5429999999997</v>
          </cell>
          <cell r="K41">
            <v>6860.7629999999999</v>
          </cell>
          <cell r="L41">
            <v>8464.1872827921507</v>
          </cell>
          <cell r="M41">
            <v>8778.2327579693356</v>
          </cell>
          <cell r="N41">
            <v>8932.323763096223</v>
          </cell>
          <cell r="O41">
            <v>9042.7874921099537</v>
          </cell>
          <cell r="P41">
            <v>9135.9606420713208</v>
          </cell>
          <cell r="Q41">
            <v>9225.5404573785199</v>
          </cell>
          <cell r="R41">
            <v>9305.3113187727286</v>
          </cell>
          <cell r="S41">
            <v>9374.3765124120091</v>
          </cell>
          <cell r="T41">
            <v>9432.6054821654343</v>
          </cell>
          <cell r="U41">
            <v>9478.5466300188309</v>
          </cell>
          <cell r="V41">
            <v>9513.5523565286749</v>
          </cell>
          <cell r="AB41">
            <v>3996.7380000000003</v>
          </cell>
          <cell r="AC41">
            <v>3873.7290000000003</v>
          </cell>
          <cell r="AD41">
            <v>3815.605</v>
          </cell>
          <cell r="AE41">
            <v>3661.8770000000004</v>
          </cell>
          <cell r="AF41">
            <v>3562.7979999999998</v>
          </cell>
          <cell r="AG41">
            <v>3569.9280000000003</v>
          </cell>
          <cell r="AH41">
            <v>3502.9260000000004</v>
          </cell>
          <cell r="AI41">
            <v>3608.9380000000001</v>
          </cell>
          <cell r="AJ41">
            <v>3466.5989999999997</v>
          </cell>
          <cell r="AK41">
            <v>3393.569</v>
          </cell>
          <cell r="AL41">
            <v>4141.3289999999997</v>
          </cell>
          <cell r="AM41">
            <v>4235.2389999999996</v>
          </cell>
          <cell r="AN41">
            <v>4250.0550000000003</v>
          </cell>
          <cell r="AO41">
            <v>4229.4260000000004</v>
          </cell>
          <cell r="AP41">
            <v>4218.0879999999997</v>
          </cell>
          <cell r="AQ41">
            <v>4224.7119999999995</v>
          </cell>
          <cell r="AR41">
            <v>4322.8919999999998</v>
          </cell>
          <cell r="AS41">
            <v>4743.866</v>
          </cell>
          <cell r="AT41">
            <v>4824.3280000000004</v>
          </cell>
          <cell r="AU41">
            <v>5105.0229999999992</v>
          </cell>
          <cell r="AV41">
            <v>5275.6830000000009</v>
          </cell>
          <cell r="AW41">
            <v>5237.808</v>
          </cell>
          <cell r="AX41">
            <v>5286.7069999999994</v>
          </cell>
          <cell r="AY41">
            <v>5217.1859999999997</v>
          </cell>
          <cell r="AZ41">
            <v>5243.8</v>
          </cell>
          <cell r="BA41">
            <v>5395.4520000000002</v>
          </cell>
          <cell r="BB41">
            <v>5159.6729999999998</v>
          </cell>
          <cell r="BC41">
            <v>5194.5429999999997</v>
          </cell>
          <cell r="BD41">
            <v>5216.4049999999997</v>
          </cell>
          <cell r="BE41">
            <v>5155.9129999999996</v>
          </cell>
          <cell r="BF41">
            <v>5995.3280000000004</v>
          </cell>
          <cell r="BG41">
            <v>6860.7629999999999</v>
          </cell>
          <cell r="BH41">
            <v>7249.7330000000002</v>
          </cell>
          <cell r="BI41">
            <v>7373.9960000000001</v>
          </cell>
          <cell r="BJ41">
            <v>7547.6949999999997</v>
          </cell>
          <cell r="BK41">
            <v>8464.1872827921507</v>
          </cell>
          <cell r="BL41">
            <v>8482.6502869831056</v>
          </cell>
          <cell r="BM41">
            <v>8624.6786129049087</v>
          </cell>
          <cell r="BN41">
            <v>8712.0361332489756</v>
          </cell>
          <cell r="BO41">
            <v>8778.2327579693356</v>
          </cell>
          <cell r="BP41">
            <v>8768.2018801672548</v>
          </cell>
          <cell r="BQ41">
            <v>8837.5939208878717</v>
          </cell>
          <cell r="BR41">
            <v>8894.4276235965808</v>
          </cell>
          <cell r="BS41">
            <v>8932.323763096223</v>
          </cell>
        </row>
        <row r="43">
          <cell r="A43" t="str">
            <v>Minority Interest</v>
          </cell>
          <cell r="C43">
            <v>15.567</v>
          </cell>
          <cell r="D43">
            <v>18.599</v>
          </cell>
          <cell r="E43">
            <v>6.0810000000000004</v>
          </cell>
          <cell r="F43">
            <v>9.7940000000000005</v>
          </cell>
          <cell r="G43">
            <v>3.5910000000000002</v>
          </cell>
          <cell r="H43">
            <v>3.3420000000000001</v>
          </cell>
          <cell r="I43">
            <v>3.157</v>
          </cell>
          <cell r="J43">
            <v>3.0430000000000001</v>
          </cell>
          <cell r="K43">
            <v>3.1139999999999999</v>
          </cell>
          <cell r="L43">
            <v>84.350999999999999</v>
          </cell>
          <cell r="M43">
            <v>84.350999999999999</v>
          </cell>
          <cell r="N43">
            <v>84.350999999999999</v>
          </cell>
          <cell r="O43">
            <v>84.350999999999999</v>
          </cell>
          <cell r="P43">
            <v>84.350999999999999</v>
          </cell>
          <cell r="Q43">
            <v>84.350999999999999</v>
          </cell>
          <cell r="R43">
            <v>84.350999999999999</v>
          </cell>
          <cell r="S43">
            <v>84.350999999999999</v>
          </cell>
          <cell r="T43">
            <v>84.350999999999999</v>
          </cell>
          <cell r="U43">
            <v>84.350999999999999</v>
          </cell>
          <cell r="V43">
            <v>84.350999999999999</v>
          </cell>
          <cell r="AB43">
            <v>16.018000000000001</v>
          </cell>
          <cell r="AC43">
            <v>16.716999999999999</v>
          </cell>
          <cell r="AD43">
            <v>17.529</v>
          </cell>
          <cell r="AE43">
            <v>18.599</v>
          </cell>
          <cell r="AF43">
            <v>25.806000000000001</v>
          </cell>
          <cell r="AG43">
            <v>11.696999999999999</v>
          </cell>
          <cell r="AH43">
            <v>11.863</v>
          </cell>
          <cell r="AI43">
            <v>6.0810000000000004</v>
          </cell>
          <cell r="AJ43">
            <v>5.97</v>
          </cell>
          <cell r="AK43">
            <v>5.9050000000000002</v>
          </cell>
          <cell r="AL43">
            <v>5.9160000000000004</v>
          </cell>
          <cell r="AM43">
            <v>9.7940000000000005</v>
          </cell>
          <cell r="AN43">
            <v>9.9220000000000006</v>
          </cell>
          <cell r="AO43">
            <v>3.5920000000000001</v>
          </cell>
          <cell r="AP43">
            <v>3.5289999999999999</v>
          </cell>
          <cell r="AQ43">
            <v>3.5910000000000002</v>
          </cell>
          <cell r="AR43">
            <v>3.5019999999999998</v>
          </cell>
          <cell r="AS43">
            <v>3.4620000000000002</v>
          </cell>
          <cell r="AT43">
            <v>3.4049999999999998</v>
          </cell>
          <cell r="AU43">
            <v>3.3420000000000001</v>
          </cell>
          <cell r="AV43">
            <v>3.2770000000000001</v>
          </cell>
          <cell r="AW43">
            <v>3.2309999999999999</v>
          </cell>
          <cell r="AX43">
            <v>3.1869999999999998</v>
          </cell>
          <cell r="AY43">
            <v>3.157</v>
          </cell>
          <cell r="AZ43">
            <v>3.15</v>
          </cell>
          <cell r="BA43">
            <v>3.254</v>
          </cell>
          <cell r="BB43">
            <v>3.3359999999999999</v>
          </cell>
          <cell r="BC43">
            <v>3.0430000000000001</v>
          </cell>
          <cell r="BD43">
            <v>2.9359999999999999</v>
          </cell>
          <cell r="BE43">
            <v>3.0110000000000001</v>
          </cell>
          <cell r="BF43">
            <v>3.05</v>
          </cell>
          <cell r="BG43">
            <v>3.1139999999999999</v>
          </cell>
          <cell r="BH43">
            <v>9.8219999999999992</v>
          </cell>
          <cell r="BI43">
            <v>37.924999999999997</v>
          </cell>
          <cell r="BJ43">
            <v>84.350999999999999</v>
          </cell>
          <cell r="BK43">
            <v>84.350999999999999</v>
          </cell>
          <cell r="BL43">
            <v>84.350999999999999</v>
          </cell>
          <cell r="BM43">
            <v>84.350999999999999</v>
          </cell>
          <cell r="BN43">
            <v>84.350999999999999</v>
          </cell>
          <cell r="BO43">
            <v>84.350999999999999</v>
          </cell>
          <cell r="BP43">
            <v>84.350999999999999</v>
          </cell>
          <cell r="BQ43">
            <v>84.350999999999999</v>
          </cell>
          <cell r="BR43">
            <v>84.350999999999999</v>
          </cell>
          <cell r="BS43">
            <v>84.350999999999999</v>
          </cell>
          <cell r="BW43" t="str">
            <v>mstag:minorityInterestsInShareholdersEquity</v>
          </cell>
          <cell r="BX43">
            <v>6</v>
          </cell>
          <cell r="BY43" t="str">
            <v>ISO4217:USD</v>
          </cell>
          <cell r="BZ43" t="b">
            <v>0</v>
          </cell>
          <cell r="CA43" t="b">
            <v>0</v>
          </cell>
        </row>
        <row r="44">
          <cell r="A44" t="str">
            <v>SHAREHOLDERS' EQUITY</v>
          </cell>
        </row>
        <row r="45">
          <cell r="A45" t="str">
            <v xml:space="preserve">  Common Stock (Class A, B &amp; C)</v>
          </cell>
          <cell r="C45">
            <v>1.958</v>
          </cell>
          <cell r="D45">
            <v>2.2010000000000001</v>
          </cell>
          <cell r="E45">
            <v>2.2970000000000002</v>
          </cell>
          <cell r="F45">
            <v>4.1559999999999997</v>
          </cell>
          <cell r="G45">
            <v>4.3780000000000001</v>
          </cell>
          <cell r="H45">
            <v>4.5270000000000001</v>
          </cell>
          <cell r="I45">
            <v>4.6849999999999996</v>
          </cell>
          <cell r="J45">
            <v>4.7969999999999997</v>
          </cell>
          <cell r="K45">
            <v>4.8600000000000003</v>
          </cell>
          <cell r="L45">
            <v>4.8840000000000003</v>
          </cell>
          <cell r="M45">
            <v>4.8840000000000003</v>
          </cell>
          <cell r="N45">
            <v>4.8840000000000003</v>
          </cell>
          <cell r="O45">
            <v>4.8840000000000003</v>
          </cell>
          <cell r="P45">
            <v>4.8840000000000003</v>
          </cell>
          <cell r="Q45">
            <v>4.8840000000000003</v>
          </cell>
          <cell r="R45">
            <v>4.8840000000000003</v>
          </cell>
          <cell r="S45">
            <v>4.8840000000000003</v>
          </cell>
          <cell r="T45">
            <v>4.8840000000000003</v>
          </cell>
          <cell r="U45">
            <v>4.8840000000000003</v>
          </cell>
          <cell r="V45">
            <v>4.8840000000000003</v>
          </cell>
          <cell r="AB45">
            <v>1.9649999999999999</v>
          </cell>
          <cell r="AC45">
            <v>2.0470000000000002</v>
          </cell>
          <cell r="AD45">
            <v>2.1950000000000003</v>
          </cell>
          <cell r="AE45">
            <v>2.2010000000000001</v>
          </cell>
          <cell r="AF45">
            <v>2.2120000000000002</v>
          </cell>
          <cell r="AG45">
            <v>2.2429999999999999</v>
          </cell>
          <cell r="AH45">
            <v>2.2669999999999999</v>
          </cell>
          <cell r="AI45">
            <v>2.2970000000000002</v>
          </cell>
          <cell r="AJ45">
            <v>2.3079999999999998</v>
          </cell>
          <cell r="AK45">
            <v>2.3119999999999998</v>
          </cell>
          <cell r="AL45">
            <v>4.1100000000000003</v>
          </cell>
          <cell r="AM45">
            <v>4.1559999999999997</v>
          </cell>
          <cell r="AN45">
            <v>4.2880000000000003</v>
          </cell>
          <cell r="AO45">
            <v>4.37</v>
          </cell>
          <cell r="AP45">
            <v>4.375</v>
          </cell>
          <cell r="AQ45">
            <v>4.3780000000000001</v>
          </cell>
          <cell r="AR45">
            <v>4.4569999999999999</v>
          </cell>
          <cell r="AS45">
            <v>4.4969999999999999</v>
          </cell>
          <cell r="AT45">
            <v>4.5039999999999996</v>
          </cell>
          <cell r="AU45">
            <v>4.5270000000000001</v>
          </cell>
          <cell r="AV45">
            <v>4.5369999999999999</v>
          </cell>
          <cell r="AW45">
            <v>4.5659999999999998</v>
          </cell>
          <cell r="AX45">
            <v>4.6070000000000002</v>
          </cell>
          <cell r="AY45">
            <v>4.6849999999999996</v>
          </cell>
          <cell r="AZ45">
            <v>4.6920000000000002</v>
          </cell>
          <cell r="BA45">
            <v>4.6970000000000001</v>
          </cell>
          <cell r="BB45">
            <v>4.7850000000000001</v>
          </cell>
          <cell r="BC45">
            <v>4.7969999999999997</v>
          </cell>
          <cell r="BD45">
            <v>4.83</v>
          </cell>
          <cell r="BE45">
            <v>4.8449999999999998</v>
          </cell>
          <cell r="BF45">
            <v>4.8550000000000004</v>
          </cell>
          <cell r="BG45">
            <v>4.8600000000000003</v>
          </cell>
          <cell r="BH45">
            <v>4.8680000000000003</v>
          </cell>
          <cell r="BI45">
            <v>4.8769999999999998</v>
          </cell>
          <cell r="BJ45">
            <v>4.8840000000000003</v>
          </cell>
          <cell r="BK45">
            <v>4.8840000000000003</v>
          </cell>
          <cell r="BL45">
            <v>4.8840000000000003</v>
          </cell>
          <cell r="BM45">
            <v>4.8840000000000003</v>
          </cell>
          <cell r="BN45">
            <v>4.8840000000000003</v>
          </cell>
          <cell r="BO45">
            <v>4.8840000000000003</v>
          </cell>
          <cell r="BP45">
            <v>4.8840000000000003</v>
          </cell>
          <cell r="BQ45">
            <v>4.8840000000000003</v>
          </cell>
          <cell r="BR45">
            <v>4.8840000000000003</v>
          </cell>
          <cell r="BS45">
            <v>4.8840000000000003</v>
          </cell>
          <cell r="BW45" t="str">
            <v>mstag:commonStock</v>
          </cell>
          <cell r="BX45">
            <v>6</v>
          </cell>
          <cell r="BY45" t="str">
            <v>ISO4217:USD</v>
          </cell>
          <cell r="BZ45" t="b">
            <v>0</v>
          </cell>
          <cell r="CA45" t="b">
            <v>0</v>
          </cell>
        </row>
        <row r="46">
          <cell r="A46" t="str">
            <v xml:space="preserve">  Additional Paid-In Capital</v>
          </cell>
          <cell r="C46">
            <v>3642.0189999999998</v>
          </cell>
          <cell r="D46">
            <v>3910.8789999999999</v>
          </cell>
          <cell r="E46">
            <v>4012.4250000000002</v>
          </cell>
          <cell r="F46">
            <v>7383.32</v>
          </cell>
          <cell r="G46">
            <v>7502.4719999999998</v>
          </cell>
          <cell r="H46">
            <v>7772.3819999999996</v>
          </cell>
          <cell r="I46">
            <v>8109.2240000000002</v>
          </cell>
          <cell r="J46">
            <v>8393.643</v>
          </cell>
          <cell r="K46">
            <v>8577.0930000000008</v>
          </cell>
          <cell r="L46">
            <v>8690.245408298415</v>
          </cell>
          <cell r="M46">
            <v>8778.6373361768419</v>
          </cell>
          <cell r="N46">
            <v>8857.6837947023669</v>
          </cell>
          <cell r="O46">
            <v>8925.2364940080188</v>
          </cell>
          <cell r="P46">
            <v>8985.611950865481</v>
          </cell>
          <cell r="Q46">
            <v>9039.7446509137771</v>
          </cell>
          <cell r="R46">
            <v>9088.4693210947062</v>
          </cell>
          <cell r="S46">
            <v>9132.5338580961507</v>
          </cell>
          <cell r="T46">
            <v>9172.610870384322</v>
          </cell>
          <cell r="U46">
            <v>9209.3080127049052</v>
          </cell>
          <cell r="V46">
            <v>9243.1772726674008</v>
          </cell>
          <cell r="AB46">
            <v>3700.2919999999999</v>
          </cell>
          <cell r="AC46">
            <v>3782.1930000000002</v>
          </cell>
          <cell r="AD46">
            <v>3905.6660000000002</v>
          </cell>
          <cell r="AE46">
            <v>3910.8789999999999</v>
          </cell>
          <cell r="AF46">
            <v>3914.252</v>
          </cell>
          <cell r="AG46">
            <v>3946.1439999999998</v>
          </cell>
          <cell r="AH46">
            <v>3973.893</v>
          </cell>
          <cell r="AI46">
            <v>4012.4250000000002</v>
          </cell>
          <cell r="AJ46">
            <v>4025.3530000000001</v>
          </cell>
          <cell r="AK46">
            <v>4031.0250000000001</v>
          </cell>
          <cell r="AL46">
            <v>7265.9830000000002</v>
          </cell>
          <cell r="AM46">
            <v>7383.32</v>
          </cell>
          <cell r="AN46">
            <v>7427.9750000000004</v>
          </cell>
          <cell r="AO46">
            <v>7478.2470000000003</v>
          </cell>
          <cell r="AP46">
            <v>7491.62</v>
          </cell>
          <cell r="AQ46">
            <v>7502.4719999999998</v>
          </cell>
          <cell r="AR46">
            <v>7627.8909999999996</v>
          </cell>
          <cell r="AS46">
            <v>7709.9290000000001</v>
          </cell>
          <cell r="AT46">
            <v>7734.6409999999996</v>
          </cell>
          <cell r="AU46">
            <v>7772.3819999999996</v>
          </cell>
          <cell r="AV46">
            <v>7801.0020000000004</v>
          </cell>
          <cell r="AW46">
            <v>7856.7839999999997</v>
          </cell>
          <cell r="AX46">
            <v>7945.4110000000001</v>
          </cell>
          <cell r="AY46">
            <v>8109.2240000000002</v>
          </cell>
          <cell r="AZ46">
            <v>8139.915</v>
          </cell>
          <cell r="BA46">
            <v>8159.9129999999996</v>
          </cell>
          <cell r="BB46">
            <v>8352.9439999999995</v>
          </cell>
          <cell r="BC46">
            <v>8393.643</v>
          </cell>
          <cell r="BD46">
            <v>8447.6669999999995</v>
          </cell>
          <cell r="BE46">
            <v>8503.0519999999997</v>
          </cell>
          <cell r="BF46">
            <v>8548.7800000000007</v>
          </cell>
          <cell r="BG46">
            <v>8577.0930000000008</v>
          </cell>
          <cell r="BH46">
            <v>8589.3690000000006</v>
          </cell>
          <cell r="BI46">
            <v>8630.7739999999994</v>
          </cell>
          <cell r="BJ46">
            <v>8665.8070000000007</v>
          </cell>
          <cell r="BK46">
            <v>8690.245408298415</v>
          </cell>
          <cell r="BL46">
            <v>8712.5314505868901</v>
          </cell>
          <cell r="BM46">
            <v>8735.6782128301093</v>
          </cell>
          <cell r="BN46">
            <v>8756.7094972014856</v>
          </cell>
          <cell r="BO46">
            <v>8778.6373361768419</v>
          </cell>
          <cell r="BP46">
            <v>8798.4845085273337</v>
          </cell>
          <cell r="BQ46">
            <v>8819.2620525538841</v>
          </cell>
          <cell r="BR46">
            <v>8837.9917812454059</v>
          </cell>
          <cell r="BS46">
            <v>8857.6837947023669</v>
          </cell>
          <cell r="BW46" t="str">
            <v>mstag:additionalPaidInCapital</v>
          </cell>
          <cell r="BX46">
            <v>6</v>
          </cell>
          <cell r="BY46" t="str">
            <v>ISO4217:USD</v>
          </cell>
          <cell r="BZ46" t="b">
            <v>0</v>
          </cell>
          <cell r="CA46" t="b">
            <v>0</v>
          </cell>
        </row>
        <row r="47">
          <cell r="A47" t="str">
            <v xml:space="preserve">  Accumulated Other Comp. Income (Loss)</v>
          </cell>
          <cell r="C47">
            <v>-5.5640000000000001</v>
          </cell>
          <cell r="D47">
            <v>0</v>
          </cell>
          <cell r="E47">
            <v>0</v>
          </cell>
          <cell r="F47">
            <v>-3.3</v>
          </cell>
          <cell r="G47">
            <v>16.079000000000001</v>
          </cell>
          <cell r="H47">
            <v>-3.6259999999999999</v>
          </cell>
          <cell r="I47">
            <v>-20.030999999999999</v>
          </cell>
          <cell r="J47">
            <v>-12.648999999999999</v>
          </cell>
          <cell r="K47">
            <v>38.052999999999997</v>
          </cell>
          <cell r="L47">
            <v>-87.07</v>
          </cell>
          <cell r="M47">
            <v>-87.07</v>
          </cell>
          <cell r="N47">
            <v>-87.07</v>
          </cell>
          <cell r="O47">
            <v>-87.07</v>
          </cell>
          <cell r="P47">
            <v>-87.07</v>
          </cell>
          <cell r="Q47">
            <v>-87.07</v>
          </cell>
          <cell r="R47">
            <v>-87.07</v>
          </cell>
          <cell r="S47">
            <v>-87.07</v>
          </cell>
          <cell r="T47">
            <v>-87.07</v>
          </cell>
          <cell r="U47">
            <v>-87.07</v>
          </cell>
          <cell r="V47">
            <v>-87.07</v>
          </cell>
          <cell r="AB47">
            <v>-2.3769999999999998</v>
          </cell>
          <cell r="AC47">
            <v>-0.98</v>
          </cell>
          <cell r="AD47">
            <v>-0.372</v>
          </cell>
          <cell r="AE47">
            <v>0</v>
          </cell>
          <cell r="AF47">
            <v>0</v>
          </cell>
          <cell r="AL47">
            <v>-3.661</v>
          </cell>
          <cell r="AM47">
            <v>-3.3</v>
          </cell>
          <cell r="AN47">
            <v>5.6239999999999997</v>
          </cell>
          <cell r="AO47">
            <v>10.465999999999999</v>
          </cell>
          <cell r="AP47">
            <v>3.0739999999999998</v>
          </cell>
          <cell r="AQ47">
            <v>16.079000000000001</v>
          </cell>
          <cell r="AR47">
            <v>7.8550000000000004</v>
          </cell>
          <cell r="AS47">
            <v>3.1890000000000001</v>
          </cell>
          <cell r="AT47">
            <v>-2.8530000000000002</v>
          </cell>
          <cell r="AU47">
            <v>-3.6259999999999999</v>
          </cell>
          <cell r="AV47">
            <v>-11.137</v>
          </cell>
          <cell r="AW47">
            <v>0.80600000000000005</v>
          </cell>
          <cell r="AX47">
            <v>-1.0269999999999999</v>
          </cell>
          <cell r="AY47">
            <v>-20.030999999999999</v>
          </cell>
          <cell r="AZ47">
            <v>-19.896000000000001</v>
          </cell>
          <cell r="BA47">
            <v>-19.532</v>
          </cell>
          <cell r="BB47">
            <v>-18.420000000000002</v>
          </cell>
          <cell r="BC47">
            <v>-12.648999999999999</v>
          </cell>
          <cell r="BD47">
            <v>28.32</v>
          </cell>
          <cell r="BE47">
            <v>-9.8290000000000006</v>
          </cell>
          <cell r="BF47">
            <v>24.405000000000001</v>
          </cell>
          <cell r="BG47">
            <v>38.052999999999997</v>
          </cell>
          <cell r="BH47">
            <v>54.415999999999997</v>
          </cell>
          <cell r="BI47">
            <v>62.47</v>
          </cell>
          <cell r="BJ47">
            <v>-87.07</v>
          </cell>
          <cell r="BK47">
            <v>-87.07</v>
          </cell>
          <cell r="BL47">
            <v>-87.07</v>
          </cell>
          <cell r="BM47">
            <v>-87.07</v>
          </cell>
          <cell r="BN47">
            <v>-87.07</v>
          </cell>
          <cell r="BO47">
            <v>-87.07</v>
          </cell>
          <cell r="BP47">
            <v>-87.07</v>
          </cell>
          <cell r="BQ47">
            <v>-87.07</v>
          </cell>
          <cell r="BR47">
            <v>-87.07</v>
          </cell>
          <cell r="BS47">
            <v>-87.07</v>
          </cell>
          <cell r="BW47" t="str">
            <v>mstag:accumulatedOtherComprehensiveIncomeLossAndReserves</v>
          </cell>
          <cell r="BX47">
            <v>6</v>
          </cell>
          <cell r="BY47" t="str">
            <v>ISO4217:USD</v>
          </cell>
          <cell r="BZ47" t="b">
            <v>0</v>
          </cell>
          <cell r="CA47" t="b">
            <v>0</v>
          </cell>
        </row>
        <row r="48">
          <cell r="A48" t="str">
            <v xml:space="preserve">  Note Receivable</v>
          </cell>
          <cell r="C48">
            <v>-6.72</v>
          </cell>
          <cell r="D48">
            <v>-6.72</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AB48">
            <v>-6.72</v>
          </cell>
          <cell r="AC48">
            <v>-6.72</v>
          </cell>
          <cell r="AD48">
            <v>-6.72</v>
          </cell>
          <cell r="AE48">
            <v>-6.72</v>
          </cell>
          <cell r="AF48">
            <v>-6.72</v>
          </cell>
          <cell r="BW48" t="str">
            <v>mstag:otherEquityItems</v>
          </cell>
          <cell r="BX48">
            <v>6</v>
          </cell>
          <cell r="BY48" t="str">
            <v>ISO4217:USD</v>
          </cell>
          <cell r="BZ48" t="b">
            <v>0</v>
          </cell>
          <cell r="CA48" t="b">
            <v>0</v>
          </cell>
        </row>
        <row r="49">
          <cell r="A49" t="str">
            <v xml:space="preserve">  Treasury stock</v>
          </cell>
          <cell r="C49">
            <v>-4.34</v>
          </cell>
          <cell r="D49">
            <v>-4.3659999999999997</v>
          </cell>
          <cell r="E49">
            <v>-4.3659999999999997</v>
          </cell>
          <cell r="F49">
            <v>-80.950999999999993</v>
          </cell>
          <cell r="G49">
            <v>-404.09300000000002</v>
          </cell>
          <cell r="H49">
            <v>-2047.818</v>
          </cell>
          <cell r="I49">
            <v>-2746.4290000000001</v>
          </cell>
          <cell r="J49">
            <v>-2961.1770000000001</v>
          </cell>
          <cell r="K49">
            <v>-3381.9659999999999</v>
          </cell>
          <cell r="L49">
            <v>-3832.3400089047618</v>
          </cell>
          <cell r="M49">
            <v>-3894.0177566302013</v>
          </cell>
          <cell r="N49">
            <v>-3949.5528353869531</v>
          </cell>
          <cell r="O49">
            <v>-4008.6858752758862</v>
          </cell>
          <cell r="P49">
            <v>-4066.3775473175269</v>
          </cell>
          <cell r="Q49">
            <v>-4121.5143024544659</v>
          </cell>
          <cell r="R49">
            <v>-4172.7455374358724</v>
          </cell>
          <cell r="S49">
            <v>-4229.8683644401399</v>
          </cell>
          <cell r="T49">
            <v>-4293.5603165498987</v>
          </cell>
          <cell r="U49">
            <v>-4364.5768431522793</v>
          </cell>
          <cell r="V49">
            <v>-4443.7602703139337</v>
          </cell>
          <cell r="AB49">
            <v>-4.3659999999999997</v>
          </cell>
          <cell r="AC49">
            <v>-4.3659999999999997</v>
          </cell>
          <cell r="AD49">
            <v>-4.3659999999999997</v>
          </cell>
          <cell r="AE49">
            <v>-4.3659999999999997</v>
          </cell>
          <cell r="AF49">
            <v>-4.3659999999999997</v>
          </cell>
          <cell r="AG49">
            <v>-4.3659999999999997</v>
          </cell>
          <cell r="AH49">
            <v>-4.3659999999999997</v>
          </cell>
          <cell r="AI49">
            <v>-4.3659999999999997</v>
          </cell>
          <cell r="AJ49">
            <v>-4.3659999999999997</v>
          </cell>
          <cell r="AK49">
            <v>-4.3659999999999997</v>
          </cell>
          <cell r="AL49">
            <v>-4.3659999999999997</v>
          </cell>
          <cell r="AM49">
            <v>-80.950999999999993</v>
          </cell>
          <cell r="AN49">
            <v>-246.471</v>
          </cell>
          <cell r="AO49">
            <v>-362.75099999999998</v>
          </cell>
          <cell r="AP49">
            <v>-362.75099999999998</v>
          </cell>
          <cell r="AQ49">
            <v>-404.09300000000002</v>
          </cell>
          <cell r="AR49">
            <v>-909.22400000000005</v>
          </cell>
          <cell r="AS49">
            <v>-1323.4</v>
          </cell>
          <cell r="AT49">
            <v>-1662.7629999999999</v>
          </cell>
          <cell r="AU49">
            <v>-2047.818</v>
          </cell>
          <cell r="AV49">
            <v>-2219.9169999999999</v>
          </cell>
          <cell r="AW49">
            <v>-2335.223</v>
          </cell>
          <cell r="AX49">
            <v>-2666.9830000000002</v>
          </cell>
          <cell r="AY49">
            <v>-2746.4290000000001</v>
          </cell>
          <cell r="AZ49">
            <v>-2748.2649999999999</v>
          </cell>
          <cell r="BA49">
            <v>-2816.06</v>
          </cell>
          <cell r="BB49">
            <v>-2933.6120000000001</v>
          </cell>
          <cell r="BC49">
            <v>-2961.1770000000001</v>
          </cell>
          <cell r="BD49">
            <v>-3012.6930000000002</v>
          </cell>
          <cell r="BE49">
            <v>-3157.52</v>
          </cell>
          <cell r="BF49">
            <v>-3307.33</v>
          </cell>
          <cell r="BG49">
            <v>-3381.9659999999999</v>
          </cell>
          <cell r="BH49">
            <v>-3504.7049999999999</v>
          </cell>
          <cell r="BI49">
            <v>-3606.7150000000001</v>
          </cell>
          <cell r="BJ49">
            <v>-3775.087</v>
          </cell>
          <cell r="BK49">
            <v>-3832.3400089047618</v>
          </cell>
          <cell r="BL49">
            <v>-3847.0826586977382</v>
          </cell>
          <cell r="BM49">
            <v>-3862.2675879845037</v>
          </cell>
          <cell r="BN49">
            <v>-3877.9080651498721</v>
          </cell>
          <cell r="BO49">
            <v>-3894.0177566302013</v>
          </cell>
          <cell r="BP49">
            <v>-3907.2921424099927</v>
          </cell>
          <cell r="BQ49">
            <v>-3920.9647597631779</v>
          </cell>
          <cell r="BR49">
            <v>-3935.0475556369588</v>
          </cell>
          <cell r="BS49">
            <v>-3949.5528353869531</v>
          </cell>
          <cell r="BW49" t="str">
            <v>mstag:treasuryStockAndInvestmentInOwnShares</v>
          </cell>
          <cell r="BX49">
            <v>6</v>
          </cell>
          <cell r="BY49" t="str">
            <v>ISO4217:USD</v>
          </cell>
          <cell r="BZ49" t="b">
            <v>1</v>
          </cell>
          <cell r="CA49" t="b">
            <v>0</v>
          </cell>
        </row>
        <row r="50">
          <cell r="A50" t="str">
            <v xml:space="preserve">  Retained Earnings</v>
          </cell>
          <cell r="C50">
            <v>-1887.03</v>
          </cell>
          <cell r="D50">
            <v>-2291.8159999999998</v>
          </cell>
          <cell r="E50">
            <v>-2539.4029999999998</v>
          </cell>
          <cell r="F50">
            <v>-2761.404</v>
          </cell>
          <cell r="G50">
            <v>-2733.92</v>
          </cell>
          <cell r="H50">
            <v>-2703.373</v>
          </cell>
          <cell r="I50">
            <v>-2356.127</v>
          </cell>
          <cell r="J50">
            <v>-2109.5320000000002</v>
          </cell>
          <cell r="K50">
            <v>-1736.596</v>
          </cell>
          <cell r="L50">
            <v>-1538.9377801287392</v>
          </cell>
          <cell r="M50">
            <v>-974.92128980721952</v>
          </cell>
          <cell r="N50">
            <v>-230.11730570010761</v>
          </cell>
          <cell r="O50">
            <v>283.89083215105109</v>
          </cell>
          <cell r="P50">
            <v>527.9105949444737</v>
          </cell>
          <cell r="Q50">
            <v>787.36947010957181</v>
          </cell>
          <cell r="R50">
            <v>1060.0391713200777</v>
          </cell>
          <cell r="S50">
            <v>1343.6243922881361</v>
          </cell>
          <cell r="T50">
            <v>1635.8227298191757</v>
          </cell>
          <cell r="U50">
            <v>1934.0594764255488</v>
          </cell>
          <cell r="V50">
            <v>2236.074233219806</v>
          </cell>
          <cell r="AB50">
            <v>-1978.653</v>
          </cell>
          <cell r="AC50">
            <v>-2086.3679999999999</v>
          </cell>
          <cell r="AD50">
            <v>-2139.23</v>
          </cell>
          <cell r="AE50">
            <v>-2291.8159999999998</v>
          </cell>
          <cell r="AF50">
            <v>-2340.0540000000001</v>
          </cell>
          <cell r="AG50">
            <v>-2405.2510000000002</v>
          </cell>
          <cell r="AH50">
            <v>-2465.373</v>
          </cell>
          <cell r="AI50">
            <v>-2539.4029999999998</v>
          </cell>
          <cell r="AJ50">
            <v>-2570.9639999999999</v>
          </cell>
          <cell r="AK50">
            <v>-2602.7820000000002</v>
          </cell>
          <cell r="AL50">
            <v>-2623.652</v>
          </cell>
          <cell r="AM50">
            <v>-2761.404</v>
          </cell>
          <cell r="AN50">
            <v>-2763.3409999999999</v>
          </cell>
          <cell r="AO50">
            <v>-2755.6770000000001</v>
          </cell>
          <cell r="AP50">
            <v>-2752.2049999999999</v>
          </cell>
          <cell r="AQ50">
            <v>-2733.92</v>
          </cell>
          <cell r="AR50">
            <v>-2737.4609999999998</v>
          </cell>
          <cell r="AS50">
            <v>-2757.4520000000002</v>
          </cell>
          <cell r="AT50">
            <v>-2697.8240000000001</v>
          </cell>
          <cell r="AU50">
            <v>-2703.373</v>
          </cell>
          <cell r="AV50">
            <v>-2661.2179999999998</v>
          </cell>
          <cell r="AW50">
            <v>-2502.4319999999998</v>
          </cell>
          <cell r="AX50">
            <v>-2441.9659999999999</v>
          </cell>
          <cell r="AY50">
            <v>-2356.127</v>
          </cell>
          <cell r="AZ50">
            <v>-2297.5259999999998</v>
          </cell>
          <cell r="BA50">
            <v>-2241.2370000000001</v>
          </cell>
          <cell r="BB50">
            <v>-2173.8820000000001</v>
          </cell>
          <cell r="BC50">
            <v>-2109.5320000000002</v>
          </cell>
          <cell r="BD50">
            <v>-2013.2139999999999</v>
          </cell>
          <cell r="BE50">
            <v>-1913.549</v>
          </cell>
          <cell r="BF50">
            <v>-1820.11</v>
          </cell>
          <cell r="BG50">
            <v>-1736.596</v>
          </cell>
          <cell r="BH50">
            <v>-1644.7539999999999</v>
          </cell>
          <cell r="BI50">
            <v>-1529.5429999999999</v>
          </cell>
          <cell r="BJ50">
            <v>-1545.2439999999999</v>
          </cell>
          <cell r="BK50">
            <v>-1538.9377801287392</v>
          </cell>
          <cell r="BL50">
            <v>-1435.7403291453768</v>
          </cell>
          <cell r="BM50">
            <v>-1301.0689189647089</v>
          </cell>
          <cell r="BN50">
            <v>-1144.6026912694288</v>
          </cell>
          <cell r="BO50">
            <v>-974.92128980721952</v>
          </cell>
          <cell r="BP50">
            <v>-809.43393139044542</v>
          </cell>
          <cell r="BQ50">
            <v>-627.99162667820019</v>
          </cell>
          <cell r="BR50">
            <v>-433.91890646204047</v>
          </cell>
          <cell r="BS50">
            <v>-230.11730570010761</v>
          </cell>
          <cell r="BW50" t="str">
            <v>mstag:retainedEarnings</v>
          </cell>
          <cell r="BX50">
            <v>6</v>
          </cell>
          <cell r="BY50" t="str">
            <v>ISO4217:USD</v>
          </cell>
          <cell r="BZ50" t="b">
            <v>0</v>
          </cell>
          <cell r="CA50" t="b">
            <v>0</v>
          </cell>
        </row>
        <row r="51">
          <cell r="A51" t="str">
            <v xml:space="preserve">  Total Shareholders' Equity</v>
          </cell>
          <cell r="C51">
            <v>1740.3230000000001</v>
          </cell>
          <cell r="D51">
            <v>1610.1780000000003</v>
          </cell>
          <cell r="E51">
            <v>1470.9530000000004</v>
          </cell>
          <cell r="F51">
            <v>4541.8209999999999</v>
          </cell>
          <cell r="G51">
            <v>4384.9159999999993</v>
          </cell>
          <cell r="H51">
            <v>3022.0919999999992</v>
          </cell>
          <cell r="I51">
            <v>2991.3220000000006</v>
          </cell>
          <cell r="J51">
            <v>3315.0820000000012</v>
          </cell>
          <cell r="K51">
            <v>3501.4440000000009</v>
          </cell>
          <cell r="L51">
            <v>3236.7816192649143</v>
          </cell>
          <cell r="M51">
            <v>3827.5122897394217</v>
          </cell>
          <cell r="N51">
            <v>4595.8276536153062</v>
          </cell>
          <cell r="O51">
            <v>5118.2554508831836</v>
          </cell>
          <cell r="P51">
            <v>5364.9589984924287</v>
          </cell>
          <cell r="Q51">
            <v>5623.4138185688835</v>
          </cell>
          <cell r="R51">
            <v>5893.576954978912</v>
          </cell>
          <cell r="S51">
            <v>6164.1038859441469</v>
          </cell>
          <cell r="T51">
            <v>6432.6872836535995</v>
          </cell>
          <cell r="U51">
            <v>6696.6046459781755</v>
          </cell>
          <cell r="V51">
            <v>6953.3052355732734</v>
          </cell>
          <cell r="AB51">
            <v>1710.1410000000003</v>
          </cell>
          <cell r="AC51">
            <v>1685.8060000000005</v>
          </cell>
          <cell r="AD51">
            <v>1757.1730000000007</v>
          </cell>
          <cell r="AE51">
            <v>1610.1780000000003</v>
          </cell>
          <cell r="AF51">
            <v>1565.3240000000001</v>
          </cell>
          <cell r="AG51">
            <v>1538.7699999999995</v>
          </cell>
          <cell r="AH51">
            <v>1506.4209999999998</v>
          </cell>
          <cell r="AI51">
            <v>1470.9530000000004</v>
          </cell>
          <cell r="AJ51">
            <v>1452.3310000000001</v>
          </cell>
          <cell r="AK51">
            <v>1426.1889999999999</v>
          </cell>
          <cell r="AL51">
            <v>4638.4139999999998</v>
          </cell>
          <cell r="AM51">
            <v>4541.8209999999999</v>
          </cell>
          <cell r="AN51">
            <v>4428.0749999999989</v>
          </cell>
          <cell r="AO51">
            <v>4374.6550000000007</v>
          </cell>
          <cell r="AP51">
            <v>4384.1129999999994</v>
          </cell>
          <cell r="AQ51">
            <v>4384.9159999999993</v>
          </cell>
          <cell r="AR51">
            <v>3993.5179999999996</v>
          </cell>
          <cell r="AS51">
            <v>3636.7629999999999</v>
          </cell>
          <cell r="AT51">
            <v>3375.7049999999995</v>
          </cell>
          <cell r="AU51">
            <v>3022.0919999999992</v>
          </cell>
          <cell r="AV51">
            <v>2913.2670000000007</v>
          </cell>
          <cell r="AW51">
            <v>3024.5009999999993</v>
          </cell>
          <cell r="AX51">
            <v>2840.0419999999999</v>
          </cell>
          <cell r="AY51">
            <v>2991.3220000000006</v>
          </cell>
          <cell r="AZ51">
            <v>3078.92</v>
          </cell>
          <cell r="BA51">
            <v>3087.7809999999999</v>
          </cell>
          <cell r="BB51">
            <v>3231.8149999999991</v>
          </cell>
          <cell r="BC51">
            <v>3315.0820000000012</v>
          </cell>
          <cell r="BD51">
            <v>3454.9099999999989</v>
          </cell>
          <cell r="BE51">
            <v>3426.9989999999989</v>
          </cell>
          <cell r="BF51">
            <v>3450.6000000000013</v>
          </cell>
          <cell r="BG51">
            <v>3501.4440000000009</v>
          </cell>
          <cell r="BH51">
            <v>3499.1940000000004</v>
          </cell>
          <cell r="BI51">
            <v>3561.8629999999994</v>
          </cell>
          <cell r="BJ51">
            <v>3263.2900000000018</v>
          </cell>
          <cell r="BK51">
            <v>3236.7816192649143</v>
          </cell>
          <cell r="BL51">
            <v>3347.5224627437756</v>
          </cell>
          <cell r="BM51">
            <v>3490.1557058808967</v>
          </cell>
          <cell r="BN51">
            <v>3652.0127407821856</v>
          </cell>
          <cell r="BO51">
            <v>3827.5122897394217</v>
          </cell>
          <cell r="BP51">
            <v>3999.5724347268952</v>
          </cell>
          <cell r="BQ51">
            <v>4188.1196661125068</v>
          </cell>
          <cell r="BR51">
            <v>4386.8393191464074</v>
          </cell>
          <cell r="BS51">
            <v>4595.8276536153062</v>
          </cell>
        </row>
        <row r="53">
          <cell r="A53" t="str">
            <v>Total Liabilities and Equity</v>
          </cell>
          <cell r="C53">
            <v>5662.2029999999995</v>
          </cell>
          <cell r="D53">
            <v>5290.6540000000005</v>
          </cell>
          <cell r="E53">
            <v>5085.9720000000007</v>
          </cell>
          <cell r="F53">
            <v>8786.8539999999994</v>
          </cell>
          <cell r="G53">
            <v>8613.2189999999991</v>
          </cell>
          <cell r="H53">
            <v>8130.4569999999985</v>
          </cell>
          <cell r="I53">
            <v>8211.6650000000009</v>
          </cell>
          <cell r="J53">
            <v>8512.6680000000015</v>
          </cell>
          <cell r="K53">
            <v>10365.321</v>
          </cell>
          <cell r="L53">
            <v>11785.319902057065</v>
          </cell>
          <cell r="M53">
            <v>12690.096047708757</v>
          </cell>
          <cell r="N53">
            <v>13612.50241671153</v>
          </cell>
          <cell r="O53">
            <v>14245.393942993138</v>
          </cell>
          <cell r="P53">
            <v>14585.270640563751</v>
          </cell>
          <cell r="Q53">
            <v>14933.305275947405</v>
          </cell>
          <cell r="R53">
            <v>15283.239273751642</v>
          </cell>
          <cell r="S53">
            <v>15622.831398356157</v>
          </cell>
          <cell r="T53">
            <v>15949.643765819033</v>
          </cell>
          <cell r="U53">
            <v>16259.502275997007</v>
          </cell>
          <cell r="V53">
            <v>16551.20859210195</v>
          </cell>
          <cell r="AB53">
            <v>5722.8970000000008</v>
          </cell>
          <cell r="AC53">
            <v>5576.2520000000004</v>
          </cell>
          <cell r="AD53">
            <v>5590.3070000000007</v>
          </cell>
          <cell r="AE53">
            <v>5290.6540000000005</v>
          </cell>
          <cell r="AF53">
            <v>5153.9279999999999</v>
          </cell>
          <cell r="AG53">
            <v>5120.3950000000004</v>
          </cell>
          <cell r="AH53">
            <v>5021.21</v>
          </cell>
          <cell r="AI53">
            <v>5085.9720000000007</v>
          </cell>
          <cell r="AJ53">
            <v>4924.8999999999996</v>
          </cell>
          <cell r="AK53">
            <v>4825.6630000000005</v>
          </cell>
          <cell r="AL53">
            <v>8785.6589999999997</v>
          </cell>
          <cell r="AM53">
            <v>8786.8539999999994</v>
          </cell>
          <cell r="AN53">
            <v>8688.0519999999997</v>
          </cell>
          <cell r="AO53">
            <v>8607.6730000000007</v>
          </cell>
          <cell r="AP53">
            <v>8605.73</v>
          </cell>
          <cell r="AQ53">
            <v>8613.2189999999991</v>
          </cell>
          <cell r="AR53">
            <v>8319.9120000000003</v>
          </cell>
          <cell r="AS53">
            <v>8384.0910000000003</v>
          </cell>
          <cell r="AT53">
            <v>8203.4380000000001</v>
          </cell>
          <cell r="AU53">
            <v>8130.4569999999985</v>
          </cell>
          <cell r="AV53">
            <v>8192.2270000000026</v>
          </cell>
          <cell r="AW53">
            <v>8265.5399999999991</v>
          </cell>
          <cell r="AX53">
            <v>8129.9359999999997</v>
          </cell>
          <cell r="AY53">
            <v>8211.6650000000009</v>
          </cell>
          <cell r="AZ53">
            <v>8325.869999999999</v>
          </cell>
          <cell r="BA53">
            <v>8486.487000000001</v>
          </cell>
          <cell r="BB53">
            <v>8394.8239999999987</v>
          </cell>
          <cell r="BC53">
            <v>8512.6680000000015</v>
          </cell>
          <cell r="BD53">
            <v>8674.2509999999984</v>
          </cell>
          <cell r="BE53">
            <v>8585.9229999999989</v>
          </cell>
          <cell r="BF53">
            <v>9448.9780000000028</v>
          </cell>
          <cell r="BG53">
            <v>10365.321</v>
          </cell>
          <cell r="BH53">
            <v>10758.749</v>
          </cell>
          <cell r="BI53">
            <v>10973.784</v>
          </cell>
          <cell r="BJ53">
            <v>10895.336000000001</v>
          </cell>
          <cell r="BK53">
            <v>11785.319902057065</v>
          </cell>
          <cell r="BL53">
            <v>11914.523749726883</v>
          </cell>
          <cell r="BM53">
            <v>12199.185318785807</v>
          </cell>
          <cell r="BN53">
            <v>12448.399874031162</v>
          </cell>
          <cell r="BO53">
            <v>12690.096047708757</v>
          </cell>
          <cell r="BP53">
            <v>12852.125314894151</v>
          </cell>
          <cell r="BQ53">
            <v>13110.064587000379</v>
          </cell>
          <cell r="BR53">
            <v>13365.617942742989</v>
          </cell>
          <cell r="BS53">
            <v>13612.50241671153</v>
          </cell>
        </row>
        <row r="55">
          <cell r="A55" t="str">
            <v>CHECK</v>
          </cell>
          <cell r="C55">
            <v>0</v>
          </cell>
          <cell r="D55">
            <v>0</v>
          </cell>
          <cell r="E55">
            <v>0</v>
          </cell>
          <cell r="F55">
            <v>0</v>
          </cell>
          <cell r="G55">
            <v>0</v>
          </cell>
          <cell r="H55">
            <v>0</v>
          </cell>
          <cell r="I55">
            <v>0</v>
          </cell>
          <cell r="J55">
            <v>0</v>
          </cell>
          <cell r="K55">
            <v>0</v>
          </cell>
          <cell r="L55">
            <v>-2.9999999787833076E-4</v>
          </cell>
          <cell r="M55">
            <v>-2.9999999969732016E-4</v>
          </cell>
          <cell r="N55">
            <v>-3.0000000333529897E-4</v>
          </cell>
          <cell r="O55">
            <v>-3.0000000697327778E-4</v>
          </cell>
          <cell r="P55">
            <v>-3.0000000333529897E-4</v>
          </cell>
          <cell r="Q55">
            <v>-3.0000000333529897E-4</v>
          </cell>
          <cell r="R55">
            <v>-3.0000000333529897E-4</v>
          </cell>
          <cell r="S55">
            <v>-3.0000000333529897E-4</v>
          </cell>
          <cell r="T55">
            <v>-3.0000000333529897E-4</v>
          </cell>
          <cell r="U55">
            <v>-3.0000000333529897E-4</v>
          </cell>
          <cell r="V55">
            <v>-3.0000000333529897E-4</v>
          </cell>
          <cell r="AB55">
            <v>0</v>
          </cell>
          <cell r="AC55">
            <v>0</v>
          </cell>
          <cell r="AD55">
            <v>0</v>
          </cell>
          <cell r="AE55">
            <v>0</v>
          </cell>
          <cell r="AF55">
            <v>0</v>
          </cell>
          <cell r="AG55">
            <v>0</v>
          </cell>
          <cell r="AH55">
            <v>0</v>
          </cell>
          <cell r="AI55">
            <v>0</v>
          </cell>
          <cell r="AJ55">
            <v>0</v>
          </cell>
          <cell r="AK55">
            <v>0</v>
          </cell>
          <cell r="AL55">
            <v>0</v>
          </cell>
          <cell r="AM55">
            <v>0</v>
          </cell>
          <cell r="AN55">
            <v>0</v>
          </cell>
          <cell r="AO55">
            <v>-9.9999999838473741E-4</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-2.9999999969732016E-4</v>
          </cell>
          <cell r="BI55">
            <v>-2.9999999969732016E-4</v>
          </cell>
          <cell r="BJ55">
            <v>-2.9999999787833076E-4</v>
          </cell>
          <cell r="BK55">
            <v>-2.9999999787833076E-4</v>
          </cell>
          <cell r="BL55">
            <v>-2.9999999787833076E-4</v>
          </cell>
          <cell r="BM55">
            <v>-2.9999999787833076E-4</v>
          </cell>
          <cell r="BN55">
            <v>-2.9999999787833076E-4</v>
          </cell>
          <cell r="BO55">
            <v>-2.9999999969732016E-4</v>
          </cell>
          <cell r="BP55">
            <v>-2.9999999969732016E-4</v>
          </cell>
          <cell r="BQ55">
            <v>-2.9999999969732016E-4</v>
          </cell>
          <cell r="BR55">
            <v>-3.0000000151630957E-4</v>
          </cell>
          <cell r="BS55">
            <v>-3.0000000333529897E-4</v>
          </cell>
        </row>
        <row r="57">
          <cell r="A57" t="str">
            <v>Shareholders' Equity (beginning of period)</v>
          </cell>
          <cell r="D57">
            <v>1740.3230000000001</v>
          </cell>
          <cell r="E57">
            <v>1610.1780000000003</v>
          </cell>
          <cell r="F57">
            <v>1470.9530000000004</v>
          </cell>
          <cell r="G57">
            <v>4541.8209999999999</v>
          </cell>
          <cell r="H57">
            <v>4384.9159999999993</v>
          </cell>
          <cell r="I57">
            <v>3022.0919999999987</v>
          </cell>
          <cell r="J57">
            <v>2991.3220000000001</v>
          </cell>
          <cell r="K57">
            <v>3315.0820000000008</v>
          </cell>
          <cell r="L57">
            <v>3501.4440000000009</v>
          </cell>
          <cell r="M57">
            <v>3236.7816192649138</v>
          </cell>
          <cell r="N57">
            <v>3827.5122897394212</v>
          </cell>
          <cell r="O57">
            <v>4595.8276536153062</v>
          </cell>
          <cell r="P57">
            <v>5118.2554508831836</v>
          </cell>
          <cell r="Q57">
            <v>5364.9589984924287</v>
          </cell>
          <cell r="R57">
            <v>5623.4138185688835</v>
          </cell>
          <cell r="S57">
            <v>5893.576954978912</v>
          </cell>
          <cell r="T57">
            <v>6164.1038859441469</v>
          </cell>
          <cell r="U57">
            <v>6432.6872836535995</v>
          </cell>
          <cell r="V57">
            <v>6696.6046459781746</v>
          </cell>
          <cell r="AC57">
            <v>1710.1410000000003</v>
          </cell>
          <cell r="AD57">
            <v>1685.8060000000005</v>
          </cell>
          <cell r="AE57">
            <v>1757.1730000000005</v>
          </cell>
          <cell r="AF57">
            <v>1610.1780000000001</v>
          </cell>
          <cell r="AG57">
            <v>1565.3239999999998</v>
          </cell>
          <cell r="AH57">
            <v>1538.7699999999993</v>
          </cell>
          <cell r="AI57">
            <v>1506.4209999999996</v>
          </cell>
          <cell r="AJ57">
            <v>1470.9530000000002</v>
          </cell>
          <cell r="AK57">
            <v>1452.3309999999999</v>
          </cell>
          <cell r="AL57">
            <v>1426.1889999999996</v>
          </cell>
          <cell r="AM57">
            <v>4638.4139999999989</v>
          </cell>
          <cell r="AN57">
            <v>4541.820999999999</v>
          </cell>
          <cell r="AO57">
            <v>4428.0749999999971</v>
          </cell>
          <cell r="AP57">
            <v>4374.6549999999997</v>
          </cell>
          <cell r="AQ57">
            <v>4384.1129999999985</v>
          </cell>
          <cell r="AR57">
            <v>4384.9159999999983</v>
          </cell>
          <cell r="AS57">
            <v>3993.5179999999982</v>
          </cell>
          <cell r="AT57">
            <v>3636.7629999999981</v>
          </cell>
          <cell r="AU57">
            <v>3375.7049999999981</v>
          </cell>
          <cell r="AV57">
            <v>3022.0919999999978</v>
          </cell>
          <cell r="AW57">
            <v>2913.2669999999994</v>
          </cell>
          <cell r="AX57">
            <v>3024.5009999999984</v>
          </cell>
          <cell r="AY57">
            <v>2840.041999999999</v>
          </cell>
          <cell r="AZ57">
            <v>2991.3220000000001</v>
          </cell>
          <cell r="BA57">
            <v>3078.92</v>
          </cell>
          <cell r="BB57">
            <v>3087.7809999999999</v>
          </cell>
          <cell r="BC57">
            <v>3231.8149999999991</v>
          </cell>
          <cell r="BD57">
            <v>3315.0820000000017</v>
          </cell>
          <cell r="BE57">
            <v>3454.9099999999994</v>
          </cell>
          <cell r="BF57">
            <v>3426.9989999999993</v>
          </cell>
          <cell r="BG57">
            <v>3450.6000000000017</v>
          </cell>
          <cell r="BH57">
            <v>3501.4440000000013</v>
          </cell>
          <cell r="BI57">
            <v>3499.1940000000004</v>
          </cell>
          <cell r="BJ57">
            <v>3561.8629999999994</v>
          </cell>
          <cell r="BK57">
            <v>3263.2900000000018</v>
          </cell>
          <cell r="BL57">
            <v>3236.7816192649143</v>
          </cell>
          <cell r="BM57">
            <v>3347.522462743776</v>
          </cell>
          <cell r="BN57">
            <v>3490.1557058808976</v>
          </cell>
          <cell r="BO57">
            <v>3652.0127407821869</v>
          </cell>
          <cell r="BP57">
            <v>3827.5122897394226</v>
          </cell>
          <cell r="BQ57">
            <v>3999.5724347268956</v>
          </cell>
          <cell r="BR57">
            <v>4188.1196661125077</v>
          </cell>
          <cell r="BS57">
            <v>4386.8393191464074</v>
          </cell>
        </row>
        <row r="58">
          <cell r="A58" t="str">
            <v xml:space="preserve"> + Net income (less preferred dividends)</v>
          </cell>
          <cell r="D58">
            <v>-321.61800000000005</v>
          </cell>
          <cell r="E58">
            <v>-245.22099999999986</v>
          </cell>
          <cell r="F58">
            <v>-180.78400000000011</v>
          </cell>
          <cell r="G58">
            <v>28.268000000000004</v>
          </cell>
          <cell r="H58">
            <v>56.653999999999783</v>
          </cell>
          <cell r="I58">
            <v>347.41499999999985</v>
          </cell>
          <cell r="J58">
            <v>247.12700000000015</v>
          </cell>
          <cell r="K58">
            <v>373.60599999999999</v>
          </cell>
          <cell r="L58">
            <v>296.54181987126117</v>
          </cell>
          <cell r="M58">
            <v>806.59084157187601</v>
          </cell>
          <cell r="N58">
            <v>997.39192230143715</v>
          </cell>
          <cell r="O58">
            <v>1105.71089616122</v>
          </cell>
          <cell r="P58">
            <v>1192.985506990065</v>
          </cell>
          <cell r="Q58">
            <v>1268.4656119182575</v>
          </cell>
          <cell r="R58">
            <v>1333.0518725846941</v>
          </cell>
          <cell r="S58">
            <v>1386.4166358438388</v>
          </cell>
          <cell r="T58">
            <v>1428.5252057073035</v>
          </cell>
          <cell r="U58">
            <v>1458.0463167422679</v>
          </cell>
          <cell r="V58">
            <v>1476.5165887719231</v>
          </cell>
          <cell r="AC58">
            <v>-112.33799999999999</v>
          </cell>
          <cell r="AD58">
            <v>-57.383999999999986</v>
          </cell>
          <cell r="AE58">
            <v>-55.459000000000017</v>
          </cell>
          <cell r="AF58">
            <v>-46.815000000000005</v>
          </cell>
          <cell r="AG58">
            <v>-64.706999999999994</v>
          </cell>
          <cell r="AH58">
            <v>-59.85100000000002</v>
          </cell>
          <cell r="AI58">
            <v>-73.847999999999985</v>
          </cell>
          <cell r="AJ58">
            <v>-32.324000000000019</v>
          </cell>
          <cell r="AK58">
            <v>-36.094999999999999</v>
          </cell>
          <cell r="AL58">
            <v>-21.951999999999995</v>
          </cell>
          <cell r="AM58">
            <v>-90.412999999999997</v>
          </cell>
          <cell r="AN58">
            <v>-1.6799999999999966</v>
          </cell>
          <cell r="AO58">
            <v>7.9439999999999937</v>
          </cell>
          <cell r="AP58">
            <v>3.5320000000000333</v>
          </cell>
          <cell r="AQ58">
            <v>18.471999999999987</v>
          </cell>
          <cell r="AR58">
            <v>22.315999999999946</v>
          </cell>
          <cell r="AS58">
            <v>-19.895000000000017</v>
          </cell>
          <cell r="AT58">
            <v>59.70799999999997</v>
          </cell>
          <cell r="AU58">
            <v>-5.4749999999999863</v>
          </cell>
          <cell r="AV58">
            <v>42.228000000000051</v>
          </cell>
          <cell r="AW58">
            <v>158.88400000000001</v>
          </cell>
          <cell r="AX58">
            <v>60.561000000000021</v>
          </cell>
          <cell r="AY58">
            <v>85.74199999999999</v>
          </cell>
          <cell r="AZ58">
            <v>58.759000000000015</v>
          </cell>
          <cell r="BA58">
            <v>56.487999999999978</v>
          </cell>
          <cell r="BB58">
            <v>67.577999999999903</v>
          </cell>
          <cell r="BC58">
            <v>64.301999999999992</v>
          </cell>
          <cell r="BD58">
            <v>96.483000000000033</v>
          </cell>
          <cell r="BE58">
            <v>99.818999999999974</v>
          </cell>
          <cell r="BF58">
            <v>93.600999999999999</v>
          </cell>
          <cell r="BG58">
            <v>83.703000000000046</v>
          </cell>
          <cell r="BH58">
            <v>91.961299999999994</v>
          </cell>
          <cell r="BI58">
            <v>113.17100000000001</v>
          </cell>
          <cell r="BJ58">
            <v>-19.725999999999988</v>
          </cell>
          <cell r="BK58">
            <v>111.13551987126066</v>
          </cell>
          <cell r="BL58">
            <v>165.43731591866145</v>
          </cell>
          <cell r="BM58">
            <v>196.65267199437662</v>
          </cell>
          <cell r="BN58">
            <v>216.5251131769262</v>
          </cell>
          <cell r="BO58">
            <v>227.97574048191163</v>
          </cell>
          <cell r="BP58">
            <v>229.6279744820074</v>
          </cell>
          <cell r="BQ58">
            <v>245.20371192653238</v>
          </cell>
          <cell r="BR58">
            <v>258.60129883455858</v>
          </cell>
          <cell r="BS58">
            <v>263.95893705833851</v>
          </cell>
        </row>
        <row r="59">
          <cell r="A59" t="str">
            <v xml:space="preserve"> + Change in AOCI</v>
          </cell>
          <cell r="D59">
            <v>5.5640000000000001</v>
          </cell>
          <cell r="E59">
            <v>0</v>
          </cell>
          <cell r="F59">
            <v>-3.3</v>
          </cell>
          <cell r="G59">
            <v>19.379000000000001</v>
          </cell>
          <cell r="H59">
            <v>-19.705000000000002</v>
          </cell>
          <cell r="I59">
            <v>-16.404999999999998</v>
          </cell>
          <cell r="J59">
            <v>7.3819999999999997</v>
          </cell>
          <cell r="K59">
            <v>50.701999999999998</v>
          </cell>
          <cell r="L59">
            <v>-125.12299999999999</v>
          </cell>
          <cell r="M59">
            <v>0</v>
          </cell>
          <cell r="N59">
            <v>0</v>
          </cell>
          <cell r="O59">
            <v>0</v>
          </cell>
          <cell r="P59">
            <v>0</v>
          </cell>
          <cell r="Q59">
            <v>0</v>
          </cell>
          <cell r="R59">
            <v>0</v>
          </cell>
          <cell r="S59">
            <v>0</v>
          </cell>
          <cell r="T59">
            <v>0</v>
          </cell>
          <cell r="U59">
            <v>0</v>
          </cell>
          <cell r="V59">
            <v>0</v>
          </cell>
          <cell r="AC59">
            <v>1.3969999999999998</v>
          </cell>
          <cell r="AD59">
            <v>0.60799999999999998</v>
          </cell>
          <cell r="AE59">
            <v>0.372</v>
          </cell>
          <cell r="AF59">
            <v>0</v>
          </cell>
          <cell r="AG59">
            <v>0</v>
          </cell>
          <cell r="AH59">
            <v>0</v>
          </cell>
          <cell r="AI59">
            <v>0</v>
          </cell>
          <cell r="AJ59">
            <v>0</v>
          </cell>
          <cell r="AK59">
            <v>0</v>
          </cell>
          <cell r="AL59">
            <v>-3.661</v>
          </cell>
          <cell r="AM59">
            <v>0.36100000000000021</v>
          </cell>
          <cell r="AN59">
            <v>8.9239999999999995</v>
          </cell>
          <cell r="AO59">
            <v>4.8419999999999996</v>
          </cell>
          <cell r="AP59">
            <v>-7.3919999999999995</v>
          </cell>
          <cell r="AQ59">
            <v>13.005000000000001</v>
          </cell>
          <cell r="AR59">
            <v>-8.2240000000000002</v>
          </cell>
          <cell r="AS59">
            <v>-4.6660000000000004</v>
          </cell>
          <cell r="AT59">
            <v>-6.0419999999999998</v>
          </cell>
          <cell r="AU59">
            <v>-0.77299999999999969</v>
          </cell>
          <cell r="AV59">
            <v>-7.511000000000001</v>
          </cell>
          <cell r="AW59">
            <v>11.943000000000001</v>
          </cell>
          <cell r="AX59">
            <v>-1.833</v>
          </cell>
          <cell r="AY59">
            <v>-19.003999999999998</v>
          </cell>
          <cell r="AZ59">
            <v>0.13499999999999801</v>
          </cell>
          <cell r="BA59">
            <v>0.36400000000000077</v>
          </cell>
          <cell r="BB59">
            <v>1.1119999999999983</v>
          </cell>
          <cell r="BC59">
            <v>5.7710000000000026</v>
          </cell>
          <cell r="BD59">
            <v>40.969000000000001</v>
          </cell>
          <cell r="BE59">
            <v>-38.149000000000001</v>
          </cell>
          <cell r="BF59">
            <v>34.234000000000002</v>
          </cell>
          <cell r="BG59">
            <v>13.647999999999996</v>
          </cell>
          <cell r="BH59">
            <v>16.363</v>
          </cell>
          <cell r="BI59">
            <v>8.054000000000002</v>
          </cell>
          <cell r="BJ59">
            <v>-149.54</v>
          </cell>
          <cell r="BK59">
            <v>0</v>
          </cell>
          <cell r="BL59">
            <v>0</v>
          </cell>
          <cell r="BM59">
            <v>0</v>
          </cell>
          <cell r="BN59">
            <v>0</v>
          </cell>
          <cell r="BO59">
            <v>0</v>
          </cell>
          <cell r="BP59">
            <v>0</v>
          </cell>
          <cell r="BQ59">
            <v>0</v>
          </cell>
          <cell r="BR59">
            <v>0</v>
          </cell>
          <cell r="BS59">
            <v>0</v>
          </cell>
        </row>
        <row r="60">
          <cell r="A60" t="str">
            <v xml:space="preserve"> - Dividends</v>
          </cell>
          <cell r="B60">
            <v>0</v>
          </cell>
          <cell r="D60">
            <v>0</v>
          </cell>
          <cell r="E60">
            <v>0</v>
          </cell>
          <cell r="F60">
            <v>0</v>
          </cell>
          <cell r="G60">
            <v>0</v>
          </cell>
          <cell r="H60">
            <v>0</v>
          </cell>
          <cell r="I60">
            <v>0</v>
          </cell>
          <cell r="J60">
            <v>0</v>
          </cell>
          <cell r="K60">
            <v>0</v>
          </cell>
          <cell r="L60">
            <v>-138</v>
          </cell>
          <cell r="M60">
            <v>-331.60635125035571</v>
          </cell>
          <cell r="N60">
            <v>-360.37993819432472</v>
          </cell>
          <cell r="O60">
            <v>-622.54275831006134</v>
          </cell>
          <cell r="P60">
            <v>-948.9657441966425</v>
          </cell>
          <cell r="Q60">
            <v>-1009.0067367531593</v>
          </cell>
          <cell r="R60">
            <v>-1060.3821713741884</v>
          </cell>
          <cell r="S60">
            <v>-1102.8314148757806</v>
          </cell>
          <cell r="T60">
            <v>-1136.326868176264</v>
          </cell>
          <cell r="U60">
            <v>-1159.8095701358948</v>
          </cell>
          <cell r="V60">
            <v>-1174.5018319776661</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-138</v>
          </cell>
          <cell r="BL60">
            <v>-81.597864935298873</v>
          </cell>
          <cell r="BM60">
            <v>-83.428261813708644</v>
          </cell>
          <cell r="BN60">
            <v>-82.235885481645823</v>
          </cell>
          <cell r="BO60">
            <v>-84.344339019702403</v>
          </cell>
          <cell r="BP60">
            <v>-89.658616065233161</v>
          </cell>
          <cell r="BQ60">
            <v>-90.048407214287124</v>
          </cell>
          <cell r="BR60">
            <v>-90.705578618398846</v>
          </cell>
          <cell r="BS60">
            <v>-89.967336296405648</v>
          </cell>
          <cell r="BW60" t="str">
            <v>mstag:commonDividends</v>
          </cell>
          <cell r="BX60">
            <v>6</v>
          </cell>
          <cell r="BY60" t="str">
            <v>ISO4217:USD</v>
          </cell>
          <cell r="BZ60" t="b">
            <v>1</v>
          </cell>
          <cell r="CA60" t="b">
            <v>0</v>
          </cell>
        </row>
        <row r="61">
          <cell r="A61" t="str">
            <v xml:space="preserve"> + Net Share Issuance</v>
          </cell>
          <cell r="D61">
            <v>126.84699999999999</v>
          </cell>
          <cell r="E61">
            <v>40.555999999999997</v>
          </cell>
          <cell r="F61">
            <v>-3.5700000000000074</v>
          </cell>
          <cell r="G61">
            <v>-265.916</v>
          </cell>
          <cell r="H61">
            <v>-1518.7339999999999</v>
          </cell>
          <cell r="I61">
            <v>-631.72699999999998</v>
          </cell>
          <cell r="J61">
            <v>-147.315</v>
          </cell>
          <cell r="K61">
            <v>-292.11</v>
          </cell>
          <cell r="L61">
            <v>-362.98660060634796</v>
          </cell>
          <cell r="M61">
            <v>26.714180152987865</v>
          </cell>
          <cell r="N61">
            <v>23.511379768772713</v>
          </cell>
          <cell r="O61">
            <v>23.511379768772713</v>
          </cell>
          <cell r="P61">
            <v>2.6837848158220368</v>
          </cell>
          <cell r="Q61">
            <v>-1.0040550886433266</v>
          </cell>
          <cell r="R61">
            <v>-2.506564800477463</v>
          </cell>
          <cell r="S61">
            <v>-13.058290002823014</v>
          </cell>
          <cell r="T61">
            <v>-23.614939821587541</v>
          </cell>
          <cell r="U61">
            <v>-34.319384281797284</v>
          </cell>
          <cell r="V61">
            <v>-45.314167199158874</v>
          </cell>
          <cell r="AC61">
            <v>0</v>
          </cell>
          <cell r="AD61">
            <v>125.205</v>
          </cell>
          <cell r="AE61">
            <v>1.6419999999999959</v>
          </cell>
          <cell r="AF61">
            <v>4.2709999999999999</v>
          </cell>
          <cell r="AG61">
            <v>4.5089999999999995</v>
          </cell>
          <cell r="AH61">
            <v>14.68</v>
          </cell>
          <cell r="AI61">
            <v>17.095999999999997</v>
          </cell>
          <cell r="AJ61">
            <v>7.5</v>
          </cell>
          <cell r="AK61">
            <v>3.2669999999999995</v>
          </cell>
          <cell r="AL61">
            <v>35.269999999999996</v>
          </cell>
          <cell r="AM61">
            <v>-49.606999999999999</v>
          </cell>
          <cell r="AN61">
            <v>-146.501</v>
          </cell>
          <cell r="AO61">
            <v>-107.59599999999999</v>
          </cell>
          <cell r="AP61">
            <v>3.4179999999999993</v>
          </cell>
          <cell r="AQ61">
            <v>-15.236999999999995</v>
          </cell>
          <cell r="AR61">
            <v>-452.16800000000001</v>
          </cell>
          <cell r="AS61">
            <v>-359.20600000000002</v>
          </cell>
          <cell r="AT61">
            <v>-330.91300000000007</v>
          </cell>
          <cell r="AU61">
            <v>-376.44699999999989</v>
          </cell>
          <cell r="AV61">
            <v>-171.10599999999999</v>
          </cell>
          <cell r="AW61">
            <v>-85.083999999999975</v>
          </cell>
          <cell r="AX61">
            <v>-299.80100000000004</v>
          </cell>
          <cell r="AY61">
            <v>-75.735999999999962</v>
          </cell>
          <cell r="AZ61">
            <v>4.2370000000000001</v>
          </cell>
          <cell r="BA61">
            <v>-53.881</v>
          </cell>
          <cell r="BB61">
            <v>-104.03899999999999</v>
          </cell>
          <cell r="BC61">
            <v>6.3679999999999737</v>
          </cell>
          <cell r="BD61">
            <v>-11.366999999999997</v>
          </cell>
          <cell r="BE61">
            <v>-99.085000000000008</v>
          </cell>
          <cell r="BF61">
            <v>-117.65799999999999</v>
          </cell>
          <cell r="BG61">
            <v>-64</v>
          </cell>
          <cell r="BH61">
            <v>-117.55</v>
          </cell>
          <cell r="BI61">
            <v>-73.805000000000007</v>
          </cell>
          <cell r="BJ61">
            <v>-138.81699999999998</v>
          </cell>
          <cell r="BK61">
            <v>-32.814600606347994</v>
          </cell>
          <cell r="BL61">
            <v>7.5433924954986651</v>
          </cell>
          <cell r="BM61">
            <v>7.9618329564536907</v>
          </cell>
          <cell r="BN61">
            <v>5.3908072060085033</v>
          </cell>
          <cell r="BO61">
            <v>5.8181474950270058</v>
          </cell>
          <cell r="BP61">
            <v>6.5727865706994635</v>
          </cell>
          <cell r="BQ61">
            <v>7.104926673366208</v>
          </cell>
          <cell r="BR61">
            <v>4.6469328177408897</v>
          </cell>
          <cell r="BS61">
            <v>5.1867337069661517</v>
          </cell>
          <cell r="BW61" t="str">
            <v>mstag:netIssuanceRepurchaseOfCommonStock</v>
          </cell>
          <cell r="BX61">
            <v>6</v>
          </cell>
          <cell r="BY61" t="str">
            <v>ISO4217:USD</v>
          </cell>
          <cell r="BZ61" t="b">
            <v>0</v>
          </cell>
          <cell r="CA61" t="b">
            <v>0</v>
          </cell>
        </row>
        <row r="62">
          <cell r="A62" t="str">
            <v xml:space="preserve"> + Other</v>
          </cell>
          <cell r="D62">
            <v>59.062000000000296</v>
          </cell>
          <cell r="E62">
            <v>65.439999999999941</v>
          </cell>
          <cell r="F62">
            <v>3258.5219999999995</v>
          </cell>
          <cell r="G62">
            <v>61.363999999999351</v>
          </cell>
          <cell r="H62">
            <v>118.96100000000001</v>
          </cell>
          <cell r="I62">
            <v>269.94700000000148</v>
          </cell>
          <cell r="J62">
            <v>216.56600000000051</v>
          </cell>
          <cell r="K62">
            <v>54.163999999999646</v>
          </cell>
          <cell r="L62">
            <v>64.905400000000213</v>
          </cell>
          <cell r="M62">
            <v>89.031999999999243</v>
          </cell>
          <cell r="N62">
            <v>107.79199999999935</v>
          </cell>
          <cell r="O62">
            <v>15.748279647945992</v>
          </cell>
          <cell r="P62">
            <v>5.6843418860808015E-13</v>
          </cell>
          <cell r="Q62">
            <v>0</v>
          </cell>
          <cell r="R62">
            <v>0</v>
          </cell>
          <cell r="S62">
            <v>0</v>
          </cell>
          <cell r="T62">
            <v>6.8212102632969618E-13</v>
          </cell>
          <cell r="U62">
            <v>0</v>
          </cell>
          <cell r="V62">
            <v>0</v>
          </cell>
          <cell r="AC62">
            <v>86.606000000000179</v>
          </cell>
          <cell r="AD62">
            <v>2.9380000000001871</v>
          </cell>
          <cell r="AE62">
            <v>-93.550000000000324</v>
          </cell>
          <cell r="AF62">
            <v>-2.3100000000002652</v>
          </cell>
          <cell r="AG62">
            <v>33.643999999999451</v>
          </cell>
          <cell r="AH62">
            <v>12.822000000000315</v>
          </cell>
          <cell r="AI62">
            <v>21.284000000000596</v>
          </cell>
          <cell r="AJ62">
            <v>6.2019999999997211</v>
          </cell>
          <cell r="AK62">
            <v>6.6859999999997228</v>
          </cell>
          <cell r="AL62">
            <v>3202.5679999999998</v>
          </cell>
          <cell r="AM62">
            <v>43.066000000000145</v>
          </cell>
          <cell r="AN62">
            <v>25.510999999999001</v>
          </cell>
          <cell r="AO62">
            <v>41.390000000001749</v>
          </cell>
          <cell r="AP62">
            <v>9.8999999999986859</v>
          </cell>
          <cell r="AQ62">
            <v>-15.437000000000111</v>
          </cell>
          <cell r="AR62">
            <v>46.678000000000395</v>
          </cell>
          <cell r="AS62">
            <v>27.012000000000398</v>
          </cell>
          <cell r="AT62">
            <v>16.188999999999623</v>
          </cell>
          <cell r="AU62">
            <v>29.081999999999596</v>
          </cell>
          <cell r="AV62">
            <v>27.564000000001499</v>
          </cell>
          <cell r="AW62">
            <v>25.490999999998508</v>
          </cell>
          <cell r="AX62">
            <v>56.614000000000658</v>
          </cell>
          <cell r="AY62">
            <v>160.27800000000062</v>
          </cell>
          <cell r="AZ62">
            <v>24.466999999999487</v>
          </cell>
          <cell r="BA62">
            <v>5.8899999999999011</v>
          </cell>
          <cell r="BB62">
            <v>179.3829999999993</v>
          </cell>
          <cell r="BC62">
            <v>6.826000000002125</v>
          </cell>
          <cell r="BD62">
            <v>13.742999999997664</v>
          </cell>
          <cell r="BE62">
            <v>9.5039999999999765</v>
          </cell>
          <cell r="BF62">
            <v>13.424000000002366</v>
          </cell>
          <cell r="BG62">
            <v>17.492999999999554</v>
          </cell>
          <cell r="BH62">
            <v>6.9756999999995486</v>
          </cell>
          <cell r="BI62">
            <v>15.248999999998958</v>
          </cell>
          <cell r="BJ62">
            <v>9.5100000000023783</v>
          </cell>
          <cell r="BK62">
            <v>33.170699999999854</v>
          </cell>
          <cell r="BL62">
            <v>19.358000000000033</v>
          </cell>
          <cell r="BM62">
            <v>21.446999999999434</v>
          </cell>
          <cell r="BN62">
            <v>22.177000000000021</v>
          </cell>
          <cell r="BO62">
            <v>26.049999999999898</v>
          </cell>
          <cell r="BP62">
            <v>25.517999999999745</v>
          </cell>
          <cell r="BQ62">
            <v>26.287000000000205</v>
          </cell>
          <cell r="BR62">
            <v>26.176999999999992</v>
          </cell>
          <cell r="BS62">
            <v>29.809999999999746</v>
          </cell>
          <cell r="BW62" t="str">
            <v>mstag:netIssuanceRepurchaseOfCommonStock</v>
          </cell>
          <cell r="BX62">
            <v>6</v>
          </cell>
          <cell r="BY62" t="str">
            <v>ISO4217:USD</v>
          </cell>
          <cell r="BZ62" t="b">
            <v>0</v>
          </cell>
          <cell r="CA62" t="b">
            <v>0</v>
          </cell>
        </row>
        <row r="63">
          <cell r="A63" t="str">
            <v>Shareholders' Equity (end of period)</v>
          </cell>
          <cell r="C63">
            <v>1740.3230000000001</v>
          </cell>
          <cell r="D63">
            <v>1610.1780000000003</v>
          </cell>
          <cell r="E63">
            <v>1470.9530000000004</v>
          </cell>
          <cell r="F63">
            <v>4541.8209999999999</v>
          </cell>
          <cell r="G63">
            <v>4384.9159999999993</v>
          </cell>
          <cell r="H63">
            <v>3022.0919999999987</v>
          </cell>
          <cell r="I63">
            <v>2991.3220000000001</v>
          </cell>
          <cell r="J63">
            <v>3315.0820000000008</v>
          </cell>
          <cell r="K63">
            <v>3501.4440000000009</v>
          </cell>
          <cell r="L63">
            <v>3236.7816192649138</v>
          </cell>
          <cell r="M63">
            <v>3827.5122897394212</v>
          </cell>
          <cell r="N63">
            <v>4595.8276536153062</v>
          </cell>
          <cell r="O63">
            <v>5118.2554508831836</v>
          </cell>
          <cell r="P63">
            <v>5364.9589984924287</v>
          </cell>
          <cell r="Q63">
            <v>5623.4138185688835</v>
          </cell>
          <cell r="R63">
            <v>5893.576954978912</v>
          </cell>
          <cell r="S63">
            <v>6164.1038859441469</v>
          </cell>
          <cell r="T63">
            <v>6432.6872836535995</v>
          </cell>
          <cell r="U63">
            <v>6696.6046459781746</v>
          </cell>
          <cell r="V63">
            <v>6953.3052355732725</v>
          </cell>
          <cell r="AC63">
            <v>1685.8060000000005</v>
          </cell>
          <cell r="AD63">
            <v>1757.1730000000005</v>
          </cell>
          <cell r="AE63">
            <v>1610.1780000000001</v>
          </cell>
          <cell r="AF63">
            <v>1565.3239999999998</v>
          </cell>
          <cell r="AG63">
            <v>1538.7699999999993</v>
          </cell>
          <cell r="AH63">
            <v>1506.4209999999996</v>
          </cell>
          <cell r="AI63">
            <v>1470.9530000000002</v>
          </cell>
          <cell r="AJ63">
            <v>1452.3309999999999</v>
          </cell>
          <cell r="AK63">
            <v>1426.1889999999996</v>
          </cell>
          <cell r="AL63">
            <v>4638.4139999999989</v>
          </cell>
          <cell r="AM63">
            <v>4541.820999999999</v>
          </cell>
          <cell r="AN63">
            <v>4428.0749999999971</v>
          </cell>
          <cell r="AO63">
            <v>4374.6549999999997</v>
          </cell>
          <cell r="AP63">
            <v>4384.1129999999985</v>
          </cell>
          <cell r="AQ63">
            <v>4384.9159999999983</v>
          </cell>
          <cell r="AR63">
            <v>3993.5179999999982</v>
          </cell>
          <cell r="AS63">
            <v>3636.7629999999981</v>
          </cell>
          <cell r="AT63">
            <v>3375.7049999999981</v>
          </cell>
          <cell r="AU63">
            <v>3022.0919999999978</v>
          </cell>
          <cell r="AV63">
            <v>2913.2669999999994</v>
          </cell>
          <cell r="AW63">
            <v>3024.5009999999984</v>
          </cell>
          <cell r="AX63">
            <v>2840.041999999999</v>
          </cell>
          <cell r="AY63">
            <v>2991.3220000000001</v>
          </cell>
          <cell r="AZ63">
            <v>3078.92</v>
          </cell>
          <cell r="BA63">
            <v>3087.7809999999999</v>
          </cell>
          <cell r="BB63">
            <v>3231.8149999999991</v>
          </cell>
          <cell r="BC63">
            <v>3315.0820000000017</v>
          </cell>
          <cell r="BD63">
            <v>3454.9099999999994</v>
          </cell>
          <cell r="BE63">
            <v>3426.9989999999993</v>
          </cell>
          <cell r="BF63">
            <v>3450.6000000000017</v>
          </cell>
          <cell r="BG63">
            <v>3501.4440000000013</v>
          </cell>
          <cell r="BH63">
            <v>3499.1940000000004</v>
          </cell>
          <cell r="BI63">
            <v>3561.8629999999994</v>
          </cell>
          <cell r="BJ63">
            <v>3263.2900000000018</v>
          </cell>
          <cell r="BK63">
            <v>3236.7816192649143</v>
          </cell>
          <cell r="BL63">
            <v>3347.522462743776</v>
          </cell>
          <cell r="BM63">
            <v>3490.1557058808976</v>
          </cell>
          <cell r="BN63">
            <v>3652.0127407821869</v>
          </cell>
          <cell r="BO63">
            <v>3827.5122897394226</v>
          </cell>
          <cell r="BP63">
            <v>3999.5724347268956</v>
          </cell>
          <cell r="BQ63">
            <v>4188.1196661125077</v>
          </cell>
          <cell r="BR63">
            <v>4386.8393191464074</v>
          </cell>
          <cell r="BS63">
            <v>4595.8276536153053</v>
          </cell>
        </row>
        <row r="64">
          <cell r="A64" t="str">
            <v>CHECK</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row>
        <row r="67">
          <cell r="A67" t="str">
            <v>Net Operating Assets (EOP)</v>
          </cell>
          <cell r="J67">
            <v>7224.8010000000022</v>
          </cell>
          <cell r="K67">
            <v>8085.5830000000024</v>
          </cell>
          <cell r="L67">
            <v>9884.778861136745</v>
          </cell>
          <cell r="M67">
            <v>10050.082166980701</v>
          </cell>
          <cell r="N67">
            <v>9854.2211358113491</v>
          </cell>
          <cell r="O67">
            <v>9670.2918779366883</v>
          </cell>
          <cell r="P67">
            <v>9503.3216958167795</v>
          </cell>
          <cell r="Q67">
            <v>9324.695321316678</v>
          </cell>
          <cell r="R67">
            <v>9146.9453126410281</v>
          </cell>
          <cell r="S67">
            <v>8947.656964837639</v>
          </cell>
          <cell r="T67">
            <v>8741.7461220323203</v>
          </cell>
          <cell r="U67">
            <v>8502.34908320656</v>
          </cell>
          <cell r="V67">
            <v>8249.5894156655468</v>
          </cell>
          <cell r="AY67">
            <v>7130.6539999999995</v>
          </cell>
          <cell r="AZ67">
            <v>7049.1209999999992</v>
          </cell>
          <cell r="BA67">
            <v>7151.9049999999997</v>
          </cell>
          <cell r="BB67">
            <v>7137.5929999999989</v>
          </cell>
          <cell r="BC67">
            <v>7224.8010000000022</v>
          </cell>
          <cell r="BD67">
            <v>7266.1549999999988</v>
          </cell>
          <cell r="BE67">
            <v>7200.3110000000006</v>
          </cell>
          <cell r="BF67">
            <v>7774.8530000000019</v>
          </cell>
          <cell r="BG67">
            <v>8085.5830000000024</v>
          </cell>
          <cell r="BH67">
            <v>8621.9040000000005</v>
          </cell>
          <cell r="BI67">
            <v>8917.5260000000017</v>
          </cell>
          <cell r="BJ67">
            <v>8946.85</v>
          </cell>
          <cell r="BK67">
            <v>9884.778861136745</v>
          </cell>
          <cell r="BL67">
            <v>9968.9520603704223</v>
          </cell>
          <cell r="BM67">
            <v>10010.873196906883</v>
          </cell>
          <cell r="BN67">
            <v>10028.173183153831</v>
          </cell>
          <cell r="BO67">
            <v>10050.082166980701</v>
          </cell>
          <cell r="BP67">
            <v>10014.571279277834</v>
          </cell>
          <cell r="BQ67">
            <v>9958.2958237303883</v>
          </cell>
          <cell r="BR67">
            <v>9904.3252236352091</v>
          </cell>
          <cell r="BS67">
            <v>9854.2211358113491</v>
          </cell>
        </row>
        <row r="68">
          <cell r="A68" t="str">
            <v>Annualized Net Operating Asset Turnover</v>
          </cell>
          <cell r="J68">
            <v>0.22056026179821414</v>
          </cell>
          <cell r="K68">
            <v>0.21323310885560132</v>
          </cell>
          <cell r="L68">
            <v>0.20084768995749566</v>
          </cell>
          <cell r="M68">
            <v>0.24303129069837573</v>
          </cell>
          <cell r="N68">
            <v>0.29545349042194025</v>
          </cell>
          <cell r="O68">
            <v>0.3337726183000434</v>
          </cell>
          <cell r="P68">
            <v>0.35656381617276794</v>
          </cell>
          <cell r="Q68">
            <v>0.37821170687041467</v>
          </cell>
          <cell r="R68">
            <v>0.40009822142207391</v>
          </cell>
          <cell r="S68">
            <v>0.42225907787171468</v>
          </cell>
          <cell r="T68">
            <v>0.44398472626805241</v>
          </cell>
          <cell r="U68">
            <v>0.46673359291345162</v>
          </cell>
          <cell r="V68">
            <v>0.48938753636930737</v>
          </cell>
          <cell r="AZ68">
            <v>0.22925134216300497</v>
          </cell>
          <cell r="BA68">
            <v>0.24023307303137512</v>
          </cell>
          <cell r="BB68">
            <v>0.24838417176961941</v>
          </cell>
          <cell r="BC68">
            <v>0.25104989875438405</v>
          </cell>
          <cell r="BD68">
            <v>0.25159668757658504</v>
          </cell>
          <cell r="BE68">
            <v>0.25869913317290927</v>
          </cell>
          <cell r="BF68">
            <v>0.28516657127726841</v>
          </cell>
          <cell r="BG68">
            <v>0.28175040737104606</v>
          </cell>
          <cell r="BH68">
            <v>0.27836953748418625</v>
          </cell>
          <cell r="BI68">
            <v>0.27707800968324398</v>
          </cell>
          <cell r="BJ68">
            <v>0.28277035581393312</v>
          </cell>
          <cell r="BK68">
            <v>0.29156694955925194</v>
          </cell>
          <cell r="BL68">
            <v>0.26887857376679142</v>
          </cell>
          <cell r="BM68">
            <v>0.28829773028199551</v>
          </cell>
          <cell r="BN68">
            <v>0.30035209341491481</v>
          </cell>
          <cell r="BO68">
            <v>0.30985084192608903</v>
          </cell>
          <cell r="BP68">
            <v>0.30759181139806424</v>
          </cell>
          <cell r="BQ68">
            <v>0.31919840674532096</v>
          </cell>
          <cell r="BR68">
            <v>0.32965170331314408</v>
          </cell>
          <cell r="BS68">
            <v>0.33722511412641204</v>
          </cell>
        </row>
        <row r="69">
          <cell r="A69" t="str">
            <v>Tangible Net Operating Assets (EOP)</v>
          </cell>
          <cell r="J69">
            <v>3388.318000000002</v>
          </cell>
          <cell r="K69">
            <v>3609.9360000000024</v>
          </cell>
          <cell r="L69">
            <v>5036.5527111367446</v>
          </cell>
          <cell r="M69">
            <v>5366.0730169807011</v>
          </cell>
          <cell r="N69">
            <v>5334.4289858113498</v>
          </cell>
          <cell r="O69">
            <v>5295.544727936689</v>
          </cell>
          <cell r="P69">
            <v>5258.1645458167804</v>
          </cell>
          <cell r="Q69">
            <v>5198.3290046500124</v>
          </cell>
          <cell r="R69">
            <v>5129.4705931965846</v>
          </cell>
          <cell r="S69">
            <v>5029.9995428468992</v>
          </cell>
          <cell r="T69">
            <v>4915.5878893741428</v>
          </cell>
          <cell r="U69">
            <v>4760.0651074365633</v>
          </cell>
          <cell r="V69">
            <v>4584.1901753763832</v>
          </cell>
          <cell r="AZ69">
            <v>3330.0189999999993</v>
          </cell>
          <cell r="BA69">
            <v>3371.1779999999999</v>
          </cell>
          <cell r="BB69">
            <v>3365.7729999999988</v>
          </cell>
          <cell r="BC69">
            <v>3388.318000000002</v>
          </cell>
          <cell r="BD69">
            <v>3364.3769999999986</v>
          </cell>
          <cell r="BE69">
            <v>3347.8760000000002</v>
          </cell>
          <cell r="BF69">
            <v>3538.0360000000019</v>
          </cell>
          <cell r="BG69">
            <v>3609.9360000000024</v>
          </cell>
          <cell r="BH69">
            <v>3511.6040000000012</v>
          </cell>
          <cell r="BI69">
            <v>3791.7000000000016</v>
          </cell>
          <cell r="BJ69">
            <v>4064.8320000000003</v>
          </cell>
          <cell r="BK69">
            <v>5036.5527111367446</v>
          </cell>
          <cell r="BL69">
            <v>5161.780160370422</v>
          </cell>
          <cell r="BM69">
            <v>5244.755546906883</v>
          </cell>
          <cell r="BN69">
            <v>5303.1097831538309</v>
          </cell>
          <cell r="BO69">
            <v>5366.0730169807011</v>
          </cell>
          <cell r="BP69">
            <v>5371.6163792778343</v>
          </cell>
          <cell r="BQ69">
            <v>5356.3951737303887</v>
          </cell>
          <cell r="BR69">
            <v>5343.4788236352097</v>
          </cell>
          <cell r="BS69">
            <v>5334.4289858113498</v>
          </cell>
        </row>
        <row r="70">
          <cell r="A70" t="str">
            <v>Annualized Tangible Net Operating Asset Turnover</v>
          </cell>
          <cell r="J70">
            <v>0.47029352026580706</v>
          </cell>
          <cell r="K70">
            <v>0.47760237300605851</v>
          </cell>
          <cell r="L70">
            <v>0.39418529177904943</v>
          </cell>
          <cell r="M70">
            <v>0.45517167450702112</v>
          </cell>
          <cell r="N70">
            <v>0.54578738187519338</v>
          </cell>
          <cell r="O70">
            <v>0.60950833307042573</v>
          </cell>
          <cell r="P70">
            <v>0.64443412157455227</v>
          </cell>
          <cell r="Q70">
            <v>0.67843126711815216</v>
          </cell>
          <cell r="R70">
            <v>0.71346086979943346</v>
          </cell>
          <cell r="S70">
            <v>0.75113910983505761</v>
          </cell>
          <cell r="T70">
            <v>0.78957020939147249</v>
          </cell>
          <cell r="U70">
            <v>0.83367177680190474</v>
          </cell>
          <cell r="V70">
            <v>0.88068908263811274</v>
          </cell>
          <cell r="AZ70">
            <v>0.49047648076482459</v>
          </cell>
          <cell r="BA70">
            <v>0.48490824275668626</v>
          </cell>
          <cell r="BB70">
            <v>0.50313315841561523</v>
          </cell>
          <cell r="BC70">
            <v>0.52427782752386254</v>
          </cell>
          <cell r="BD70">
            <v>0.53260737426275384</v>
          </cell>
          <cell r="BE70">
            <v>0.54295200897524276</v>
          </cell>
          <cell r="BF70">
            <v>0.53129702467696738</v>
          </cell>
          <cell r="BG70">
            <v>0.56878792310999382</v>
          </cell>
          <cell r="BH70">
            <v>0.62380837930472788</v>
          </cell>
          <cell r="BI70">
            <v>0.59360708916844651</v>
          </cell>
          <cell r="BJ70">
            <v>0.5877094059483885</v>
          </cell>
          <cell r="BK70">
            <v>0.50066228720772687</v>
          </cell>
          <cell r="BL70">
            <v>0.50536940389127172</v>
          </cell>
          <cell r="BM70">
            <v>0.50675483698187396</v>
          </cell>
          <cell r="BN70">
            <v>0.54195111355692005</v>
          </cell>
          <cell r="BO70">
            <v>0.56033280055776336</v>
          </cell>
          <cell r="BP70">
            <v>0.5784549164321714</v>
          </cell>
          <cell r="BQ70">
            <v>0.57712750425918757</v>
          </cell>
          <cell r="BR70">
            <v>0.59823109664880081</v>
          </cell>
          <cell r="BS70">
            <v>0.61539279820211035</v>
          </cell>
        </row>
        <row r="71">
          <cell r="A71" t="str">
            <v>NOPAT</v>
          </cell>
          <cell r="J71">
            <v>498.09890000000013</v>
          </cell>
          <cell r="K71">
            <v>576.5643</v>
          </cell>
          <cell r="L71">
            <v>673.66750683674093</v>
          </cell>
          <cell r="M71">
            <v>848.20534588033104</v>
          </cell>
          <cell r="N71">
            <v>984.88302542374333</v>
          </cell>
          <cell r="O71">
            <v>1083.069191869592</v>
          </cell>
          <cell r="P71">
            <v>1142.9819984361079</v>
          </cell>
          <cell r="Q71">
            <v>1196.087984350833</v>
          </cell>
          <cell r="R71">
            <v>1240.9979933128839</v>
          </cell>
          <cell r="S71">
            <v>1277.55193377925</v>
          </cell>
          <cell r="T71">
            <v>1305.6524185411499</v>
          </cell>
          <cell r="U71">
            <v>1324.4255203187968</v>
          </cell>
          <cell r="V71">
            <v>1334.8521912201381</v>
          </cell>
          <cell r="AZ71">
            <v>117.85215000000002</v>
          </cell>
          <cell r="BA71">
            <v>120.17329999999998</v>
          </cell>
          <cell r="BB71">
            <v>129.1147</v>
          </cell>
          <cell r="BC71">
            <v>130.95875000000001</v>
          </cell>
          <cell r="BD71">
            <v>130.43355</v>
          </cell>
          <cell r="BE71">
            <v>136.86789999999999</v>
          </cell>
          <cell r="BF71">
            <v>152.49584999999999</v>
          </cell>
          <cell r="BG71">
            <v>156.76700000000005</v>
          </cell>
          <cell r="BH71">
            <v>159.80965</v>
          </cell>
          <cell r="BI71">
            <v>162.8614</v>
          </cell>
          <cell r="BJ71">
            <v>166.89140000000003</v>
          </cell>
          <cell r="BK71">
            <v>184.10505683674074</v>
          </cell>
          <cell r="BL71">
            <v>185.7346334536206</v>
          </cell>
          <cell r="BM71">
            <v>208.3142997580253</v>
          </cell>
          <cell r="BN71">
            <v>221.97987748440647</v>
          </cell>
          <cell r="BO71">
            <v>232.17653518427846</v>
          </cell>
          <cell r="BP71">
            <v>232.46585040163677</v>
          </cell>
          <cell r="BQ71">
            <v>243.19954050210063</v>
          </cell>
          <cell r="BR71">
            <v>251.84852328032295</v>
          </cell>
          <cell r="BS71">
            <v>257.36911123968281</v>
          </cell>
        </row>
        <row r="72">
          <cell r="A72" t="str">
            <v>NOPAT Margin</v>
          </cell>
          <cell r="J72">
            <v>0.28890137195104276</v>
          </cell>
          <cell r="K72">
            <v>0.2904115930057144</v>
          </cell>
          <cell r="L72">
            <v>0.27581240462397233</v>
          </cell>
          <cell r="M72">
            <v>0.29133292980799519</v>
          </cell>
          <cell r="N72">
            <v>0.3051366431812037</v>
          </cell>
          <cell r="O72">
            <v>0.31962703230747225</v>
          </cell>
          <cell r="P72">
            <v>0.3240930907486978</v>
          </cell>
          <cell r="Q72">
            <v>0.32682887891098816</v>
          </cell>
          <cell r="R72">
            <v>0.32846020418524763</v>
          </cell>
          <cell r="S72">
            <v>0.32916400977748589</v>
          </cell>
          <cell r="T72">
            <v>0.32901794498570502</v>
          </cell>
          <cell r="U72">
            <v>0.32805170691203112</v>
          </cell>
          <cell r="V72">
            <v>0.32637804105209683</v>
          </cell>
          <cell r="AZ72">
            <v>0.28837409892384719</v>
          </cell>
          <cell r="BA72">
            <v>0.28385739728551251</v>
          </cell>
          <cell r="BB72">
            <v>0.29073012012924876</v>
          </cell>
          <cell r="BC72">
            <v>0.29233625687262405</v>
          </cell>
          <cell r="BD72">
            <v>0.28702418833097876</v>
          </cell>
          <cell r="BE72">
            <v>0.29124733740905695</v>
          </cell>
          <cell r="BF72">
            <v>0.29707639649187056</v>
          </cell>
          <cell r="BG72">
            <v>0.28625817596166847</v>
          </cell>
          <cell r="BH72">
            <v>0.28400758848043794</v>
          </cell>
          <cell r="BI72">
            <v>0.27269232379214214</v>
          </cell>
          <cell r="BJ72">
            <v>0.26473763608358469</v>
          </cell>
          <cell r="BK72">
            <v>0.28230414801922776</v>
          </cell>
          <cell r="BL72">
            <v>0.27953084071893275</v>
          </cell>
          <cell r="BM72">
            <v>0.28992678767870428</v>
          </cell>
          <cell r="BN72">
            <v>0.29530511876960647</v>
          </cell>
          <cell r="BO72">
            <v>0.29888478754944303</v>
          </cell>
          <cell r="BP72">
            <v>0.30079788106627992</v>
          </cell>
          <cell r="BQ72">
            <v>0.30431941782042621</v>
          </cell>
          <cell r="BR72">
            <v>0.30687326393199271</v>
          </cell>
          <cell r="BS72">
            <v>0.30822766139975549</v>
          </cell>
        </row>
        <row r="73">
          <cell r="A73" t="str">
            <v>NOPAT (Before Amortization of Intangibles)</v>
          </cell>
        </row>
        <row r="74">
          <cell r="A74" t="str">
            <v>NOPAT (Before Amortization of Intangibles) Margin</v>
          </cell>
        </row>
        <row r="75">
          <cell r="A75" t="str">
            <v>Net Income</v>
          </cell>
          <cell r="J75">
            <v>273.43455000000012</v>
          </cell>
          <cell r="K75">
            <v>360.74624999999997</v>
          </cell>
          <cell r="L75">
            <v>351.93645819386609</v>
          </cell>
          <cell r="M75">
            <v>594.98132616104476</v>
          </cell>
          <cell r="N75">
            <v>735.91394260901598</v>
          </cell>
          <cell r="O75">
            <v>815.92227557362844</v>
          </cell>
          <cell r="P75">
            <v>880.38647675402524</v>
          </cell>
          <cell r="Q75">
            <v>936.13882698507655</v>
          </cell>
          <cell r="R75">
            <v>983.84458770460367</v>
          </cell>
          <cell r="S75">
            <v>1023.2617423846534</v>
          </cell>
          <cell r="T75">
            <v>1054.3646633065309</v>
          </cell>
          <cell r="U75">
            <v>1076.1700294119023</v>
          </cell>
          <cell r="V75">
            <v>1089.8128439792615</v>
          </cell>
          <cell r="AZ75">
            <v>60.15290000000001</v>
          </cell>
          <cell r="BA75">
            <v>66.652849999999987</v>
          </cell>
          <cell r="BB75">
            <v>77.079549999999941</v>
          </cell>
          <cell r="BC75">
            <v>69.549250000000001</v>
          </cell>
          <cell r="BD75">
            <v>80.973850000000013</v>
          </cell>
          <cell r="BE75">
            <v>84.454549999999983</v>
          </cell>
          <cell r="BF75">
            <v>106.59594999999999</v>
          </cell>
          <cell r="BG75">
            <v>88.721900000000034</v>
          </cell>
          <cell r="BH75">
            <v>106.080145</v>
          </cell>
          <cell r="BI75">
            <v>118.41405000000002</v>
          </cell>
          <cell r="BJ75">
            <v>7.2444500000000094</v>
          </cell>
          <cell r="BK75">
            <v>120.19781319386571</v>
          </cell>
          <cell r="BL75">
            <v>121.99901743992041</v>
          </cell>
          <cell r="BM75">
            <v>145.05581454130089</v>
          </cell>
          <cell r="BN75">
            <v>159.73432223295683</v>
          </cell>
          <cell r="BO75">
            <v>168.19217194686652</v>
          </cell>
          <cell r="BP75">
            <v>169.41257206057364</v>
          </cell>
          <cell r="BQ75">
            <v>180.91737812755233</v>
          </cell>
          <cell r="BR75">
            <v>190.81332300279894</v>
          </cell>
          <cell r="BS75">
            <v>194.77066941809096</v>
          </cell>
        </row>
        <row r="76">
          <cell r="A76" t="str">
            <v>Return on Net Operating Assets</v>
          </cell>
          <cell r="J76">
            <v>6.3720162231385227E-2</v>
          </cell>
          <cell r="K76">
            <v>6.1925366824316083E-2</v>
          </cell>
          <cell r="L76">
            <v>5.5396284330346934E-2</v>
          </cell>
          <cell r="M76">
            <v>7.0803017954176373E-2</v>
          </cell>
          <cell r="N76">
            <v>9.0153686283520773E-2</v>
          </cell>
          <cell r="O76">
            <v>0.10668275145273758</v>
          </cell>
          <cell r="P76">
            <v>0.11555986923258288</v>
          </cell>
          <cell r="Q76">
            <v>0.12361050814746891</v>
          </cell>
          <cell r="R76">
            <v>0.13141634350244882</v>
          </cell>
          <cell r="S76">
            <v>0.13899249123719726</v>
          </cell>
          <cell r="T76">
            <v>0.14607894224175538</v>
          </cell>
          <cell r="U76">
            <v>0.15311275182844286</v>
          </cell>
          <cell r="V76">
            <v>0.15972534543552633</v>
          </cell>
          <cell r="AZ76">
            <v>6.6110149223339132E-2</v>
          </cell>
          <cell r="BA76">
            <v>6.8191934852586594E-2</v>
          </cell>
          <cell r="BB76">
            <v>7.2212760096785414E-2</v>
          </cell>
          <cell r="BC76">
            <v>7.3390987690107878E-2</v>
          </cell>
          <cell r="BD76">
            <v>7.2214335038432165E-2</v>
          </cell>
          <cell r="BE76">
            <v>7.5345433726640862E-2</v>
          </cell>
          <cell r="BF76">
            <v>8.4716257394993055E-2</v>
          </cell>
          <cell r="BG76">
            <v>8.0653357690492672E-2</v>
          </cell>
          <cell r="BH76">
            <v>7.9059061047298609E-2</v>
          </cell>
          <cell r="BI76">
            <v>7.5557046332225458E-2</v>
          </cell>
          <cell r="BJ76">
            <v>7.4859955552694785E-2</v>
          </cell>
          <cell r="BK76">
            <v>8.2310559285889776E-2</v>
          </cell>
          <cell r="BL76">
            <v>7.5159853776338784E-2</v>
          </cell>
          <cell r="BM76">
            <v>8.3585234835720459E-2</v>
          </cell>
          <cell r="BN76">
            <v>8.869551061859135E-2</v>
          </cell>
          <cell r="BO76">
            <v>9.2609703061095172E-2</v>
          </cell>
          <cell r="BP76">
            <v>9.2522965101876534E-2</v>
          </cell>
          <cell r="BQ76">
            <v>9.7138273309943679E-2</v>
          </cell>
          <cell r="BR76">
            <v>0.10116129415644542</v>
          </cell>
          <cell r="BS76">
            <v>0.10394210829244964</v>
          </cell>
        </row>
        <row r="77">
          <cell r="A77" t="str">
            <v>Return on Average Net Operating Assets</v>
          </cell>
          <cell r="J77">
            <v>6.8942923133799808E-2</v>
          </cell>
          <cell r="K77">
            <v>7.5316765405753355E-2</v>
          </cell>
          <cell r="L77">
            <v>7.4975396938849054E-2</v>
          </cell>
          <cell r="M77">
            <v>8.5097693400918731E-2</v>
          </cell>
          <cell r="N77">
            <v>9.8961818501388119E-2</v>
          </cell>
          <cell r="O77">
            <v>0.11094455376243771</v>
          </cell>
          <cell r="P77">
            <v>0.11922447420143299</v>
          </cell>
          <cell r="Q77">
            <v>0.1270540581371257</v>
          </cell>
          <cell r="R77">
            <v>0.1343679230129099</v>
          </cell>
          <cell r="S77">
            <v>0.14120807014027018</v>
          </cell>
          <cell r="T77">
            <v>0.14761972601667678</v>
          </cell>
          <cell r="U77">
            <v>0.15360916354908857</v>
          </cell>
          <cell r="V77">
            <v>0.15936689253127481</v>
          </cell>
          <cell r="AZ77">
            <v>6.6490279288634713E-2</v>
          </cell>
          <cell r="BA77">
            <v>6.7698376159581714E-2</v>
          </cell>
          <cell r="BB77">
            <v>7.2285086571970553E-2</v>
          </cell>
          <cell r="BC77">
            <v>7.294535994486713E-2</v>
          </cell>
          <cell r="BD77">
            <v>7.2008251215447738E-2</v>
          </cell>
          <cell r="BE77">
            <v>7.5688367843259025E-2</v>
          </cell>
          <cell r="BF77">
            <v>8.1466005981637307E-2</v>
          </cell>
          <cell r="BG77">
            <v>7.907323606992897E-2</v>
          </cell>
          <cell r="BH77">
            <v>7.6521214710506741E-2</v>
          </cell>
          <cell r="BI77">
            <v>7.4283554254613762E-2</v>
          </cell>
          <cell r="BJ77">
            <v>7.4737074499551512E-2</v>
          </cell>
          <cell r="BK77">
            <v>7.8210996274117303E-2</v>
          </cell>
          <cell r="BL77">
            <v>7.4841201057043782E-2</v>
          </cell>
          <cell r="BM77">
            <v>8.3409858525024055E-2</v>
          </cell>
          <cell r="BN77">
            <v>8.8618938555990887E-2</v>
          </cell>
          <cell r="BO77">
            <v>9.2508649236886134E-2</v>
          </cell>
          <cell r="BP77">
            <v>9.2686714385285252E-2</v>
          </cell>
          <cell r="BQ77">
            <v>9.7411969647751187E-2</v>
          </cell>
          <cell r="BR77">
            <v>0.10143616904526342</v>
          </cell>
          <cell r="BS77">
            <v>0.10420568661586167</v>
          </cell>
        </row>
        <row r="78">
          <cell r="A78" t="str">
            <v>Return on Tangible Net Operating Assets</v>
          </cell>
        </row>
        <row r="79">
          <cell r="A79" t="str">
            <v>Annualized Return on Equity</v>
          </cell>
          <cell r="J79">
            <v>9.1409266538339931E-2</v>
          </cell>
          <cell r="K79">
            <v>0.10881970642053494</v>
          </cell>
          <cell r="L79">
            <v>0.10051180547050474</v>
          </cell>
          <cell r="M79">
            <v>0.18381880403045767</v>
          </cell>
          <cell r="N79">
            <v>0.19226951787504704</v>
          </cell>
          <cell r="O79">
            <v>0.17753543802535404</v>
          </cell>
          <cell r="P79">
            <v>0.17200909278611906</v>
          </cell>
          <cell r="Q79">
            <v>0.17449132924373414</v>
          </cell>
          <cell r="R79">
            <v>0.1749550396692991</v>
          </cell>
          <cell r="S79">
            <v>0.17362320882570281</v>
          </cell>
          <cell r="T79">
            <v>0.17104913914750408</v>
          </cell>
          <cell r="U79">
            <v>0.16729711580207046</v>
          </cell>
          <cell r="V79">
            <v>0.16274110561891655</v>
          </cell>
          <cell r="AZ79">
            <v>8.0436542772727243E-2</v>
          </cell>
          <cell r="BA79">
            <v>8.6592506463305297E-2</v>
          </cell>
          <cell r="BB79">
            <v>9.9851058089935704E-2</v>
          </cell>
          <cell r="BC79">
            <v>8.6080731725052359E-2</v>
          </cell>
          <cell r="BD79">
            <v>9.7703586215966878E-2</v>
          </cell>
          <cell r="BE79">
            <v>9.777916067278164E-2</v>
          </cell>
          <cell r="BF79">
            <v>0.12441900333206986</v>
          </cell>
          <cell r="BG79">
            <v>0.10284808439112039</v>
          </cell>
          <cell r="BH79">
            <v>0.12118445418518757</v>
          </cell>
          <cell r="BI79">
            <v>0.1353615146802378</v>
          </cell>
          <cell r="BJ79">
            <v>8.1355739959678517E-3</v>
          </cell>
          <cell r="BK79">
            <v>0.14733329026089087</v>
          </cell>
          <cell r="BL79">
            <v>0.15076583074223815</v>
          </cell>
          <cell r="BM79">
            <v>0.1733291604829523</v>
          </cell>
          <cell r="BN79">
            <v>0.18306841951355374</v>
          </cell>
          <cell r="BO79">
            <v>0.18421860369615603</v>
          </cell>
          <cell r="BP79">
            <v>0.17704718808059769</v>
          </cell>
          <cell r="BQ79">
            <v>0.18093671869193789</v>
          </cell>
          <cell r="BR79">
            <v>0.18224247463293286</v>
          </cell>
          <cell r="BS79">
            <v>0.17759544423522627</v>
          </cell>
        </row>
        <row r="80">
          <cell r="A80" t="str">
            <v>Unrecorded Goodwill</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W80" t="str">
            <v>mstag:unrecordedGoodwillFromPoolingAndAmortizedOrWrittenOffGoodwill</v>
          </cell>
          <cell r="BX80">
            <v>6</v>
          </cell>
          <cell r="BY80" t="str">
            <v>ISO4217:USD</v>
          </cell>
          <cell r="BZ80" t="b">
            <v>0</v>
          </cell>
          <cell r="CA80" t="b">
            <v>0</v>
          </cell>
        </row>
        <row r="83">
          <cell r="A83" t="str">
            <v>Sales</v>
          </cell>
          <cell r="C83">
            <v>704.82399999999996</v>
          </cell>
          <cell r="D83">
            <v>689.77</v>
          </cell>
          <cell r="E83">
            <v>706.66000000000008</v>
          </cell>
          <cell r="F83">
            <v>944.78599999999994</v>
          </cell>
          <cell r="G83">
            <v>1317.385</v>
          </cell>
          <cell r="H83">
            <v>1456.5939999999998</v>
          </cell>
          <cell r="I83">
            <v>1593.5039999999999</v>
          </cell>
          <cell r="J83">
            <v>1724.114</v>
          </cell>
          <cell r="K83">
            <v>1985.335</v>
          </cell>
          <cell r="L83">
            <v>2442.4844406660486</v>
          </cell>
          <cell r="M83">
            <v>2911.4640299651196</v>
          </cell>
          <cell r="N83">
            <v>3227.6786398245722</v>
          </cell>
          <cell r="O83">
            <v>3388.5406501778916</v>
          </cell>
          <cell r="P83">
            <v>3526.7089335217506</v>
          </cell>
          <cell r="Q83">
            <v>3659.6765510326509</v>
          </cell>
          <cell r="R83">
            <v>3778.2293790847666</v>
          </cell>
          <cell r="S83">
            <v>3881.2017590953283</v>
          </cell>
          <cell r="T83">
            <v>3968.3319358093891</v>
          </cell>
          <cell r="U83">
            <v>4037.2462401908761</v>
          </cell>
          <cell r="V83">
            <v>4089.8958364881769</v>
          </cell>
          <cell r="X83">
            <v>186.61599999999999</v>
          </cell>
          <cell r="Y83">
            <v>165.83699999999999</v>
          </cell>
          <cell r="Z83">
            <v>174.946</v>
          </cell>
          <cell r="AA83">
            <v>177.42499999999998</v>
          </cell>
          <cell r="AB83">
            <v>161.46699999999998</v>
          </cell>
          <cell r="AC83">
            <v>175.28199999999998</v>
          </cell>
          <cell r="AD83">
            <v>186.87400000000002</v>
          </cell>
          <cell r="AE83">
            <v>166.14699999999999</v>
          </cell>
          <cell r="AF83">
            <v>168.791</v>
          </cell>
          <cell r="AG83">
            <v>172.292</v>
          </cell>
          <cell r="AH83">
            <v>180.881</v>
          </cell>
          <cell r="AI83">
            <v>184.696</v>
          </cell>
          <cell r="AJ83">
            <v>184.35499999999999</v>
          </cell>
          <cell r="AK83">
            <v>188.06</v>
          </cell>
          <cell r="AL83">
            <v>264.74599999999998</v>
          </cell>
          <cell r="AM83">
            <v>307.625</v>
          </cell>
          <cell r="AN83">
            <v>320.40899999999999</v>
          </cell>
          <cell r="AO83">
            <v>325.863</v>
          </cell>
          <cell r="AP83">
            <v>333.46700000000004</v>
          </cell>
          <cell r="AQ83">
            <v>337.64600000000002</v>
          </cell>
          <cell r="AR83">
            <v>352.47399999999999</v>
          </cell>
          <cell r="AS83">
            <v>358.423</v>
          </cell>
          <cell r="AT83">
            <v>367.58499999999998</v>
          </cell>
          <cell r="AU83">
            <v>378.11200000000002</v>
          </cell>
          <cell r="AV83">
            <v>382.18400000000003</v>
          </cell>
          <cell r="AW83">
            <v>393.72800000000001</v>
          </cell>
          <cell r="AX83">
            <v>409.26800000000003</v>
          </cell>
          <cell r="AY83">
            <v>408.32400000000001</v>
          </cell>
          <cell r="AZ83">
            <v>408.678</v>
          </cell>
          <cell r="BA83">
            <v>423.35799999999995</v>
          </cell>
          <cell r="BB83">
            <v>444.10499999999996</v>
          </cell>
          <cell r="BC83">
            <v>447.97300000000001</v>
          </cell>
          <cell r="BD83">
            <v>454.43399999999997</v>
          </cell>
          <cell r="BE83">
            <v>469.93700000000001</v>
          </cell>
          <cell r="BF83">
            <v>513.322</v>
          </cell>
          <cell r="BG83">
            <v>547.64200000000005</v>
          </cell>
          <cell r="BH83">
            <v>562.69499999999994</v>
          </cell>
          <cell r="BI83">
            <v>597.23500000000001</v>
          </cell>
          <cell r="BJ83">
            <v>630.40300000000002</v>
          </cell>
          <cell r="BK83">
            <v>652.1514406660483</v>
          </cell>
          <cell r="BL83">
            <v>664.45131054564422</v>
          </cell>
          <cell r="BM83">
            <v>718.50656307370389</v>
          </cell>
          <cell r="BN83">
            <v>751.69668040056069</v>
          </cell>
          <cell r="BO83">
            <v>776.80947594521069</v>
          </cell>
          <cell r="BP83">
            <v>772.8307446102441</v>
          </cell>
          <cell r="BQ83">
            <v>799.15879914573384</v>
          </cell>
          <cell r="BR83">
            <v>820.692295097223</v>
          </cell>
          <cell r="BS83">
            <v>834.99680097137116</v>
          </cell>
        </row>
        <row r="84">
          <cell r="A84" t="str">
            <v>COGS</v>
          </cell>
          <cell r="C84">
            <v>373.61400000000003</v>
          </cell>
          <cell r="D84">
            <v>301.125</v>
          </cell>
          <cell r="E84">
            <v>256.113</v>
          </cell>
          <cell r="F84">
            <v>256.12700000000001</v>
          </cell>
          <cell r="G84">
            <v>343.53699999999998</v>
          </cell>
          <cell r="H84">
            <v>359.62200000000001</v>
          </cell>
          <cell r="I84">
            <v>389.85499999999996</v>
          </cell>
          <cell r="J84">
            <v>416.375</v>
          </cell>
          <cell r="K84">
            <v>474.58600000000001</v>
          </cell>
          <cell r="L84">
            <v>629.93767857317255</v>
          </cell>
          <cell r="M84">
            <v>749.18226669582555</v>
          </cell>
          <cell r="N84">
            <v>829.10144476259268</v>
          </cell>
          <cell r="O84">
            <v>869.76058304705157</v>
          </cell>
          <cell r="P84">
            <v>901.29838647746351</v>
          </cell>
          <cell r="Q84">
            <v>931.28193570753149</v>
          </cell>
          <cell r="R84">
            <v>957.4512091222814</v>
          </cell>
          <cell r="S84">
            <v>979.31995675071789</v>
          </cell>
          <cell r="T84">
            <v>997.10531238674059</v>
          </cell>
          <cell r="U84">
            <v>1010.2756736697891</v>
          </cell>
          <cell r="V84">
            <v>1019.3598679398018</v>
          </cell>
          <cell r="X84">
            <v>111.51900000000001</v>
          </cell>
          <cell r="Y84">
            <v>85.983000000000004</v>
          </cell>
          <cell r="Z84">
            <v>91.664999999999992</v>
          </cell>
          <cell r="AA84">
            <v>84.447000000000003</v>
          </cell>
          <cell r="AB84">
            <v>73.188000000000002</v>
          </cell>
          <cell r="AC84">
            <v>79.384999999999991</v>
          </cell>
          <cell r="AD84">
            <v>86.34</v>
          </cell>
          <cell r="AE84">
            <v>62.212000000000003</v>
          </cell>
          <cell r="AF84">
            <v>62.436999999999998</v>
          </cell>
          <cell r="AG84">
            <v>61.664999999999999</v>
          </cell>
          <cell r="AH84">
            <v>64.972000000000008</v>
          </cell>
          <cell r="AI84">
            <v>67.039000000000001</v>
          </cell>
          <cell r="AJ84">
            <v>49.657000000000004</v>
          </cell>
          <cell r="AK84">
            <v>48.688999999999993</v>
          </cell>
          <cell r="AL84">
            <v>72.14</v>
          </cell>
          <cell r="AM84">
            <v>85.640999999999991</v>
          </cell>
          <cell r="AN84">
            <v>81.611999999999995</v>
          </cell>
          <cell r="AO84">
            <v>85.736999999999995</v>
          </cell>
          <cell r="AP84">
            <v>87.561999999999998</v>
          </cell>
          <cell r="AQ84">
            <v>88.626000000000005</v>
          </cell>
          <cell r="AR84">
            <v>87.283000000000001</v>
          </cell>
          <cell r="AS84">
            <v>90.042000000000002</v>
          </cell>
          <cell r="AT84">
            <v>88.777000000000001</v>
          </cell>
          <cell r="AU84">
            <v>93.52000000000001</v>
          </cell>
          <cell r="AV84">
            <v>90.557999999999993</v>
          </cell>
          <cell r="AW84">
            <v>96.873999999999995</v>
          </cell>
          <cell r="AX84">
            <v>103.857</v>
          </cell>
          <cell r="AY84">
            <v>98.565999999999988</v>
          </cell>
          <cell r="AZ84">
            <v>97.704999999999998</v>
          </cell>
          <cell r="BA84">
            <v>102.57299999999999</v>
          </cell>
          <cell r="BB84">
            <v>108.59399999999999</v>
          </cell>
          <cell r="BC84">
            <v>107.50299999999999</v>
          </cell>
          <cell r="BD84">
            <v>106.46900000000001</v>
          </cell>
          <cell r="BE84">
            <v>112.199</v>
          </cell>
          <cell r="BF84">
            <v>122.973</v>
          </cell>
          <cell r="BG84">
            <v>132.94499999999999</v>
          </cell>
          <cell r="BH84">
            <v>135.328</v>
          </cell>
          <cell r="BI84">
            <v>151.077</v>
          </cell>
          <cell r="BJ84">
            <v>168.93299999999999</v>
          </cell>
          <cell r="BK84">
            <v>174.59967857317255</v>
          </cell>
          <cell r="BL84">
            <v>171.36261927141103</v>
          </cell>
          <cell r="BM84">
            <v>184.92893031977596</v>
          </cell>
          <cell r="BN84">
            <v>193.27948254700368</v>
          </cell>
          <cell r="BO84">
            <v>199.61123455763479</v>
          </cell>
          <cell r="BP84">
            <v>198.67064037960648</v>
          </cell>
          <cell r="BQ84">
            <v>205.30728355574936</v>
          </cell>
          <cell r="BR84">
            <v>210.74583338131481</v>
          </cell>
          <cell r="BS84">
            <v>214.37768744592196</v>
          </cell>
        </row>
        <row r="85">
          <cell r="A85" t="str">
            <v>EBITDA</v>
          </cell>
          <cell r="C85">
            <v>307.94599999999991</v>
          </cell>
          <cell r="D85">
            <v>375.99999999999994</v>
          </cell>
          <cell r="E85">
            <v>437.39500000000004</v>
          </cell>
          <cell r="F85">
            <v>600.66799999999989</v>
          </cell>
          <cell r="G85">
            <v>868.23399999999992</v>
          </cell>
          <cell r="H85">
            <v>978.89499999999975</v>
          </cell>
          <cell r="I85">
            <v>1092.3339999999998</v>
          </cell>
          <cell r="J85">
            <v>1180.9250000000002</v>
          </cell>
          <cell r="K85">
            <v>1347.748</v>
          </cell>
          <cell r="L85">
            <v>1584.1703752296016</v>
          </cell>
          <cell r="M85">
            <v>1899.6846804226077</v>
          </cell>
          <cell r="N85">
            <v>2122.0781174777685</v>
          </cell>
          <cell r="O85">
            <v>2244.7461118657193</v>
          </cell>
          <cell r="P85">
            <v>2336.1055787614168</v>
          </cell>
          <cell r="Q85">
            <v>2423.9947553852789</v>
          </cell>
          <cell r="R85">
            <v>2502.285984603026</v>
          </cell>
          <cell r="S85">
            <v>2570.4468457851262</v>
          </cell>
          <cell r="T85">
            <v>2628.0687491998037</v>
          </cell>
          <cell r="U85">
            <v>2673.5731586637175</v>
          </cell>
          <cell r="V85">
            <v>2708.2575515914632</v>
          </cell>
          <cell r="X85">
            <v>66.425999999999988</v>
          </cell>
          <cell r="Y85">
            <v>72.871999999999986</v>
          </cell>
          <cell r="Z85">
            <v>78.783000000000001</v>
          </cell>
          <cell r="AA85">
            <v>89.864999999999981</v>
          </cell>
          <cell r="AB85">
            <v>85.132999999999981</v>
          </cell>
          <cell r="AC85">
            <v>92.46</v>
          </cell>
          <cell r="AD85">
            <v>97.564000000000021</v>
          </cell>
          <cell r="AE85">
            <v>100.84299999999999</v>
          </cell>
          <cell r="AF85">
            <v>103.015</v>
          </cell>
          <cell r="AG85">
            <v>107.62800000000001</v>
          </cell>
          <cell r="AH85">
            <v>112.63199999999999</v>
          </cell>
          <cell r="AI85">
            <v>114.12</v>
          </cell>
          <cell r="AJ85">
            <v>117.29199999999999</v>
          </cell>
          <cell r="AK85">
            <v>122.35600000000001</v>
          </cell>
          <cell r="AL85">
            <v>165.709</v>
          </cell>
          <cell r="AM85">
            <v>195.31100000000001</v>
          </cell>
          <cell r="AN85">
            <v>215.49299999999999</v>
          </cell>
          <cell r="AO85">
            <v>216.447</v>
          </cell>
          <cell r="AP85">
            <v>217.78800000000004</v>
          </cell>
          <cell r="AQ85">
            <v>218.506</v>
          </cell>
          <cell r="AR85">
            <v>236.30999999999995</v>
          </cell>
          <cell r="AS85">
            <v>241.44799999999998</v>
          </cell>
          <cell r="AT85">
            <v>248.62799999999999</v>
          </cell>
          <cell r="AU85">
            <v>252.50899999999999</v>
          </cell>
          <cell r="AV85">
            <v>262.52200000000005</v>
          </cell>
          <cell r="AW85">
            <v>272.25100000000003</v>
          </cell>
          <cell r="AX85">
            <v>277.52700000000004</v>
          </cell>
          <cell r="AY85">
            <v>280.03399999999999</v>
          </cell>
          <cell r="AZ85">
            <v>281.17900000000003</v>
          </cell>
          <cell r="BA85">
            <v>287.34499999999997</v>
          </cell>
          <cell r="BB85">
            <v>304.18099999999993</v>
          </cell>
          <cell r="BC85">
            <v>308.22000000000003</v>
          </cell>
          <cell r="BD85">
            <v>311.50200000000001</v>
          </cell>
          <cell r="BE85">
            <v>320.96899999999999</v>
          </cell>
          <cell r="BF85">
            <v>349.99199999999996</v>
          </cell>
          <cell r="BG85">
            <v>365.28500000000008</v>
          </cell>
          <cell r="BH85">
            <v>377.09199999999998</v>
          </cell>
          <cell r="BI85">
            <v>389.11399999999998</v>
          </cell>
          <cell r="BJ85">
            <v>398.86900000000003</v>
          </cell>
          <cell r="BK85">
            <v>419.09537522960113</v>
          </cell>
          <cell r="BL85">
            <v>433.46381677239697</v>
          </cell>
          <cell r="BM85">
            <v>468.81750926192603</v>
          </cell>
          <cell r="BN85">
            <v>490.50401321550373</v>
          </cell>
          <cell r="BO85">
            <v>506.89934117278085</v>
          </cell>
          <cell r="BP85">
            <v>508.10333721571573</v>
          </cell>
          <cell r="BQ85">
            <v>525.42522366686853</v>
          </cell>
          <cell r="BR85">
            <v>539.58215515715813</v>
          </cell>
          <cell r="BS85">
            <v>548.96740143802583</v>
          </cell>
        </row>
        <row r="86">
          <cell r="A86" t="str">
            <v>Net Income, ModelWare</v>
          </cell>
          <cell r="C86">
            <v>-1139.7600000000004</v>
          </cell>
          <cell r="D86">
            <v>-321.61800000000005</v>
          </cell>
          <cell r="E86">
            <v>-245.22099999999986</v>
          </cell>
          <cell r="F86">
            <v>-180.78400000000011</v>
          </cell>
          <cell r="G86">
            <v>28.268000000000004</v>
          </cell>
          <cell r="H86">
            <v>56.653999999999783</v>
          </cell>
          <cell r="I86">
            <v>347.41499999999985</v>
          </cell>
          <cell r="J86">
            <v>247.12700000000015</v>
          </cell>
          <cell r="K86">
            <v>373.60599999999999</v>
          </cell>
          <cell r="L86">
            <v>296.54181987126117</v>
          </cell>
          <cell r="M86">
            <v>806.59084157187601</v>
          </cell>
          <cell r="N86">
            <v>997.39192230143715</v>
          </cell>
          <cell r="O86">
            <v>1105.71089616122</v>
          </cell>
          <cell r="P86">
            <v>1192.985506990065</v>
          </cell>
          <cell r="Q86">
            <v>1268.4656119182575</v>
          </cell>
          <cell r="R86">
            <v>1333.0518725846941</v>
          </cell>
          <cell r="S86">
            <v>1386.4166358438388</v>
          </cell>
          <cell r="T86">
            <v>1428.5252057073035</v>
          </cell>
          <cell r="U86">
            <v>1458.0463167422679</v>
          </cell>
          <cell r="V86">
            <v>1476.5165887719231</v>
          </cell>
          <cell r="X86">
            <v>-634.14600000000007</v>
          </cell>
          <cell r="Y86">
            <v>-100.67700000000002</v>
          </cell>
          <cell r="Z86">
            <v>-353.23799999999994</v>
          </cell>
          <cell r="AA86">
            <v>-51.699000000000019</v>
          </cell>
          <cell r="AB86">
            <v>-96.43700000000004</v>
          </cell>
          <cell r="AC86">
            <v>-112.33799999999999</v>
          </cell>
          <cell r="AD86">
            <v>-57.383999999999986</v>
          </cell>
          <cell r="AE86">
            <v>-55.459000000000017</v>
          </cell>
          <cell r="AF86">
            <v>-46.815000000000005</v>
          </cell>
          <cell r="AG86">
            <v>-64.706999999999994</v>
          </cell>
          <cell r="AH86">
            <v>-59.85100000000002</v>
          </cell>
          <cell r="AI86">
            <v>-73.847999999999985</v>
          </cell>
          <cell r="AJ86">
            <v>-32.324000000000019</v>
          </cell>
          <cell r="AK86">
            <v>-36.094999999999999</v>
          </cell>
          <cell r="AL86">
            <v>-21.951999999999995</v>
          </cell>
          <cell r="AM86">
            <v>-90.412999999999997</v>
          </cell>
          <cell r="AN86">
            <v>-1.6799999999999966</v>
          </cell>
          <cell r="AO86">
            <v>7.9439999999999937</v>
          </cell>
          <cell r="AP86">
            <v>3.5320000000000333</v>
          </cell>
          <cell r="AQ86">
            <v>18.471999999999987</v>
          </cell>
          <cell r="AR86">
            <v>22.315999999999946</v>
          </cell>
          <cell r="AS86">
            <v>-19.895000000000017</v>
          </cell>
          <cell r="AT86">
            <v>59.70799999999997</v>
          </cell>
          <cell r="AU86">
            <v>-5.4749999999999863</v>
          </cell>
          <cell r="AV86">
            <v>42.228000000000051</v>
          </cell>
          <cell r="AW86">
            <v>158.88400000000001</v>
          </cell>
          <cell r="AX86">
            <v>60.561000000000021</v>
          </cell>
          <cell r="AY86">
            <v>85.74199999999999</v>
          </cell>
          <cell r="AZ86">
            <v>58.759000000000015</v>
          </cell>
          <cell r="BA86">
            <v>56.487999999999978</v>
          </cell>
          <cell r="BB86">
            <v>67.577999999999903</v>
          </cell>
          <cell r="BC86">
            <v>64.301999999999992</v>
          </cell>
          <cell r="BD86">
            <v>96.483000000000033</v>
          </cell>
          <cell r="BE86">
            <v>99.818999999999974</v>
          </cell>
          <cell r="BF86">
            <v>93.600999999999999</v>
          </cell>
          <cell r="BG86">
            <v>83.703000000000046</v>
          </cell>
          <cell r="BH86">
            <v>91.961299999999994</v>
          </cell>
          <cell r="BI86">
            <v>113.17100000000001</v>
          </cell>
          <cell r="BJ86">
            <v>-19.725999999999988</v>
          </cell>
          <cell r="BK86">
            <v>111.13551987126066</v>
          </cell>
          <cell r="BL86">
            <v>165.43731591866145</v>
          </cell>
          <cell r="BM86">
            <v>196.65267199437662</v>
          </cell>
          <cell r="BN86">
            <v>216.5251131769262</v>
          </cell>
          <cell r="BO86">
            <v>227.97574048191163</v>
          </cell>
          <cell r="BP86">
            <v>229.6279744820074</v>
          </cell>
          <cell r="BQ86">
            <v>245.20371192653238</v>
          </cell>
          <cell r="BR86">
            <v>258.60129883455858</v>
          </cell>
          <cell r="BS86">
            <v>263.95893705833851</v>
          </cell>
        </row>
        <row r="87">
          <cell r="A87" t="str">
            <v>Total Cash</v>
          </cell>
          <cell r="C87">
            <v>127.29200000000003</v>
          </cell>
          <cell r="D87">
            <v>275.50099999999981</v>
          </cell>
          <cell r="E87">
            <v>215.55699999999979</v>
          </cell>
          <cell r="F87">
            <v>112.70099999999985</v>
          </cell>
          <cell r="G87">
            <v>281.2639999999999</v>
          </cell>
          <cell r="H87">
            <v>86.806999999999931</v>
          </cell>
          <cell r="I87">
            <v>194.94300000000004</v>
          </cell>
          <cell r="J87">
            <v>295.12899999999996</v>
          </cell>
          <cell r="K87">
            <v>959.93499999999972</v>
          </cell>
          <cell r="L87">
            <v>99.655808905667413</v>
          </cell>
          <cell r="M87">
            <v>526.14165996555437</v>
          </cell>
          <cell r="N87">
            <v>1491.4440041238672</v>
          </cell>
          <cell r="O87">
            <v>2198.9721497629757</v>
          </cell>
          <cell r="P87">
            <v>2613.8901058852698</v>
          </cell>
          <cell r="Q87">
            <v>3052.2933766987667</v>
          </cell>
          <cell r="R87">
            <v>3501.6114741795523</v>
          </cell>
          <cell r="S87">
            <v>3972.9199413739684</v>
          </cell>
          <cell r="T87">
            <v>4448.880112915298</v>
          </cell>
          <cell r="U87">
            <v>4953.7550247649506</v>
          </cell>
          <cell r="V87">
            <v>5464.8766283865452</v>
          </cell>
          <cell r="AB87">
            <v>318.59899999999982</v>
          </cell>
          <cell r="AC87">
            <v>300.48199999999986</v>
          </cell>
          <cell r="AD87">
            <v>349.85299999999984</v>
          </cell>
          <cell r="AE87">
            <v>275.50099999999981</v>
          </cell>
          <cell r="AF87">
            <v>217.83499999999981</v>
          </cell>
          <cell r="AG87">
            <v>197.85599999999971</v>
          </cell>
          <cell r="AH87">
            <v>126.8329999999998</v>
          </cell>
          <cell r="AI87">
            <v>215.55699999999979</v>
          </cell>
          <cell r="AJ87">
            <v>122.79699999999974</v>
          </cell>
          <cell r="AK87">
            <v>85.621999999999787</v>
          </cell>
          <cell r="AL87">
            <v>109.15899999999979</v>
          </cell>
          <cell r="AM87">
            <v>112.70099999999985</v>
          </cell>
          <cell r="AN87">
            <v>85.572999999999837</v>
          </cell>
          <cell r="AO87">
            <v>90.453999999999866</v>
          </cell>
          <cell r="AP87">
            <v>207.20199999999986</v>
          </cell>
          <cell r="AQ87">
            <v>281.2639999999999</v>
          </cell>
          <cell r="AR87">
            <v>47.150999999999897</v>
          </cell>
          <cell r="AS87">
            <v>248.9489999999999</v>
          </cell>
          <cell r="AT87">
            <v>123.88899999999973</v>
          </cell>
          <cell r="AU87">
            <v>86.806999999999931</v>
          </cell>
          <cell r="AV87">
            <v>171.76000000000002</v>
          </cell>
          <cell r="AW87">
            <v>203.29000000000005</v>
          </cell>
          <cell r="AX87">
            <v>117.06200000000007</v>
          </cell>
          <cell r="AY87">
            <v>194.94300000000004</v>
          </cell>
          <cell r="AZ87">
            <v>364.51300000000003</v>
          </cell>
          <cell r="BA87">
            <v>374.411</v>
          </cell>
          <cell r="BB87">
            <v>280.46899999999994</v>
          </cell>
          <cell r="BC87">
            <v>295.12899999999996</v>
          </cell>
          <cell r="BD87">
            <v>402.68099999999993</v>
          </cell>
          <cell r="BE87">
            <v>355.45899999999983</v>
          </cell>
          <cell r="BF87">
            <v>441.03699999999981</v>
          </cell>
          <cell r="BG87">
            <v>959.93499999999972</v>
          </cell>
          <cell r="BH87">
            <v>442.2502999999997</v>
          </cell>
          <cell r="BI87">
            <v>382.74829999999963</v>
          </cell>
          <cell r="BJ87">
            <v>227.72729999999967</v>
          </cell>
          <cell r="BK87">
            <v>99.655808905667413</v>
          </cell>
          <cell r="BL87">
            <v>126.48198269419183</v>
          </cell>
          <cell r="BM87">
            <v>227.45663689270486</v>
          </cell>
          <cell r="BN87">
            <v>372.28031598765938</v>
          </cell>
          <cell r="BO87">
            <v>526.14165996555437</v>
          </cell>
          <cell r="BP87">
            <v>733.98768656129209</v>
          </cell>
          <cell r="BQ87">
            <v>979.08965021005906</v>
          </cell>
          <cell r="BR87">
            <v>1232.0635317377753</v>
          </cell>
          <cell r="BS87">
            <v>1491.4440041238672</v>
          </cell>
        </row>
        <row r="88">
          <cell r="A88" t="str">
            <v>Total Debt</v>
          </cell>
          <cell r="D88">
            <v>3361.2249999999999</v>
          </cell>
          <cell r="E88">
            <v>3293.614</v>
          </cell>
          <cell r="F88">
            <v>3613.4289999999996</v>
          </cell>
          <cell r="G88">
            <v>3543.0160000000001</v>
          </cell>
          <cell r="H88">
            <v>4285.2839999999997</v>
          </cell>
          <cell r="I88">
            <v>4333.1460000000006</v>
          </cell>
          <cell r="J88">
            <v>4214.6239999999998</v>
          </cell>
          <cell r="K88">
            <v>5590.5019999999995</v>
          </cell>
          <cell r="L88">
            <v>6752.3787507774987</v>
          </cell>
          <cell r="M88">
            <v>6753.4372372068328</v>
          </cell>
          <cell r="N88">
            <v>6754.5631863199078</v>
          </cell>
          <cell r="O88">
            <v>6755.7342768164744</v>
          </cell>
          <cell r="P88">
            <v>6756.9785032096161</v>
          </cell>
          <cell r="Q88">
            <v>6758.3005794465553</v>
          </cell>
          <cell r="R88">
            <v>6759.705531841666</v>
          </cell>
          <cell r="S88">
            <v>6761.1987202674554</v>
          </cell>
          <cell r="T88">
            <v>6762.6646512940142</v>
          </cell>
          <cell r="U88">
            <v>6764.2251619933331</v>
          </cell>
          <cell r="V88">
            <v>6765.886508478814</v>
          </cell>
          <cell r="AB88">
            <v>3376.4110000000001</v>
          </cell>
          <cell r="AC88">
            <v>3376.712</v>
          </cell>
          <cell r="AD88">
            <v>3406.509</v>
          </cell>
          <cell r="AE88">
            <v>3361.2249999999999</v>
          </cell>
          <cell r="AF88">
            <v>3299.2460000000001</v>
          </cell>
          <cell r="AG88">
            <v>3266.817</v>
          </cell>
          <cell r="AH88">
            <v>3218.3570000000004</v>
          </cell>
          <cell r="AI88">
            <v>3293.614</v>
          </cell>
          <cell r="AJ88">
            <v>3147.1849999999999</v>
          </cell>
          <cell r="AK88">
            <v>3079.88</v>
          </cell>
          <cell r="AL88">
            <v>3640.1570000000002</v>
          </cell>
          <cell r="AM88">
            <v>3613.4289999999996</v>
          </cell>
          <cell r="AN88">
            <v>3609.5509999999999</v>
          </cell>
          <cell r="AO88">
            <v>3602.7280000000001</v>
          </cell>
          <cell r="AP88">
            <v>3563.44</v>
          </cell>
          <cell r="AQ88">
            <v>3543.0160000000001</v>
          </cell>
          <cell r="AR88">
            <v>3571.9360000000001</v>
          </cell>
          <cell r="AS88">
            <v>3976.9650000000001</v>
          </cell>
          <cell r="AT88">
            <v>4026.915</v>
          </cell>
          <cell r="AU88">
            <v>4285.2839999999997</v>
          </cell>
          <cell r="AV88">
            <v>4434.8500000000004</v>
          </cell>
          <cell r="AW88">
            <v>4420.7159999999994</v>
          </cell>
          <cell r="AX88">
            <v>4430.3629999999994</v>
          </cell>
          <cell r="AY88">
            <v>4333.1460000000006</v>
          </cell>
          <cell r="AZ88">
            <v>4335.6759999999995</v>
          </cell>
          <cell r="BA88">
            <v>4447.5250000000005</v>
          </cell>
          <cell r="BB88">
            <v>4190.0909999999994</v>
          </cell>
          <cell r="BC88">
            <v>4214.6239999999998</v>
          </cell>
          <cell r="BD88">
            <v>4232.8709999999992</v>
          </cell>
          <cell r="BE88">
            <v>4156.6620000000003</v>
          </cell>
          <cell r="BF88">
            <v>4808.01</v>
          </cell>
          <cell r="BG88">
            <v>5590.5019999999995</v>
          </cell>
          <cell r="BH88">
            <v>5575.6549999999997</v>
          </cell>
          <cell r="BI88">
            <v>5739.768</v>
          </cell>
          <cell r="BJ88">
            <v>5916.0129999999999</v>
          </cell>
          <cell r="BK88">
            <v>6752.3787507774987</v>
          </cell>
          <cell r="BL88">
            <v>6752.6372803208405</v>
          </cell>
          <cell r="BM88">
            <v>6752.8998279186908</v>
          </cell>
          <cell r="BN88">
            <v>6753.1664583593074</v>
          </cell>
          <cell r="BO88">
            <v>6753.4372372068328</v>
          </cell>
          <cell r="BP88">
            <v>6753.7122311122284</v>
          </cell>
          <cell r="BQ88">
            <v>6753.9915078279373</v>
          </cell>
          <cell r="BR88">
            <v>6754.2751362265763</v>
          </cell>
          <cell r="BS88">
            <v>6754.5631863199078</v>
          </cell>
        </row>
        <row r="89">
          <cell r="A89" t="str">
            <v>Total Debt (Including Operating Leases)</v>
          </cell>
          <cell r="D89">
            <v>3361.2249999999999</v>
          </cell>
          <cell r="E89">
            <v>4345.7161515137504</v>
          </cell>
          <cell r="F89">
            <v>5339.6382318455508</v>
          </cell>
          <cell r="G89">
            <v>5391.2926623760104</v>
          </cell>
          <cell r="H89">
            <v>6183.3073509891219</v>
          </cell>
          <cell r="I89">
            <v>6551.1058459235137</v>
          </cell>
          <cell r="J89">
            <v>6594.5559435119976</v>
          </cell>
          <cell r="K89">
            <v>8153.4598960329413</v>
          </cell>
          <cell r="L89">
            <v>9610.0108730438424</v>
          </cell>
          <cell r="M89">
            <v>9967.8590169930631</v>
          </cell>
          <cell r="N89">
            <v>10309.710692678382</v>
          </cell>
          <cell r="O89">
            <v>10646.993453165922</v>
          </cell>
          <cell r="P89">
            <v>11001.092062390868</v>
          </cell>
          <cell r="Q89">
            <v>11343.118777493259</v>
          </cell>
          <cell r="R89">
            <v>11698.172769958603</v>
          </cell>
          <cell r="S89">
            <v>12065.61758908923</v>
          </cell>
          <cell r="T89">
            <v>12444.554008877531</v>
          </cell>
          <cell r="U89">
            <v>12834.172976451617</v>
          </cell>
          <cell r="V89">
            <v>13233.404622563197</v>
          </cell>
          <cell r="AZ89">
            <v>6715.6079435119973</v>
          </cell>
          <cell r="BA89">
            <v>6827.4569435119984</v>
          </cell>
          <cell r="BB89">
            <v>6570.0229435119973</v>
          </cell>
          <cell r="BC89">
            <v>6594.5559435119976</v>
          </cell>
          <cell r="BD89">
            <v>6795.828896032941</v>
          </cell>
          <cell r="BE89">
            <v>6719.6198960329421</v>
          </cell>
          <cell r="BF89">
            <v>7370.967896032942</v>
          </cell>
          <cell r="BG89">
            <v>8153.4598960329413</v>
          </cell>
          <cell r="BH89">
            <v>8433.2871222663434</v>
          </cell>
          <cell r="BI89">
            <v>8597.4001222663428</v>
          </cell>
          <cell r="BJ89">
            <v>8773.6451222663436</v>
          </cell>
          <cell r="BK89">
            <v>9610.0108730438424</v>
          </cell>
          <cell r="BL89">
            <v>9967.0590601070708</v>
          </cell>
          <cell r="BM89">
            <v>9967.3216077049219</v>
          </cell>
          <cell r="BN89">
            <v>9967.5882381455376</v>
          </cell>
          <cell r="BO89">
            <v>9967.8590169930631</v>
          </cell>
          <cell r="BP89">
            <v>10308.859737470702</v>
          </cell>
          <cell r="BQ89">
            <v>10309.139014186412</v>
          </cell>
          <cell r="BR89">
            <v>10309.42264258505</v>
          </cell>
          <cell r="BS89">
            <v>10309.710692678382</v>
          </cell>
        </row>
        <row r="90">
          <cell r="A90" t="str">
            <v>Net Debt</v>
          </cell>
          <cell r="D90">
            <v>3085.7240000000002</v>
          </cell>
          <cell r="E90">
            <v>3078.0570000000002</v>
          </cell>
          <cell r="F90">
            <v>3500.7279999999996</v>
          </cell>
          <cell r="G90">
            <v>3261.7520000000004</v>
          </cell>
          <cell r="H90">
            <v>4198.4769999999999</v>
          </cell>
          <cell r="I90">
            <v>4138.2030000000004</v>
          </cell>
          <cell r="J90">
            <v>3919.4949999999999</v>
          </cell>
          <cell r="K90">
            <v>4630.567</v>
          </cell>
          <cell r="L90">
            <v>6652.7229418718316</v>
          </cell>
          <cell r="M90">
            <v>6227.2955772412788</v>
          </cell>
          <cell r="N90">
            <v>5263.1191821960401</v>
          </cell>
          <cell r="O90">
            <v>4556.7621270534983</v>
          </cell>
          <cell r="P90">
            <v>4143.0883973243463</v>
          </cell>
          <cell r="Q90">
            <v>3706.0072027477886</v>
          </cell>
          <cell r="R90">
            <v>3258.0940576621138</v>
          </cell>
          <cell r="S90">
            <v>2788.278778893487</v>
          </cell>
          <cell r="T90">
            <v>2313.7845383787162</v>
          </cell>
          <cell r="U90">
            <v>1810.4701372283826</v>
          </cell>
          <cell r="V90">
            <v>1301.0098800922688</v>
          </cell>
          <cell r="AB90">
            <v>3057.8120000000004</v>
          </cell>
          <cell r="AC90">
            <v>3076.23</v>
          </cell>
          <cell r="AD90">
            <v>3056.6559999999999</v>
          </cell>
          <cell r="AE90">
            <v>3085.7240000000002</v>
          </cell>
          <cell r="AF90">
            <v>3081.4110000000001</v>
          </cell>
          <cell r="AG90">
            <v>3068.9610000000002</v>
          </cell>
          <cell r="AH90">
            <v>3091.5240000000008</v>
          </cell>
          <cell r="AI90">
            <v>3078.0570000000002</v>
          </cell>
          <cell r="AJ90">
            <v>3024.3880000000004</v>
          </cell>
          <cell r="AK90">
            <v>2994.2580000000003</v>
          </cell>
          <cell r="AL90">
            <v>3530.9980000000005</v>
          </cell>
          <cell r="AM90">
            <v>3500.7279999999996</v>
          </cell>
          <cell r="AN90">
            <v>3523.9780000000001</v>
          </cell>
          <cell r="AO90">
            <v>3512.2740000000003</v>
          </cell>
          <cell r="AP90">
            <v>3356.2380000000003</v>
          </cell>
          <cell r="AQ90">
            <v>3261.7520000000004</v>
          </cell>
          <cell r="AR90">
            <v>3524.7850000000003</v>
          </cell>
          <cell r="AS90">
            <v>3728.0160000000001</v>
          </cell>
          <cell r="AT90">
            <v>3903.0260000000003</v>
          </cell>
          <cell r="AU90">
            <v>4198.4769999999999</v>
          </cell>
          <cell r="AV90">
            <v>4263.09</v>
          </cell>
          <cell r="AW90">
            <v>4217.4259999999995</v>
          </cell>
          <cell r="AX90">
            <v>4313.3009999999995</v>
          </cell>
          <cell r="AY90">
            <v>4138.2030000000004</v>
          </cell>
          <cell r="AZ90">
            <v>3971.1629999999996</v>
          </cell>
          <cell r="BA90">
            <v>4073.1140000000005</v>
          </cell>
          <cell r="BB90">
            <v>3909.6219999999994</v>
          </cell>
          <cell r="BC90">
            <v>3919.4949999999999</v>
          </cell>
          <cell r="BD90">
            <v>3830.1899999999991</v>
          </cell>
          <cell r="BE90">
            <v>3801.2030000000004</v>
          </cell>
          <cell r="BF90">
            <v>4366.973</v>
          </cell>
          <cell r="BG90">
            <v>4630.567</v>
          </cell>
          <cell r="BH90">
            <v>5133.4047</v>
          </cell>
          <cell r="BI90">
            <v>5357.0197000000007</v>
          </cell>
          <cell r="BJ90">
            <v>5688.2857000000004</v>
          </cell>
          <cell r="BK90">
            <v>6652.7229418718316</v>
          </cell>
          <cell r="BL90">
            <v>6626.1552976266485</v>
          </cell>
          <cell r="BM90">
            <v>6525.4431910259864</v>
          </cell>
          <cell r="BN90">
            <v>6380.886142371648</v>
          </cell>
          <cell r="BO90">
            <v>6227.2955772412788</v>
          </cell>
          <cell r="BP90">
            <v>6019.7245445509361</v>
          </cell>
          <cell r="BQ90">
            <v>5774.9018576178787</v>
          </cell>
          <cell r="BR90">
            <v>5522.2116044888007</v>
          </cell>
          <cell r="BS90">
            <v>5263.1191821960401</v>
          </cell>
        </row>
        <row r="91">
          <cell r="A91" t="str">
            <v>Net Debt (Including Operating Leases)</v>
          </cell>
          <cell r="D91">
            <v>3085.7240000000002</v>
          </cell>
          <cell r="E91">
            <v>4130.1591515137507</v>
          </cell>
          <cell r="F91">
            <v>5226.9372318455507</v>
          </cell>
          <cell r="G91">
            <v>5110.0286623760103</v>
          </cell>
          <cell r="H91">
            <v>6096.5003509891221</v>
          </cell>
          <cell r="I91">
            <v>6356.1628459235135</v>
          </cell>
          <cell r="J91">
            <v>6299.4269435119977</v>
          </cell>
          <cell r="K91">
            <v>7193.5248960329418</v>
          </cell>
          <cell r="L91">
            <v>9510.3550641381753</v>
          </cell>
          <cell r="M91">
            <v>9441.7173570275081</v>
          </cell>
          <cell r="N91">
            <v>8818.266688554515</v>
          </cell>
          <cell r="O91">
            <v>8448.0213034029457</v>
          </cell>
          <cell r="P91">
            <v>8387.201956505598</v>
          </cell>
          <cell r="Q91">
            <v>8290.8254007944925</v>
          </cell>
          <cell r="R91">
            <v>8196.5612957790509</v>
          </cell>
          <cell r="S91">
            <v>8092.6976477152621</v>
          </cell>
          <cell r="T91">
            <v>7995.6738959622326</v>
          </cell>
          <cell r="U91">
            <v>7880.4179516866661</v>
          </cell>
          <cell r="V91">
            <v>7768.5279941766521</v>
          </cell>
          <cell r="AZ91">
            <v>6351.0949435119974</v>
          </cell>
          <cell r="BA91">
            <v>6453.0459435119983</v>
          </cell>
          <cell r="BB91">
            <v>6289.5539435119972</v>
          </cell>
          <cell r="BC91">
            <v>6299.4269435119977</v>
          </cell>
          <cell r="BD91">
            <v>6393.1478960329414</v>
          </cell>
          <cell r="BE91">
            <v>6364.1608960329422</v>
          </cell>
          <cell r="BF91">
            <v>6929.9308960329417</v>
          </cell>
          <cell r="BG91">
            <v>7193.5248960329418</v>
          </cell>
          <cell r="BH91">
            <v>7991.0368222663437</v>
          </cell>
          <cell r="BI91">
            <v>8214.6518222663435</v>
          </cell>
          <cell r="BJ91">
            <v>8545.9178222663431</v>
          </cell>
          <cell r="BK91">
            <v>9510.3550641381753</v>
          </cell>
          <cell r="BL91">
            <v>9840.5770774128796</v>
          </cell>
          <cell r="BM91">
            <v>9739.8649708122175</v>
          </cell>
          <cell r="BN91">
            <v>9595.3079221578773</v>
          </cell>
          <cell r="BO91">
            <v>9441.7173570275081</v>
          </cell>
          <cell r="BP91">
            <v>9574.872050909411</v>
          </cell>
          <cell r="BQ91">
            <v>9330.0493639763536</v>
          </cell>
          <cell r="BR91">
            <v>9077.3591108472756</v>
          </cell>
          <cell r="BS91">
            <v>8818.266688554515</v>
          </cell>
        </row>
        <row r="92">
          <cell r="A92" t="str">
            <v>Total Equity</v>
          </cell>
          <cell r="D92">
            <v>1610.1780000000003</v>
          </cell>
          <cell r="E92">
            <v>1470.9530000000004</v>
          </cell>
          <cell r="F92">
            <v>4541.8209999999999</v>
          </cell>
          <cell r="G92">
            <v>4384.9159999999993</v>
          </cell>
          <cell r="H92">
            <v>3022.0919999999992</v>
          </cell>
          <cell r="I92">
            <v>2991.3220000000006</v>
          </cell>
          <cell r="J92">
            <v>3315.0820000000012</v>
          </cell>
          <cell r="K92">
            <v>3501.4440000000009</v>
          </cell>
          <cell r="L92">
            <v>3236.7816192649143</v>
          </cell>
          <cell r="M92">
            <v>3827.5122897394217</v>
          </cell>
          <cell r="N92">
            <v>4595.8276536153062</v>
          </cell>
          <cell r="O92">
            <v>5118.2554508831836</v>
          </cell>
          <cell r="P92">
            <v>5364.9589984924287</v>
          </cell>
          <cell r="Q92">
            <v>5623.4138185688835</v>
          </cell>
          <cell r="R92">
            <v>5893.576954978912</v>
          </cell>
          <cell r="S92">
            <v>6164.1038859441469</v>
          </cell>
          <cell r="T92">
            <v>6432.6872836535995</v>
          </cell>
          <cell r="U92">
            <v>6696.6046459781755</v>
          </cell>
          <cell r="V92">
            <v>6953.3052355732734</v>
          </cell>
          <cell r="AB92">
            <v>1710.1410000000003</v>
          </cell>
          <cell r="AC92">
            <v>1685.8060000000005</v>
          </cell>
          <cell r="AD92">
            <v>1757.1730000000007</v>
          </cell>
          <cell r="AE92">
            <v>1610.1780000000003</v>
          </cell>
          <cell r="AF92">
            <v>1565.3240000000001</v>
          </cell>
          <cell r="AG92">
            <v>1538.7699999999995</v>
          </cell>
          <cell r="AH92">
            <v>1506.4209999999998</v>
          </cell>
          <cell r="AI92">
            <v>1470.9530000000004</v>
          </cell>
          <cell r="AJ92">
            <v>1452.3310000000001</v>
          </cell>
          <cell r="AK92">
            <v>1426.1889999999999</v>
          </cell>
          <cell r="AL92">
            <v>4638.4139999999998</v>
          </cell>
          <cell r="AM92">
            <v>4541.8209999999999</v>
          </cell>
          <cell r="AN92">
            <v>4428.0749999999989</v>
          </cell>
          <cell r="AO92">
            <v>4374.6550000000007</v>
          </cell>
          <cell r="AP92">
            <v>4384.1129999999994</v>
          </cell>
          <cell r="AQ92">
            <v>4384.9159999999993</v>
          </cell>
          <cell r="AR92">
            <v>3993.5179999999996</v>
          </cell>
          <cell r="AS92">
            <v>3636.7629999999999</v>
          </cell>
          <cell r="AT92">
            <v>3375.7049999999995</v>
          </cell>
          <cell r="AU92">
            <v>3022.0919999999992</v>
          </cell>
          <cell r="AV92">
            <v>2913.2670000000007</v>
          </cell>
          <cell r="AW92">
            <v>3024.5009999999993</v>
          </cell>
          <cell r="AX92">
            <v>2840.0419999999999</v>
          </cell>
          <cell r="AY92">
            <v>2991.3220000000006</v>
          </cell>
          <cell r="AZ92">
            <v>3078.92</v>
          </cell>
          <cell r="BA92">
            <v>3087.7809999999999</v>
          </cell>
          <cell r="BB92">
            <v>3231.8149999999991</v>
          </cell>
          <cell r="BC92">
            <v>3315.0820000000012</v>
          </cell>
          <cell r="BD92">
            <v>3454.9099999999989</v>
          </cell>
          <cell r="BE92">
            <v>3426.9989999999989</v>
          </cell>
          <cell r="BF92">
            <v>3450.6000000000013</v>
          </cell>
          <cell r="BG92">
            <v>3501.4440000000009</v>
          </cell>
          <cell r="BH92">
            <v>3499.1940000000004</v>
          </cell>
          <cell r="BI92">
            <v>3561.8629999999994</v>
          </cell>
          <cell r="BJ92">
            <v>3263.2900000000018</v>
          </cell>
          <cell r="BK92">
            <v>3236.7816192649143</v>
          </cell>
          <cell r="BL92">
            <v>3347.5224627437756</v>
          </cell>
          <cell r="BM92">
            <v>3490.1557058808967</v>
          </cell>
          <cell r="BN92">
            <v>3652.0127407821856</v>
          </cell>
          <cell r="BO92">
            <v>3827.5122897394217</v>
          </cell>
          <cell r="BP92">
            <v>3999.5724347268952</v>
          </cell>
          <cell r="BQ92">
            <v>4188.1196661125068</v>
          </cell>
          <cell r="BR92">
            <v>4386.8393191464074</v>
          </cell>
          <cell r="BS92">
            <v>4595.8276536153062</v>
          </cell>
        </row>
        <row r="93">
          <cell r="A93" t="str">
            <v>DSOs</v>
          </cell>
          <cell r="D93">
            <v>30.132652913289938</v>
          </cell>
          <cell r="E93">
            <v>19.681657374126171</v>
          </cell>
          <cell r="F93">
            <v>14.096525562402492</v>
          </cell>
          <cell r="G93">
            <v>8.0253532566409973</v>
          </cell>
          <cell r="H93">
            <v>9.9641767026364256</v>
          </cell>
          <cell r="I93">
            <v>11.592490511476596</v>
          </cell>
          <cell r="J93">
            <v>14.187948128720027</v>
          </cell>
          <cell r="K93">
            <v>14.680625687856205</v>
          </cell>
          <cell r="L93">
            <v>17.088212112108895</v>
          </cell>
          <cell r="M93">
            <v>17.075878646898168</v>
          </cell>
          <cell r="N93">
            <v>16.556727365234931</v>
          </cell>
          <cell r="O93">
            <v>16.556727365234931</v>
          </cell>
          <cell r="P93">
            <v>16.556727365234931</v>
          </cell>
          <cell r="Q93">
            <v>16.556727365234931</v>
          </cell>
          <cell r="R93">
            <v>16.556727365234931</v>
          </cell>
          <cell r="S93">
            <v>16.556727365234931</v>
          </cell>
          <cell r="T93">
            <v>16.556727365234931</v>
          </cell>
          <cell r="U93">
            <v>16.556727365234931</v>
          </cell>
          <cell r="V93">
            <v>16.556727365234931</v>
          </cell>
          <cell r="AB93">
            <v>43.910024958660287</v>
          </cell>
          <cell r="AC93">
            <v>29.731290149587526</v>
          </cell>
          <cell r="AD93">
            <v>25.343654012864278</v>
          </cell>
          <cell r="AE93">
            <v>31.274413621672377</v>
          </cell>
          <cell r="AF93">
            <v>24.692667263064976</v>
          </cell>
          <cell r="AG93">
            <v>23.085053281638146</v>
          </cell>
          <cell r="AH93">
            <v>20.750438133358394</v>
          </cell>
          <cell r="AI93">
            <v>18.825854376922077</v>
          </cell>
          <cell r="AJ93">
            <v>14.852648422879771</v>
          </cell>
          <cell r="AK93">
            <v>11.063596724449642</v>
          </cell>
          <cell r="AL93">
            <v>12.76608522886087</v>
          </cell>
          <cell r="AM93">
            <v>10.823405119869971</v>
          </cell>
          <cell r="AN93">
            <v>9.330074997893318</v>
          </cell>
          <cell r="AO93">
            <v>8.5016709476068169</v>
          </cell>
          <cell r="AP93">
            <v>9.0427238677290411</v>
          </cell>
          <cell r="AQ93">
            <v>7.828080297115914</v>
          </cell>
          <cell r="AR93">
            <v>8.6135714974721544</v>
          </cell>
          <cell r="AS93">
            <v>11.403704561370224</v>
          </cell>
          <cell r="AT93">
            <v>11.367003550199275</v>
          </cell>
          <cell r="AU93">
            <v>9.5962042992552465</v>
          </cell>
          <cell r="AV93">
            <v>8.7413392502040885</v>
          </cell>
          <cell r="AW93">
            <v>9.3202921814044206</v>
          </cell>
          <cell r="AX93">
            <v>10.147727161664239</v>
          </cell>
          <cell r="AY93">
            <v>11.310062597349164</v>
          </cell>
          <cell r="AZ93">
            <v>13.225889330964719</v>
          </cell>
          <cell r="BA93">
            <v>15.418015013298438</v>
          </cell>
          <cell r="BB93">
            <v>14.443408653359004</v>
          </cell>
          <cell r="BC93">
            <v>13.651291484084979</v>
          </cell>
          <cell r="BD93">
            <v>14.564689261806995</v>
          </cell>
          <cell r="BE93">
            <v>9.3597226862324092</v>
          </cell>
          <cell r="BF93">
            <v>16.282586758408954</v>
          </cell>
          <cell r="BG93">
            <v>13.305206686119764</v>
          </cell>
          <cell r="BH93">
            <v>15.647215631914271</v>
          </cell>
          <cell r="BI93">
            <v>15.04277210813164</v>
          </cell>
          <cell r="BJ93">
            <v>14.285576052144423</v>
          </cell>
          <cell r="BK93">
            <v>16</v>
          </cell>
          <cell r="BL93">
            <v>16</v>
          </cell>
          <cell r="BM93">
            <v>16</v>
          </cell>
          <cell r="BN93">
            <v>16</v>
          </cell>
          <cell r="BO93">
            <v>16</v>
          </cell>
          <cell r="BP93">
            <v>16</v>
          </cell>
          <cell r="BQ93">
            <v>16</v>
          </cell>
          <cell r="BR93">
            <v>16</v>
          </cell>
          <cell r="BS93">
            <v>16</v>
          </cell>
        </row>
        <row r="94">
          <cell r="A94" t="str">
            <v>DPOs</v>
          </cell>
          <cell r="D94">
            <v>128.58620174346203</v>
          </cell>
          <cell r="E94">
            <v>171.02575816143656</v>
          </cell>
          <cell r="F94">
            <v>251.52506373791124</v>
          </cell>
          <cell r="G94">
            <v>196.62580740939111</v>
          </cell>
          <cell r="H94">
            <v>175.64843085239499</v>
          </cell>
          <cell r="I94">
            <v>140.34602608662198</v>
          </cell>
          <cell r="J94">
            <v>160.07128189732813</v>
          </cell>
          <cell r="K94">
            <v>221.9102122692199</v>
          </cell>
          <cell r="L94">
            <v>221.7358123027611</v>
          </cell>
          <cell r="M94">
            <v>213.15105114593285</v>
          </cell>
          <cell r="N94">
            <v>206.85303474033387</v>
          </cell>
          <cell r="O94">
            <v>206.85303474033387</v>
          </cell>
          <cell r="P94">
            <v>206.85303474033387</v>
          </cell>
          <cell r="Q94">
            <v>206.85303474033387</v>
          </cell>
          <cell r="R94">
            <v>206.85303474033387</v>
          </cell>
          <cell r="S94">
            <v>206.85303474033387</v>
          </cell>
          <cell r="T94">
            <v>206.85303474033387</v>
          </cell>
          <cell r="U94">
            <v>206.85303474033387</v>
          </cell>
          <cell r="V94">
            <v>206.85303474033387</v>
          </cell>
          <cell r="AB94">
            <v>138.7924249877029</v>
          </cell>
          <cell r="AC94">
            <v>104.78024815771242</v>
          </cell>
          <cell r="AD94">
            <v>95.935371785962488</v>
          </cell>
          <cell r="AE94">
            <v>155.59908056323539</v>
          </cell>
          <cell r="AF94">
            <v>145.40945272835017</v>
          </cell>
          <cell r="AG94">
            <v>152.2038433471175</v>
          </cell>
          <cell r="AH94">
            <v>145.21593917379792</v>
          </cell>
          <cell r="AI94">
            <v>163.3449186294545</v>
          </cell>
          <cell r="AJ94">
            <v>218.69907565902088</v>
          </cell>
          <cell r="AK94">
            <v>221.11914395448667</v>
          </cell>
          <cell r="AL94">
            <v>242.22899916828391</v>
          </cell>
          <cell r="AM94">
            <v>188.05934073632957</v>
          </cell>
          <cell r="AN94">
            <v>197.600352889281</v>
          </cell>
          <cell r="AO94">
            <v>174.94663914062775</v>
          </cell>
          <cell r="AP94">
            <v>174.30369338297436</v>
          </cell>
          <cell r="AQ94">
            <v>190.54295579175408</v>
          </cell>
          <cell r="AR94">
            <v>178.99052507361111</v>
          </cell>
          <cell r="AS94">
            <v>205.78196841473977</v>
          </cell>
          <cell r="AT94">
            <v>206.67244894510966</v>
          </cell>
          <cell r="AU94">
            <v>168.85970915312231</v>
          </cell>
          <cell r="AV94">
            <v>148.61160803021266</v>
          </cell>
          <cell r="AW94">
            <v>128.22356875941946</v>
          </cell>
          <cell r="AX94">
            <v>129.1449781911667</v>
          </cell>
          <cell r="AY94">
            <v>138.77655581032002</v>
          </cell>
          <cell r="AZ94">
            <v>132.89104958804563</v>
          </cell>
          <cell r="BA94">
            <v>151.49863999298063</v>
          </cell>
          <cell r="BB94">
            <v>137.54102436598706</v>
          </cell>
          <cell r="BC94">
            <v>154.9949303740361</v>
          </cell>
          <cell r="BD94">
            <v>155.41481558012191</v>
          </cell>
          <cell r="BE94">
            <v>164.47205411812939</v>
          </cell>
          <cell r="BF94">
            <v>180.0043912078261</v>
          </cell>
          <cell r="BG94">
            <v>198.04332618752116</v>
          </cell>
          <cell r="BH94">
            <v>286.9082525419721</v>
          </cell>
          <cell r="BI94">
            <v>202.50461685100973</v>
          </cell>
          <cell r="BJ94">
            <v>187.94604961730391</v>
          </cell>
          <cell r="BK94">
            <v>200</v>
          </cell>
          <cell r="BL94">
            <v>200</v>
          </cell>
          <cell r="BM94">
            <v>200</v>
          </cell>
          <cell r="BN94">
            <v>200</v>
          </cell>
          <cell r="BO94">
            <v>200</v>
          </cell>
          <cell r="BP94">
            <v>200</v>
          </cell>
          <cell r="BQ94">
            <v>200</v>
          </cell>
          <cell r="BR94">
            <v>200</v>
          </cell>
          <cell r="BS94">
            <v>200</v>
          </cell>
        </row>
        <row r="97">
          <cell r="A97" t="str">
            <v>Total Leverage</v>
          </cell>
          <cell r="F97">
            <v>6.0156842049185242</v>
          </cell>
          <cell r="G97">
            <v>4.080715567462228</v>
          </cell>
          <cell r="H97">
            <v>4.3776748272286614</v>
          </cell>
          <cell r="I97">
            <v>3.9668691078003628</v>
          </cell>
          <cell r="J97">
            <v>3.5689175857907989</v>
          </cell>
          <cell r="K97">
            <v>4.1480321246998688</v>
          </cell>
          <cell r="L97">
            <v>4.2624069079683702</v>
          </cell>
          <cell r="M97">
            <v>3.5550306357708004</v>
          </cell>
          <cell r="N97">
            <v>3.1829945988737478</v>
          </cell>
          <cell r="O97">
            <v>3.0095761124635385</v>
          </cell>
          <cell r="P97">
            <v>2.892411440921308</v>
          </cell>
          <cell r="Q97">
            <v>2.788083829155136</v>
          </cell>
          <cell r="R97">
            <v>2.7014120581880876</v>
          </cell>
          <cell r="S97">
            <v>2.6303592822213333</v>
          </cell>
          <cell r="T97">
            <v>2.5732449553890535</v>
          </cell>
          <cell r="U97">
            <v>2.5300318190560271</v>
          </cell>
          <cell r="V97">
            <v>2.4982433832790205</v>
          </cell>
          <cell r="AB97">
            <v>9.9151063629849787</v>
          </cell>
          <cell r="AC97">
            <v>9.1301968418775701</v>
          </cell>
          <cell r="AD97">
            <v>8.7289087163297925</v>
          </cell>
          <cell r="AE97">
            <v>8.3328168539214431</v>
          </cell>
          <cell r="AF97">
            <v>8.0067126146677676</v>
          </cell>
          <cell r="AG97">
            <v>7.5882135689597492</v>
          </cell>
          <cell r="AH97">
            <v>7.1435227111300534</v>
          </cell>
          <cell r="AI97">
            <v>7.2152427269540835</v>
          </cell>
          <cell r="AJ97">
            <v>6.7080129079562125</v>
          </cell>
          <cell r="AK97">
            <v>6.2928667167936183</v>
          </cell>
          <cell r="AL97">
            <v>5.4917913329994148</v>
          </cell>
          <cell r="AM97">
            <v>4.6252246417252474</v>
          </cell>
          <cell r="AN97">
            <v>4.1875501756437563</v>
          </cell>
          <cell r="AO97">
            <v>4.1612126756203596</v>
          </cell>
          <cell r="AP97">
            <v>4.0904916707991248</v>
          </cell>
          <cell r="AQ97">
            <v>4.0536827364008312</v>
          </cell>
          <cell r="AR97">
            <v>3.7788667428377987</v>
          </cell>
          <cell r="AS97">
            <v>4.1178276481892588</v>
          </cell>
          <cell r="AT97">
            <v>4.0491366620010618</v>
          </cell>
          <cell r="AU97">
            <v>4.2427042204436276</v>
          </cell>
          <cell r="AV97">
            <v>4.2233127128393049</v>
          </cell>
          <cell r="AW97">
            <v>4.059412086640636</v>
          </cell>
          <cell r="AX97">
            <v>3.9909297113433997</v>
          </cell>
          <cell r="AY97">
            <v>3.8684106215673819</v>
          </cell>
          <cell r="AZ97">
            <v>3.8549073721721743</v>
          </cell>
          <cell r="BA97">
            <v>3.8694992082688064</v>
          </cell>
          <cell r="BB97">
            <v>3.4437481302250967</v>
          </cell>
          <cell r="BC97">
            <v>3.4185192395042496</v>
          </cell>
          <cell r="BD97">
            <v>3.3971459252268037</v>
          </cell>
          <cell r="BE97">
            <v>3.2375883652315336</v>
          </cell>
          <cell r="BF97">
            <v>3.4343713570595904</v>
          </cell>
          <cell r="BG97">
            <v>3.8261234378635849</v>
          </cell>
          <cell r="BH97">
            <v>3.6964818930128458</v>
          </cell>
          <cell r="BI97">
            <v>3.6877161962818099</v>
          </cell>
          <cell r="BJ97">
            <v>3.7079924737194414</v>
          </cell>
          <cell r="BK97">
            <v>4.0279487378488801</v>
          </cell>
          <cell r="BL97">
            <v>3.8945795583363036</v>
          </cell>
          <cell r="BM97">
            <v>3.6010279557124427</v>
          </cell>
          <cell r="BN97">
            <v>3.4419527039589646</v>
          </cell>
          <cell r="BO97">
            <v>3.3307585395464478</v>
          </cell>
          <cell r="BP97">
            <v>3.3230013151069571</v>
          </cell>
          <cell r="BQ97">
            <v>3.2135835907785237</v>
          </cell>
          <cell r="BR97">
            <v>3.1294007185334611</v>
          </cell>
          <cell r="BS97">
            <v>3.07603109429916</v>
          </cell>
        </row>
        <row r="98">
          <cell r="A98" t="str">
            <v>Net Leverage</v>
          </cell>
          <cell r="F98">
            <v>5.8280580953205439</v>
          </cell>
          <cell r="G98">
            <v>3.7567660331201043</v>
          </cell>
          <cell r="H98">
            <v>4.2889962661981125</v>
          </cell>
          <cell r="I98">
            <v>3.7884044623714002</v>
          </cell>
          <cell r="J98">
            <v>3.3190041704595967</v>
          </cell>
          <cell r="K98">
            <v>3.4357810213778834</v>
          </cell>
          <cell r="L98">
            <v>4.1994996535064102</v>
          </cell>
          <cell r="M98">
            <v>3.2780680085581055</v>
          </cell>
          <cell r="N98">
            <v>2.4801722136655404</v>
          </cell>
          <cell r="O98">
            <v>2.0299677112553938</v>
          </cell>
          <cell r="P98">
            <v>1.773502205975201</v>
          </cell>
          <cell r="Q98">
            <v>1.5288841671436462</v>
          </cell>
          <cell r="R98">
            <v>1.3020470392711696</v>
          </cell>
          <cell r="S98">
            <v>1.0847447724762522</v>
          </cell>
          <cell r="T98">
            <v>0.88041248505512615</v>
          </cell>
          <cell r="U98">
            <v>0.67717246912116524</v>
          </cell>
          <cell r="V98">
            <v>0.48038632046931856</v>
          </cell>
          <cell r="AB98">
            <v>8.9795144068692547</v>
          </cell>
          <cell r="AC98">
            <v>8.317731992212849</v>
          </cell>
          <cell r="AD98">
            <v>7.8324381944159711</v>
          </cell>
          <cell r="AE98">
            <v>7.6498220005354867</v>
          </cell>
          <cell r="AF98">
            <v>7.4780638741930785</v>
          </cell>
          <cell r="AG98">
            <v>7.1286305608206035</v>
          </cell>
          <cell r="AH98">
            <v>6.8620019177498426</v>
          </cell>
          <cell r="AI98">
            <v>6.7430270767613045</v>
          </cell>
          <cell r="AJ98">
            <v>6.4462793711421087</v>
          </cell>
          <cell r="AK98">
            <v>6.1179222923273073</v>
          </cell>
          <cell r="AL98">
            <v>5.3271065542607827</v>
          </cell>
          <cell r="AM98">
            <v>4.4809662538208288</v>
          </cell>
          <cell r="AN98">
            <v>4.0882743290965369</v>
          </cell>
          <cell r="AO98">
            <v>4.0567367531081517</v>
          </cell>
          <cell r="AP98">
            <v>3.8526433963303761</v>
          </cell>
          <cell r="AQ98">
            <v>3.7318792161313654</v>
          </cell>
          <cell r="AR98">
            <v>3.728984173331642</v>
          </cell>
          <cell r="AS98">
            <v>3.8600609655081017</v>
          </cell>
          <cell r="AT98">
            <v>3.9245640072719086</v>
          </cell>
          <cell r="AU98">
            <v>4.1567597590580929</v>
          </cell>
          <cell r="AV98">
            <v>4.0597454689511734</v>
          </cell>
          <cell r="AW98">
            <v>3.8727369229130462</v>
          </cell>
          <cell r="AX98">
            <v>3.8854787101795489</v>
          </cell>
          <cell r="AY98">
            <v>3.6943755044030371</v>
          </cell>
          <cell r="AZ98">
            <v>3.5308140010455964</v>
          </cell>
          <cell r="BA98">
            <v>3.5437488037028668</v>
          </cell>
          <cell r="BB98">
            <v>3.213236526936265</v>
          </cell>
          <cell r="BC98">
            <v>3.1791374667445327</v>
          </cell>
          <cell r="BD98">
            <v>3.0739690274861791</v>
          </cell>
          <cell r="BE98">
            <v>2.9607244001757183</v>
          </cell>
          <cell r="BF98">
            <v>3.1193377277194911</v>
          </cell>
          <cell r="BG98">
            <v>3.1691466936775385</v>
          </cell>
          <cell r="BH98">
            <v>3.4032840129199244</v>
          </cell>
          <cell r="BI98">
            <v>3.4418060645466375</v>
          </cell>
          <cell r="BJ98">
            <v>3.5652593332648062</v>
          </cell>
          <cell r="BK98">
            <v>3.9685017630098769</v>
          </cell>
          <cell r="BL98">
            <v>3.821631149610988</v>
          </cell>
          <cell r="BM98">
            <v>3.479735217920505</v>
          </cell>
          <cell r="BN98">
            <v>3.2522089373651033</v>
          </cell>
          <cell r="BO98">
            <v>3.0712683325024552</v>
          </cell>
          <cell r="BP98">
            <v>2.9618603656185281</v>
          </cell>
          <cell r="BQ98">
            <v>2.7477277438812573</v>
          </cell>
          <cell r="BR98">
            <v>2.5585592257403356</v>
          </cell>
          <cell r="BS98">
            <v>2.3968268281546612</v>
          </cell>
        </row>
        <row r="102">
          <cell r="A102" t="str">
            <v>Debt and Interest Schedule</v>
          </cell>
        </row>
        <row r="104">
          <cell r="A104" t="str">
            <v>Commerical Mort. Pass-through Certificates, Series 2007-1 (Apr. 15, 2014)</v>
          </cell>
        </row>
        <row r="105">
          <cell r="A105" t="str">
            <v>Beginning</v>
          </cell>
          <cell r="H105">
            <v>1750</v>
          </cell>
          <cell r="I105">
            <v>1750</v>
          </cell>
          <cell r="J105">
            <v>1750</v>
          </cell>
          <cell r="K105">
            <v>1750</v>
          </cell>
          <cell r="L105">
            <v>1750</v>
          </cell>
          <cell r="M105">
            <v>1750</v>
          </cell>
          <cell r="N105">
            <v>1750</v>
          </cell>
          <cell r="O105">
            <v>1750</v>
          </cell>
          <cell r="P105">
            <v>1750</v>
          </cell>
          <cell r="Q105">
            <v>1750</v>
          </cell>
          <cell r="R105">
            <v>1750</v>
          </cell>
          <cell r="S105">
            <v>1750</v>
          </cell>
          <cell r="T105">
            <v>1750</v>
          </cell>
          <cell r="U105">
            <v>1750</v>
          </cell>
          <cell r="V105">
            <v>1750</v>
          </cell>
          <cell r="AT105">
            <v>1750</v>
          </cell>
          <cell r="AU105">
            <v>1750</v>
          </cell>
          <cell r="AV105">
            <v>1750</v>
          </cell>
          <cell r="AW105">
            <v>1750</v>
          </cell>
          <cell r="AX105">
            <v>1750</v>
          </cell>
          <cell r="AY105">
            <v>1750</v>
          </cell>
          <cell r="AZ105">
            <v>1750</v>
          </cell>
          <cell r="BA105">
            <v>1750</v>
          </cell>
          <cell r="BB105">
            <v>1750</v>
          </cell>
          <cell r="BC105">
            <v>1750</v>
          </cell>
          <cell r="BD105">
            <v>1750</v>
          </cell>
          <cell r="BE105">
            <v>1750</v>
          </cell>
          <cell r="BF105">
            <v>1750</v>
          </cell>
          <cell r="BG105">
            <v>1750</v>
          </cell>
          <cell r="BH105">
            <v>1750</v>
          </cell>
          <cell r="BI105">
            <v>1750</v>
          </cell>
          <cell r="BJ105">
            <v>1750</v>
          </cell>
          <cell r="BK105">
            <v>1750</v>
          </cell>
          <cell r="BL105">
            <v>1750</v>
          </cell>
          <cell r="BM105">
            <v>1750</v>
          </cell>
          <cell r="BN105">
            <v>1750</v>
          </cell>
          <cell r="BO105">
            <v>1750</v>
          </cell>
          <cell r="BP105">
            <v>1750</v>
          </cell>
          <cell r="BQ105">
            <v>1750</v>
          </cell>
          <cell r="BR105">
            <v>1750</v>
          </cell>
          <cell r="BS105">
            <v>1750</v>
          </cell>
        </row>
        <row r="106">
          <cell r="A106" t="str">
            <v>Addition (Retirement)</v>
          </cell>
          <cell r="H106">
            <v>0</v>
          </cell>
          <cell r="I106">
            <v>0</v>
          </cell>
          <cell r="J106">
            <v>0</v>
          </cell>
          <cell r="K106">
            <v>0</v>
          </cell>
          <cell r="L106">
            <v>0</v>
          </cell>
          <cell r="M106">
            <v>0</v>
          </cell>
          <cell r="N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row>
        <row r="107">
          <cell r="A107" t="str">
            <v>Ending Balance</v>
          </cell>
          <cell r="H107">
            <v>1750</v>
          </cell>
          <cell r="I107">
            <v>1750</v>
          </cell>
          <cell r="J107">
            <v>1750</v>
          </cell>
          <cell r="K107">
            <v>1750</v>
          </cell>
          <cell r="L107">
            <v>1750</v>
          </cell>
          <cell r="M107">
            <v>1750</v>
          </cell>
          <cell r="N107">
            <v>1750</v>
          </cell>
          <cell r="O107">
            <v>1750</v>
          </cell>
          <cell r="P107">
            <v>1750</v>
          </cell>
          <cell r="Q107">
            <v>1750</v>
          </cell>
          <cell r="R107">
            <v>1750</v>
          </cell>
          <cell r="S107">
            <v>1750</v>
          </cell>
          <cell r="T107">
            <v>1750</v>
          </cell>
          <cell r="U107">
            <v>1750</v>
          </cell>
          <cell r="V107">
            <v>1750</v>
          </cell>
          <cell r="AT107">
            <v>1750</v>
          </cell>
          <cell r="AU107">
            <v>1750</v>
          </cell>
          <cell r="AV107">
            <v>1750</v>
          </cell>
          <cell r="AW107">
            <v>1750</v>
          </cell>
          <cell r="AX107">
            <v>1750</v>
          </cell>
          <cell r="AY107">
            <v>1750</v>
          </cell>
          <cell r="AZ107">
            <v>1750</v>
          </cell>
          <cell r="BA107">
            <v>1750</v>
          </cell>
          <cell r="BB107">
            <v>1750</v>
          </cell>
          <cell r="BC107">
            <v>1750</v>
          </cell>
          <cell r="BD107">
            <v>1750</v>
          </cell>
          <cell r="BE107">
            <v>1750</v>
          </cell>
          <cell r="BF107">
            <v>1750</v>
          </cell>
          <cell r="BG107">
            <v>1750</v>
          </cell>
          <cell r="BH107">
            <v>1750</v>
          </cell>
          <cell r="BI107">
            <v>1750</v>
          </cell>
          <cell r="BJ107">
            <v>1750</v>
          </cell>
          <cell r="BK107">
            <v>1750</v>
          </cell>
          <cell r="BL107">
            <v>1750</v>
          </cell>
          <cell r="BM107">
            <v>1750</v>
          </cell>
          <cell r="BN107">
            <v>1750</v>
          </cell>
          <cell r="BO107">
            <v>1750</v>
          </cell>
          <cell r="BP107">
            <v>1750</v>
          </cell>
          <cell r="BQ107">
            <v>1750</v>
          </cell>
          <cell r="BR107">
            <v>1750</v>
          </cell>
          <cell r="BS107">
            <v>1750</v>
          </cell>
        </row>
        <row r="109">
          <cell r="A109" t="str">
            <v>Senior Unsecured Term Loan (Jun 8, 2012)</v>
          </cell>
        </row>
        <row r="110">
          <cell r="A110" t="str">
            <v>Beginning</v>
          </cell>
          <cell r="J110">
            <v>325</v>
          </cell>
          <cell r="K110">
            <v>325</v>
          </cell>
          <cell r="L110">
            <v>325</v>
          </cell>
          <cell r="M110">
            <v>325</v>
          </cell>
          <cell r="N110">
            <v>325</v>
          </cell>
          <cell r="O110">
            <v>325</v>
          </cell>
          <cell r="P110">
            <v>325</v>
          </cell>
          <cell r="Q110">
            <v>325</v>
          </cell>
          <cell r="R110">
            <v>325</v>
          </cell>
          <cell r="S110">
            <v>325</v>
          </cell>
          <cell r="T110">
            <v>325</v>
          </cell>
          <cell r="U110">
            <v>325</v>
          </cell>
          <cell r="V110">
            <v>325</v>
          </cell>
          <cell r="AW110">
            <v>325</v>
          </cell>
          <cell r="AX110">
            <v>325</v>
          </cell>
          <cell r="AY110">
            <v>325</v>
          </cell>
          <cell r="AZ110">
            <v>325</v>
          </cell>
          <cell r="BA110">
            <v>325</v>
          </cell>
          <cell r="BB110">
            <v>325</v>
          </cell>
          <cell r="BC110">
            <v>325</v>
          </cell>
          <cell r="BD110">
            <v>325</v>
          </cell>
          <cell r="BE110">
            <v>325</v>
          </cell>
          <cell r="BF110">
            <v>325</v>
          </cell>
          <cell r="BG110">
            <v>325</v>
          </cell>
          <cell r="BH110">
            <v>325</v>
          </cell>
          <cell r="BI110">
            <v>325</v>
          </cell>
          <cell r="BJ110">
            <v>325</v>
          </cell>
          <cell r="BK110">
            <v>325</v>
          </cell>
          <cell r="BL110">
            <v>325</v>
          </cell>
          <cell r="BM110">
            <v>325</v>
          </cell>
          <cell r="BN110">
            <v>325</v>
          </cell>
          <cell r="BO110">
            <v>325</v>
          </cell>
          <cell r="BP110">
            <v>325</v>
          </cell>
          <cell r="BQ110">
            <v>325</v>
          </cell>
          <cell r="BR110">
            <v>325</v>
          </cell>
          <cell r="BS110">
            <v>325</v>
          </cell>
        </row>
        <row r="111">
          <cell r="A111" t="str">
            <v>Addition (Retirement)</v>
          </cell>
          <cell r="I111">
            <v>325</v>
          </cell>
          <cell r="J111">
            <v>0</v>
          </cell>
          <cell r="K111">
            <v>0</v>
          </cell>
          <cell r="L111">
            <v>0</v>
          </cell>
          <cell r="M111">
            <v>0</v>
          </cell>
          <cell r="N111">
            <v>0</v>
          </cell>
          <cell r="AV111">
            <v>325</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row>
        <row r="112">
          <cell r="A112" t="str">
            <v>Ending Balance</v>
          </cell>
          <cell r="I112">
            <v>325</v>
          </cell>
          <cell r="J112">
            <v>325</v>
          </cell>
          <cell r="K112">
            <v>325</v>
          </cell>
          <cell r="L112">
            <v>325</v>
          </cell>
          <cell r="M112">
            <v>325</v>
          </cell>
          <cell r="N112">
            <v>325</v>
          </cell>
          <cell r="O112">
            <v>325</v>
          </cell>
          <cell r="P112">
            <v>325</v>
          </cell>
          <cell r="Q112">
            <v>325</v>
          </cell>
          <cell r="R112">
            <v>325</v>
          </cell>
          <cell r="S112">
            <v>325</v>
          </cell>
          <cell r="T112">
            <v>325</v>
          </cell>
          <cell r="U112">
            <v>325</v>
          </cell>
          <cell r="V112">
            <v>325</v>
          </cell>
          <cell r="AR112">
            <v>516</v>
          </cell>
          <cell r="AV112">
            <v>325</v>
          </cell>
          <cell r="AW112">
            <v>325</v>
          </cell>
          <cell r="AX112">
            <v>325</v>
          </cell>
          <cell r="AY112">
            <v>325</v>
          </cell>
          <cell r="AZ112">
            <v>325</v>
          </cell>
          <cell r="BA112">
            <v>325</v>
          </cell>
          <cell r="BB112">
            <v>325</v>
          </cell>
          <cell r="BC112">
            <v>325</v>
          </cell>
          <cell r="BD112">
            <v>325</v>
          </cell>
          <cell r="BE112">
            <v>325</v>
          </cell>
          <cell r="BF112">
            <v>325</v>
          </cell>
          <cell r="BG112">
            <v>325</v>
          </cell>
          <cell r="BH112">
            <v>325</v>
          </cell>
          <cell r="BI112">
            <v>325</v>
          </cell>
          <cell r="BJ112">
            <v>325</v>
          </cell>
          <cell r="BK112">
            <v>325</v>
          </cell>
          <cell r="BL112">
            <v>325</v>
          </cell>
          <cell r="BM112">
            <v>325</v>
          </cell>
          <cell r="BN112">
            <v>325</v>
          </cell>
          <cell r="BO112">
            <v>325</v>
          </cell>
          <cell r="BP112">
            <v>325</v>
          </cell>
          <cell r="BQ112">
            <v>325</v>
          </cell>
          <cell r="BR112">
            <v>325</v>
          </cell>
          <cell r="BS112">
            <v>325</v>
          </cell>
        </row>
        <row r="114">
          <cell r="A114" t="str">
            <v>Revolving Credit Facility (Jun 8, 2012)</v>
          </cell>
        </row>
        <row r="115">
          <cell r="A115" t="str">
            <v>Beginning</v>
          </cell>
          <cell r="H115">
            <v>550</v>
          </cell>
          <cell r="I115">
            <v>825</v>
          </cell>
          <cell r="J115">
            <v>750</v>
          </cell>
          <cell r="K115">
            <v>550</v>
          </cell>
          <cell r="L115">
            <v>300</v>
          </cell>
          <cell r="M115">
            <v>516</v>
          </cell>
          <cell r="N115">
            <v>516</v>
          </cell>
          <cell r="O115">
            <v>516</v>
          </cell>
          <cell r="P115">
            <v>516</v>
          </cell>
          <cell r="Q115">
            <v>516</v>
          </cell>
          <cell r="R115">
            <v>516</v>
          </cell>
          <cell r="S115">
            <v>516</v>
          </cell>
          <cell r="T115">
            <v>516</v>
          </cell>
          <cell r="U115">
            <v>516</v>
          </cell>
          <cell r="V115">
            <v>516</v>
          </cell>
          <cell r="AT115">
            <v>550</v>
          </cell>
          <cell r="AU115">
            <v>550</v>
          </cell>
          <cell r="AV115">
            <v>825</v>
          </cell>
          <cell r="AW115">
            <v>650</v>
          </cell>
          <cell r="AX115">
            <v>650</v>
          </cell>
          <cell r="AY115">
            <v>700</v>
          </cell>
          <cell r="AZ115">
            <v>750</v>
          </cell>
          <cell r="BA115">
            <v>750</v>
          </cell>
          <cell r="BB115">
            <v>700</v>
          </cell>
          <cell r="BC115">
            <v>625</v>
          </cell>
          <cell r="BD115">
            <v>550</v>
          </cell>
          <cell r="BE115">
            <v>625</v>
          </cell>
          <cell r="BF115">
            <v>625</v>
          </cell>
          <cell r="BG115">
            <v>400</v>
          </cell>
          <cell r="BH115">
            <v>300</v>
          </cell>
          <cell r="BI115">
            <v>175</v>
          </cell>
          <cell r="BJ115">
            <v>275</v>
          </cell>
          <cell r="BK115">
            <v>375</v>
          </cell>
          <cell r="BL115">
            <v>516</v>
          </cell>
          <cell r="BM115">
            <v>516</v>
          </cell>
          <cell r="BN115">
            <v>516</v>
          </cell>
          <cell r="BO115">
            <v>516</v>
          </cell>
          <cell r="BP115">
            <v>516</v>
          </cell>
          <cell r="BQ115">
            <v>516</v>
          </cell>
          <cell r="BR115">
            <v>516</v>
          </cell>
          <cell r="BS115">
            <v>516</v>
          </cell>
        </row>
        <row r="116">
          <cell r="A116" t="str">
            <v>Addition (Retirement)</v>
          </cell>
          <cell r="H116">
            <v>275</v>
          </cell>
          <cell r="I116">
            <v>-75</v>
          </cell>
          <cell r="J116">
            <v>-200</v>
          </cell>
          <cell r="K116">
            <v>-250</v>
          </cell>
          <cell r="L116">
            <v>216</v>
          </cell>
          <cell r="M116">
            <v>0</v>
          </cell>
          <cell r="N116">
            <v>0</v>
          </cell>
          <cell r="AU116">
            <v>275</v>
          </cell>
          <cell r="AV116">
            <v>-175</v>
          </cell>
          <cell r="AW116">
            <v>0</v>
          </cell>
          <cell r="AX116">
            <v>50</v>
          </cell>
          <cell r="AY116">
            <v>50</v>
          </cell>
          <cell r="AZ116">
            <v>0</v>
          </cell>
          <cell r="BA116">
            <v>-50</v>
          </cell>
          <cell r="BB116">
            <v>-75</v>
          </cell>
          <cell r="BC116">
            <v>-75</v>
          </cell>
          <cell r="BD116">
            <v>75</v>
          </cell>
          <cell r="BE116">
            <v>0</v>
          </cell>
          <cell r="BF116">
            <v>-225</v>
          </cell>
          <cell r="BG116">
            <v>-100</v>
          </cell>
          <cell r="BH116">
            <v>-125</v>
          </cell>
          <cell r="BI116">
            <v>100</v>
          </cell>
          <cell r="BJ116">
            <v>100</v>
          </cell>
          <cell r="BK116">
            <v>141</v>
          </cell>
        </row>
        <row r="117">
          <cell r="A117" t="str">
            <v>Ending Balance</v>
          </cell>
          <cell r="H117">
            <v>825</v>
          </cell>
          <cell r="I117">
            <v>750</v>
          </cell>
          <cell r="J117">
            <v>550</v>
          </cell>
          <cell r="K117">
            <v>300</v>
          </cell>
          <cell r="L117">
            <v>516</v>
          </cell>
          <cell r="M117">
            <v>516</v>
          </cell>
          <cell r="N117">
            <v>516</v>
          </cell>
          <cell r="O117">
            <v>516</v>
          </cell>
          <cell r="P117">
            <v>516</v>
          </cell>
          <cell r="Q117">
            <v>516</v>
          </cell>
          <cell r="R117">
            <v>516</v>
          </cell>
          <cell r="S117">
            <v>516</v>
          </cell>
          <cell r="T117">
            <v>516</v>
          </cell>
          <cell r="U117">
            <v>516</v>
          </cell>
          <cell r="V117">
            <v>516</v>
          </cell>
          <cell r="AT117">
            <v>550</v>
          </cell>
          <cell r="AU117">
            <v>825</v>
          </cell>
          <cell r="AV117">
            <v>650</v>
          </cell>
          <cell r="AW117">
            <v>650</v>
          </cell>
          <cell r="AX117">
            <v>700</v>
          </cell>
          <cell r="AY117">
            <v>750</v>
          </cell>
          <cell r="AZ117">
            <v>750</v>
          </cell>
          <cell r="BA117">
            <v>700</v>
          </cell>
          <cell r="BB117">
            <v>625</v>
          </cell>
          <cell r="BC117">
            <v>550</v>
          </cell>
          <cell r="BD117">
            <v>625</v>
          </cell>
          <cell r="BE117">
            <v>625</v>
          </cell>
          <cell r="BF117">
            <v>400</v>
          </cell>
          <cell r="BG117">
            <v>300</v>
          </cell>
          <cell r="BH117">
            <v>175</v>
          </cell>
          <cell r="BI117">
            <v>275</v>
          </cell>
          <cell r="BJ117">
            <v>375</v>
          </cell>
          <cell r="BK117">
            <v>516</v>
          </cell>
          <cell r="BL117">
            <v>516</v>
          </cell>
          <cell r="BM117">
            <v>516</v>
          </cell>
          <cell r="BN117">
            <v>516</v>
          </cell>
          <cell r="BO117">
            <v>516</v>
          </cell>
          <cell r="BP117">
            <v>516</v>
          </cell>
          <cell r="BQ117">
            <v>516</v>
          </cell>
          <cell r="BR117">
            <v>516</v>
          </cell>
          <cell r="BS117">
            <v>516</v>
          </cell>
        </row>
        <row r="119">
          <cell r="A119" t="str">
            <v>7.25% Sr. Subordinated Notes (Dec 1, 2011)</v>
          </cell>
        </row>
        <row r="120">
          <cell r="A120" t="str">
            <v>Beginning</v>
          </cell>
          <cell r="H120">
            <v>0.28799999999999998</v>
          </cell>
          <cell r="I120">
            <v>0.28799999999999998</v>
          </cell>
          <cell r="J120">
            <v>0.28799999999999998</v>
          </cell>
          <cell r="K120">
            <v>0.28799999999999998</v>
          </cell>
          <cell r="L120">
            <v>0</v>
          </cell>
          <cell r="M120">
            <v>0</v>
          </cell>
          <cell r="N120">
            <v>0</v>
          </cell>
          <cell r="O120">
            <v>0</v>
          </cell>
          <cell r="P120">
            <v>0</v>
          </cell>
          <cell r="Q120">
            <v>0</v>
          </cell>
          <cell r="R120">
            <v>0</v>
          </cell>
          <cell r="S120">
            <v>0</v>
          </cell>
          <cell r="T120">
            <v>0</v>
          </cell>
          <cell r="U120">
            <v>0</v>
          </cell>
          <cell r="V120">
            <v>0</v>
          </cell>
          <cell r="AT120">
            <v>0.28799999999999998</v>
          </cell>
          <cell r="AU120">
            <v>0.28799999999999998</v>
          </cell>
          <cell r="AV120">
            <v>0.28799999999999998</v>
          </cell>
          <cell r="AW120">
            <v>0.28799999999999998</v>
          </cell>
          <cell r="AX120">
            <v>0.28799999999999998</v>
          </cell>
          <cell r="AY120">
            <v>0.28799999999999998</v>
          </cell>
          <cell r="AZ120">
            <v>0.28799999999999998</v>
          </cell>
          <cell r="BA120">
            <v>0.28799999999999998</v>
          </cell>
          <cell r="BB120">
            <v>0.28799999999999998</v>
          </cell>
          <cell r="BC120">
            <v>0.28799999999999998</v>
          </cell>
          <cell r="BD120">
            <v>0.28799999999999998</v>
          </cell>
          <cell r="BE120">
            <v>0.28799999999999998</v>
          </cell>
          <cell r="BF120">
            <v>0.28799999999999998</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row>
        <row r="121">
          <cell r="A121" t="str">
            <v>Addition (Retirement)</v>
          </cell>
          <cell r="H121">
            <v>0</v>
          </cell>
          <cell r="I121">
            <v>0</v>
          </cell>
          <cell r="J121">
            <v>0</v>
          </cell>
          <cell r="K121">
            <v>-0.28799999999999998</v>
          </cell>
          <cell r="AU121">
            <v>0</v>
          </cell>
          <cell r="AV121">
            <v>0</v>
          </cell>
          <cell r="AW121">
            <v>0</v>
          </cell>
          <cell r="AX121">
            <v>0</v>
          </cell>
          <cell r="AY121">
            <v>0</v>
          </cell>
          <cell r="AZ121">
            <v>0</v>
          </cell>
          <cell r="BA121">
            <v>0</v>
          </cell>
          <cell r="BB121">
            <v>0</v>
          </cell>
          <cell r="BC121">
            <v>0</v>
          </cell>
          <cell r="BD121">
            <v>0</v>
          </cell>
          <cell r="BE121">
            <v>0</v>
          </cell>
          <cell r="BF121">
            <v>-0.28799999999999998</v>
          </cell>
        </row>
        <row r="122">
          <cell r="A122" t="str">
            <v>Ending Balance</v>
          </cell>
          <cell r="H122">
            <v>0.28799999999999998</v>
          </cell>
          <cell r="I122">
            <v>0.28799999999999998</v>
          </cell>
          <cell r="J122">
            <v>0.28799999999999998</v>
          </cell>
          <cell r="K122">
            <v>0</v>
          </cell>
          <cell r="L122">
            <v>0</v>
          </cell>
          <cell r="M122">
            <v>0</v>
          </cell>
          <cell r="N122">
            <v>0</v>
          </cell>
          <cell r="O122">
            <v>0</v>
          </cell>
          <cell r="P122">
            <v>0</v>
          </cell>
          <cell r="Q122">
            <v>0</v>
          </cell>
          <cell r="R122">
            <v>0</v>
          </cell>
          <cell r="S122">
            <v>0</v>
          </cell>
          <cell r="T122">
            <v>0</v>
          </cell>
          <cell r="U122">
            <v>0</v>
          </cell>
          <cell r="V122">
            <v>0</v>
          </cell>
          <cell r="AT122">
            <v>0.28799999999999998</v>
          </cell>
          <cell r="AU122">
            <v>0.28799999999999998</v>
          </cell>
          <cell r="AV122">
            <v>0.28799999999999998</v>
          </cell>
          <cell r="AW122">
            <v>0.28799999999999998</v>
          </cell>
          <cell r="AX122">
            <v>0.28799999999999998</v>
          </cell>
          <cell r="AY122">
            <v>0.28799999999999998</v>
          </cell>
          <cell r="AZ122">
            <v>0.28799999999999998</v>
          </cell>
          <cell r="BA122">
            <v>0.28799999999999998</v>
          </cell>
          <cell r="BB122">
            <v>0.28799999999999998</v>
          </cell>
          <cell r="BC122">
            <v>0.28799999999999998</v>
          </cell>
          <cell r="BD122">
            <v>0.28799999999999998</v>
          </cell>
          <cell r="BE122">
            <v>0.28799999999999998</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row>
        <row r="124">
          <cell r="A124" t="str">
            <v>7.50% Sr Notes (May 1, 2012)</v>
          </cell>
        </row>
        <row r="125">
          <cell r="A125" t="str">
            <v>Beginning</v>
          </cell>
          <cell r="H125">
            <v>225</v>
          </cell>
          <cell r="I125">
            <v>225</v>
          </cell>
          <cell r="J125">
            <v>225</v>
          </cell>
          <cell r="K125">
            <v>0</v>
          </cell>
          <cell r="L125">
            <v>0</v>
          </cell>
          <cell r="M125">
            <v>0</v>
          </cell>
          <cell r="N125">
            <v>0</v>
          </cell>
          <cell r="O125">
            <v>0</v>
          </cell>
          <cell r="P125">
            <v>0</v>
          </cell>
          <cell r="Q125">
            <v>0</v>
          </cell>
          <cell r="R125">
            <v>0</v>
          </cell>
          <cell r="S125">
            <v>0</v>
          </cell>
          <cell r="T125">
            <v>0</v>
          </cell>
          <cell r="U125">
            <v>0</v>
          </cell>
          <cell r="V125">
            <v>0</v>
          </cell>
          <cell r="AT125">
            <v>225</v>
          </cell>
          <cell r="AU125">
            <v>225</v>
          </cell>
          <cell r="AV125">
            <v>225</v>
          </cell>
          <cell r="AW125">
            <v>225</v>
          </cell>
          <cell r="AX125">
            <v>225</v>
          </cell>
          <cell r="AY125">
            <v>225</v>
          </cell>
          <cell r="AZ125">
            <v>225</v>
          </cell>
          <cell r="BA125">
            <v>225</v>
          </cell>
          <cell r="BB125">
            <v>20.815999999999999</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row>
        <row r="126">
          <cell r="A126" t="str">
            <v>Addition (Retirement)</v>
          </cell>
          <cell r="H126">
            <v>0</v>
          </cell>
          <cell r="I126">
            <v>0</v>
          </cell>
          <cell r="J126">
            <v>-225</v>
          </cell>
          <cell r="K126">
            <v>0</v>
          </cell>
          <cell r="AU126">
            <v>0</v>
          </cell>
          <cell r="AV126">
            <v>0</v>
          </cell>
          <cell r="AW126">
            <v>0</v>
          </cell>
          <cell r="AX126">
            <v>0</v>
          </cell>
          <cell r="AY126">
            <v>0</v>
          </cell>
          <cell r="AZ126">
            <v>0</v>
          </cell>
          <cell r="BA126">
            <v>-204.184</v>
          </cell>
          <cell r="BB126">
            <v>-20.815999999999999</v>
          </cell>
          <cell r="BC126">
            <v>0</v>
          </cell>
          <cell r="BD126">
            <v>0</v>
          </cell>
          <cell r="BE126">
            <v>0</v>
          </cell>
        </row>
        <row r="127">
          <cell r="A127" t="str">
            <v>Ending Balance</v>
          </cell>
          <cell r="H127">
            <v>225</v>
          </cell>
          <cell r="I127">
            <v>225</v>
          </cell>
          <cell r="J127">
            <v>0</v>
          </cell>
          <cell r="K127">
            <v>0</v>
          </cell>
          <cell r="L127">
            <v>0</v>
          </cell>
          <cell r="M127">
            <v>0</v>
          </cell>
          <cell r="N127">
            <v>0</v>
          </cell>
          <cell r="O127">
            <v>0</v>
          </cell>
          <cell r="P127">
            <v>0</v>
          </cell>
          <cell r="Q127">
            <v>0</v>
          </cell>
          <cell r="R127">
            <v>0</v>
          </cell>
          <cell r="S127">
            <v>0</v>
          </cell>
          <cell r="T127">
            <v>0</v>
          </cell>
          <cell r="U127">
            <v>0</v>
          </cell>
          <cell r="V127">
            <v>0</v>
          </cell>
          <cell r="AT127">
            <v>225</v>
          </cell>
          <cell r="AU127">
            <v>225</v>
          </cell>
          <cell r="AV127">
            <v>225</v>
          </cell>
          <cell r="AW127">
            <v>225</v>
          </cell>
          <cell r="AX127">
            <v>225</v>
          </cell>
          <cell r="AY127">
            <v>225</v>
          </cell>
          <cell r="AZ127">
            <v>225</v>
          </cell>
          <cell r="BA127">
            <v>20.815999999999999</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row>
        <row r="129">
          <cell r="A129" t="str">
            <v>7.125% Sr Notes (Oct 15, 2012)</v>
          </cell>
        </row>
        <row r="130">
          <cell r="A130" t="str">
            <v>Beginning</v>
          </cell>
          <cell r="H130">
            <v>500</v>
          </cell>
          <cell r="I130">
            <v>502.202</v>
          </cell>
          <cell r="J130">
            <v>501.10700000000003</v>
          </cell>
          <cell r="K130">
            <v>0</v>
          </cell>
          <cell r="L130">
            <v>0</v>
          </cell>
          <cell r="M130">
            <v>0</v>
          </cell>
          <cell r="N130">
            <v>0</v>
          </cell>
          <cell r="O130">
            <v>0</v>
          </cell>
          <cell r="P130">
            <v>0</v>
          </cell>
          <cell r="Q130">
            <v>0</v>
          </cell>
          <cell r="R130">
            <v>0</v>
          </cell>
          <cell r="S130">
            <v>0</v>
          </cell>
          <cell r="T130">
            <v>0</v>
          </cell>
          <cell r="U130">
            <v>0</v>
          </cell>
          <cell r="V130">
            <v>0</v>
          </cell>
          <cell r="AT130">
            <v>500</v>
          </cell>
          <cell r="AU130">
            <v>500</v>
          </cell>
          <cell r="AV130">
            <v>502.202</v>
          </cell>
          <cell r="AW130">
            <v>501.87400000000002</v>
          </cell>
          <cell r="AX130">
            <v>501.54199999999997</v>
          </cell>
          <cell r="AY130">
            <v>501.21199999999999</v>
          </cell>
          <cell r="AZ130">
            <v>501.10700000000003</v>
          </cell>
          <cell r="BA130">
            <v>501.04300000000001</v>
          </cell>
          <cell r="BB130">
            <v>500.98</v>
          </cell>
          <cell r="BC130">
            <v>500.91500000000002</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row>
        <row r="131">
          <cell r="A131" t="str">
            <v>Addition (Retirement)</v>
          </cell>
          <cell r="H131">
            <v>2.2019999999999982</v>
          </cell>
          <cell r="I131">
            <v>-1.0949999999999704</v>
          </cell>
          <cell r="J131">
            <v>-501.10700000000003</v>
          </cell>
          <cell r="K131">
            <v>0</v>
          </cell>
          <cell r="AU131">
            <v>2.2019999999999982</v>
          </cell>
          <cell r="AV131">
            <v>-0.32799999999997453</v>
          </cell>
          <cell r="AW131">
            <v>-0.33200000000005048</v>
          </cell>
          <cell r="AX131">
            <v>-0.32999999999998408</v>
          </cell>
          <cell r="AY131">
            <v>-0.10499999999996135</v>
          </cell>
          <cell r="AZ131">
            <v>-6.4000000000021373E-2</v>
          </cell>
          <cell r="BA131">
            <v>-6.2999999999988177E-2</v>
          </cell>
          <cell r="BB131">
            <v>-6.4999999999997726E-2</v>
          </cell>
          <cell r="BC131">
            <v>-500.91500000000002</v>
          </cell>
          <cell r="BD131">
            <v>0</v>
          </cell>
          <cell r="BE131">
            <v>0</v>
          </cell>
        </row>
        <row r="132">
          <cell r="A132" t="str">
            <v>Ending Balance</v>
          </cell>
          <cell r="H132">
            <v>502.202</v>
          </cell>
          <cell r="I132">
            <v>501.10700000000003</v>
          </cell>
          <cell r="J132">
            <v>0</v>
          </cell>
          <cell r="K132">
            <v>0</v>
          </cell>
          <cell r="L132">
            <v>0</v>
          </cell>
          <cell r="M132">
            <v>0</v>
          </cell>
          <cell r="N132">
            <v>0</v>
          </cell>
          <cell r="O132">
            <v>0</v>
          </cell>
          <cell r="P132">
            <v>0</v>
          </cell>
          <cell r="Q132">
            <v>0</v>
          </cell>
          <cell r="R132">
            <v>0</v>
          </cell>
          <cell r="S132">
            <v>0</v>
          </cell>
          <cell r="T132">
            <v>0</v>
          </cell>
          <cell r="U132">
            <v>0</v>
          </cell>
          <cell r="V132">
            <v>0</v>
          </cell>
          <cell r="AT132">
            <v>500</v>
          </cell>
          <cell r="AU132">
            <v>502.202</v>
          </cell>
          <cell r="AV132">
            <v>501.87400000000002</v>
          </cell>
          <cell r="AW132">
            <v>501.54199999999997</v>
          </cell>
          <cell r="AX132">
            <v>501.21199999999999</v>
          </cell>
          <cell r="AY132">
            <v>501.10700000000003</v>
          </cell>
          <cell r="AZ132">
            <v>501.04300000000001</v>
          </cell>
          <cell r="BA132">
            <v>500.98</v>
          </cell>
          <cell r="BB132">
            <v>500.91500000000002</v>
          </cell>
          <cell r="BC132">
            <v>0</v>
          </cell>
          <cell r="BD132">
            <v>0</v>
          </cell>
          <cell r="BE132">
            <v>0</v>
          </cell>
          <cell r="BF132">
            <v>0</v>
          </cell>
          <cell r="BG132">
            <v>0</v>
          </cell>
          <cell r="BH132">
            <v>0</v>
          </cell>
          <cell r="BI132">
            <v>0</v>
          </cell>
          <cell r="BJ132">
            <v>0</v>
          </cell>
          <cell r="BK132">
            <v>0</v>
          </cell>
          <cell r="BL132">
            <v>0</v>
          </cell>
          <cell r="BM132">
            <v>0</v>
          </cell>
          <cell r="BN132">
            <v>0</v>
          </cell>
          <cell r="BO132">
            <v>0</v>
          </cell>
          <cell r="BP132">
            <v>0</v>
          </cell>
          <cell r="BQ132">
            <v>0</v>
          </cell>
          <cell r="BR132">
            <v>0</v>
          </cell>
          <cell r="BS132">
            <v>0</v>
          </cell>
        </row>
        <row r="134">
          <cell r="A134" t="str">
            <v>7.00% Sr Notes (Oct 15, 2017)</v>
          </cell>
        </row>
        <row r="135">
          <cell r="A135" t="str">
            <v>Beginning</v>
          </cell>
          <cell r="H135">
            <v>500</v>
          </cell>
          <cell r="I135">
            <v>500</v>
          </cell>
          <cell r="J135">
            <v>500</v>
          </cell>
          <cell r="K135">
            <v>500</v>
          </cell>
          <cell r="L135">
            <v>500</v>
          </cell>
          <cell r="M135">
            <v>500</v>
          </cell>
          <cell r="N135">
            <v>500</v>
          </cell>
          <cell r="O135">
            <v>500</v>
          </cell>
          <cell r="P135">
            <v>500</v>
          </cell>
          <cell r="Q135">
            <v>500</v>
          </cell>
          <cell r="R135">
            <v>500</v>
          </cell>
          <cell r="S135">
            <v>500</v>
          </cell>
          <cell r="T135">
            <v>500</v>
          </cell>
          <cell r="U135">
            <v>500</v>
          </cell>
          <cell r="V135">
            <v>500</v>
          </cell>
          <cell r="AT135">
            <v>500</v>
          </cell>
          <cell r="AU135">
            <v>500</v>
          </cell>
          <cell r="AV135">
            <v>500</v>
          </cell>
          <cell r="AW135">
            <v>500</v>
          </cell>
          <cell r="AX135">
            <v>500</v>
          </cell>
          <cell r="AY135">
            <v>500</v>
          </cell>
          <cell r="AZ135">
            <v>500</v>
          </cell>
          <cell r="BA135">
            <v>500</v>
          </cell>
          <cell r="BB135">
            <v>500</v>
          </cell>
          <cell r="BC135">
            <v>500</v>
          </cell>
          <cell r="BD135">
            <v>500</v>
          </cell>
          <cell r="BE135">
            <v>500</v>
          </cell>
          <cell r="BF135">
            <v>500</v>
          </cell>
          <cell r="BG135">
            <v>500</v>
          </cell>
          <cell r="BH135">
            <v>500</v>
          </cell>
          <cell r="BI135">
            <v>500</v>
          </cell>
          <cell r="BJ135">
            <v>500</v>
          </cell>
          <cell r="BK135">
            <v>500</v>
          </cell>
          <cell r="BL135">
            <v>500</v>
          </cell>
          <cell r="BM135">
            <v>500</v>
          </cell>
          <cell r="BN135">
            <v>500</v>
          </cell>
          <cell r="BO135">
            <v>500</v>
          </cell>
          <cell r="BP135">
            <v>500</v>
          </cell>
          <cell r="BQ135">
            <v>500</v>
          </cell>
          <cell r="BR135">
            <v>500</v>
          </cell>
          <cell r="BS135">
            <v>500</v>
          </cell>
        </row>
        <row r="136">
          <cell r="A136" t="str">
            <v>Addition (Retirement)</v>
          </cell>
          <cell r="H136">
            <v>0</v>
          </cell>
          <cell r="I136">
            <v>0</v>
          </cell>
          <cell r="J136">
            <v>0</v>
          </cell>
          <cell r="K136">
            <v>0</v>
          </cell>
          <cell r="L136">
            <v>0</v>
          </cell>
          <cell r="M136">
            <v>0</v>
          </cell>
          <cell r="N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row>
        <row r="137">
          <cell r="A137" t="str">
            <v>Ending Balance</v>
          </cell>
          <cell r="H137">
            <v>500</v>
          </cell>
          <cell r="I137">
            <v>500</v>
          </cell>
          <cell r="J137">
            <v>500</v>
          </cell>
          <cell r="K137">
            <v>500</v>
          </cell>
          <cell r="L137">
            <v>500</v>
          </cell>
          <cell r="M137">
            <v>500</v>
          </cell>
          <cell r="N137">
            <v>500</v>
          </cell>
          <cell r="O137">
            <v>500</v>
          </cell>
          <cell r="P137">
            <v>500</v>
          </cell>
          <cell r="Q137">
            <v>500</v>
          </cell>
          <cell r="R137">
            <v>500</v>
          </cell>
          <cell r="S137">
            <v>500</v>
          </cell>
          <cell r="T137">
            <v>500</v>
          </cell>
          <cell r="U137">
            <v>500</v>
          </cell>
          <cell r="V137">
            <v>500</v>
          </cell>
          <cell r="AT137">
            <v>500</v>
          </cell>
          <cell r="AU137">
            <v>500</v>
          </cell>
          <cell r="AV137">
            <v>500</v>
          </cell>
          <cell r="AW137">
            <v>500</v>
          </cell>
          <cell r="AX137">
            <v>500</v>
          </cell>
          <cell r="AY137">
            <v>500</v>
          </cell>
          <cell r="AZ137">
            <v>500</v>
          </cell>
          <cell r="BA137">
            <v>500</v>
          </cell>
          <cell r="BB137">
            <v>500</v>
          </cell>
          <cell r="BC137">
            <v>500</v>
          </cell>
          <cell r="BD137">
            <v>500</v>
          </cell>
          <cell r="BE137">
            <v>500</v>
          </cell>
          <cell r="BF137">
            <v>500</v>
          </cell>
          <cell r="BG137">
            <v>500</v>
          </cell>
          <cell r="BH137">
            <v>500</v>
          </cell>
          <cell r="BI137">
            <v>500</v>
          </cell>
          <cell r="BJ137">
            <v>500</v>
          </cell>
          <cell r="BK137">
            <v>500</v>
          </cell>
          <cell r="BL137">
            <v>500</v>
          </cell>
          <cell r="BM137">
            <v>500</v>
          </cell>
          <cell r="BN137">
            <v>500</v>
          </cell>
          <cell r="BO137">
            <v>500</v>
          </cell>
          <cell r="BP137">
            <v>500</v>
          </cell>
          <cell r="BQ137">
            <v>500</v>
          </cell>
          <cell r="BR137">
            <v>500</v>
          </cell>
          <cell r="BS137">
            <v>500</v>
          </cell>
        </row>
        <row r="139">
          <cell r="A139" t="str">
            <v>5.0% Convertible Notes (Feb 15, 2010)</v>
          </cell>
        </row>
        <row r="140">
          <cell r="A140" t="str">
            <v>Beginning</v>
          </cell>
          <cell r="H140">
            <v>59.683</v>
          </cell>
          <cell r="I140">
            <v>59.683</v>
          </cell>
          <cell r="J140">
            <v>59.683</v>
          </cell>
          <cell r="K140">
            <v>59.683</v>
          </cell>
          <cell r="L140">
            <v>0</v>
          </cell>
          <cell r="M140">
            <v>0</v>
          </cell>
          <cell r="N140">
            <v>0</v>
          </cell>
          <cell r="O140">
            <v>0</v>
          </cell>
          <cell r="P140">
            <v>0</v>
          </cell>
          <cell r="Q140">
            <v>0</v>
          </cell>
          <cell r="R140">
            <v>0</v>
          </cell>
          <cell r="S140">
            <v>0</v>
          </cell>
          <cell r="T140">
            <v>0</v>
          </cell>
          <cell r="U140">
            <v>0</v>
          </cell>
          <cell r="V140">
            <v>0</v>
          </cell>
          <cell r="AT140">
            <v>59.683</v>
          </cell>
          <cell r="AU140">
            <v>59.683</v>
          </cell>
          <cell r="AV140">
            <v>59.683</v>
          </cell>
          <cell r="AW140">
            <v>59.683</v>
          </cell>
          <cell r="AX140">
            <v>59.683</v>
          </cell>
          <cell r="AY140">
            <v>59.683</v>
          </cell>
          <cell r="AZ140">
            <v>59.683</v>
          </cell>
          <cell r="BA140">
            <v>59.683</v>
          </cell>
          <cell r="BB140">
            <v>59.683</v>
          </cell>
          <cell r="BC140">
            <v>59.683</v>
          </cell>
          <cell r="BD140">
            <v>59.683</v>
          </cell>
          <cell r="BE140">
            <v>0</v>
          </cell>
          <cell r="BF140">
            <v>0</v>
          </cell>
          <cell r="BG140">
            <v>0</v>
          </cell>
          <cell r="BH140">
            <v>0</v>
          </cell>
          <cell r="BI140">
            <v>0</v>
          </cell>
          <cell r="BJ140">
            <v>0</v>
          </cell>
          <cell r="BK140">
            <v>0</v>
          </cell>
          <cell r="BL140">
            <v>0</v>
          </cell>
          <cell r="BM140">
            <v>0</v>
          </cell>
          <cell r="BN140">
            <v>0</v>
          </cell>
          <cell r="BO140">
            <v>0</v>
          </cell>
          <cell r="BP140">
            <v>0</v>
          </cell>
          <cell r="BQ140">
            <v>0</v>
          </cell>
          <cell r="BR140">
            <v>0</v>
          </cell>
          <cell r="BS140">
            <v>0</v>
          </cell>
        </row>
        <row r="141">
          <cell r="A141" t="str">
            <v>Addition (Retirement)</v>
          </cell>
          <cell r="H141">
            <v>0</v>
          </cell>
          <cell r="I141">
            <v>0</v>
          </cell>
          <cell r="J141">
            <v>0</v>
          </cell>
          <cell r="K141">
            <v>-59.683</v>
          </cell>
          <cell r="AU141">
            <v>0</v>
          </cell>
          <cell r="AV141">
            <v>0</v>
          </cell>
          <cell r="AW141">
            <v>0</v>
          </cell>
          <cell r="AX141">
            <v>0</v>
          </cell>
          <cell r="AY141">
            <v>0</v>
          </cell>
          <cell r="AZ141">
            <v>0</v>
          </cell>
          <cell r="BA141">
            <v>0</v>
          </cell>
          <cell r="BB141">
            <v>0</v>
          </cell>
          <cell r="BC141">
            <v>0</v>
          </cell>
          <cell r="BD141">
            <v>-59.683</v>
          </cell>
          <cell r="BE141">
            <v>0</v>
          </cell>
          <cell r="BF141">
            <v>0</v>
          </cell>
        </row>
        <row r="142">
          <cell r="A142" t="str">
            <v>Ending Balance</v>
          </cell>
          <cell r="H142">
            <v>59.683</v>
          </cell>
          <cell r="I142">
            <v>59.683</v>
          </cell>
          <cell r="J142">
            <v>59.683</v>
          </cell>
          <cell r="K142">
            <v>0</v>
          </cell>
          <cell r="L142">
            <v>0</v>
          </cell>
          <cell r="M142">
            <v>0</v>
          </cell>
          <cell r="N142">
            <v>0</v>
          </cell>
          <cell r="O142">
            <v>0</v>
          </cell>
          <cell r="P142">
            <v>0</v>
          </cell>
          <cell r="Q142">
            <v>0</v>
          </cell>
          <cell r="R142">
            <v>0</v>
          </cell>
          <cell r="S142">
            <v>0</v>
          </cell>
          <cell r="T142">
            <v>0</v>
          </cell>
          <cell r="U142">
            <v>0</v>
          </cell>
          <cell r="V142">
            <v>0</v>
          </cell>
          <cell r="AT142">
            <v>59.683</v>
          </cell>
          <cell r="AU142">
            <v>59.683</v>
          </cell>
          <cell r="AV142">
            <v>59.683</v>
          </cell>
          <cell r="AW142">
            <v>59.683</v>
          </cell>
          <cell r="AX142">
            <v>59.683</v>
          </cell>
          <cell r="AY142">
            <v>59.683</v>
          </cell>
          <cell r="AZ142">
            <v>59.683</v>
          </cell>
          <cell r="BA142">
            <v>59.683</v>
          </cell>
          <cell r="BB142">
            <v>59.683</v>
          </cell>
          <cell r="BC142">
            <v>59.683</v>
          </cell>
          <cell r="BD142">
            <v>0</v>
          </cell>
          <cell r="BE142">
            <v>0</v>
          </cell>
          <cell r="BF142">
            <v>0</v>
          </cell>
          <cell r="BG142">
            <v>0</v>
          </cell>
          <cell r="BH142">
            <v>0</v>
          </cell>
          <cell r="BI142">
            <v>0</v>
          </cell>
          <cell r="BJ142">
            <v>0</v>
          </cell>
          <cell r="BK142">
            <v>0</v>
          </cell>
          <cell r="BL142">
            <v>0</v>
          </cell>
          <cell r="BM142">
            <v>0</v>
          </cell>
          <cell r="BN142">
            <v>0</v>
          </cell>
          <cell r="BO142">
            <v>0</v>
          </cell>
          <cell r="BP142">
            <v>0</v>
          </cell>
          <cell r="BQ142">
            <v>0</v>
          </cell>
          <cell r="BR142">
            <v>0</v>
          </cell>
          <cell r="BS142">
            <v>0</v>
          </cell>
        </row>
        <row r="144">
          <cell r="A144" t="str">
            <v>3.0% Convertible Notes (Aug 15, 2012)</v>
          </cell>
        </row>
        <row r="145">
          <cell r="A145" t="str">
            <v>Beginning</v>
          </cell>
          <cell r="H145">
            <v>344.98</v>
          </cell>
          <cell r="I145">
            <v>344.56799999999998</v>
          </cell>
          <cell r="J145">
            <v>161.893</v>
          </cell>
          <cell r="K145">
            <v>0</v>
          </cell>
          <cell r="L145">
            <v>0</v>
          </cell>
          <cell r="M145">
            <v>0</v>
          </cell>
          <cell r="N145">
            <v>0</v>
          </cell>
          <cell r="O145">
            <v>0</v>
          </cell>
          <cell r="P145">
            <v>0</v>
          </cell>
          <cell r="Q145">
            <v>0</v>
          </cell>
          <cell r="R145">
            <v>0</v>
          </cell>
          <cell r="S145">
            <v>0</v>
          </cell>
          <cell r="T145">
            <v>0</v>
          </cell>
          <cell r="U145">
            <v>0</v>
          </cell>
          <cell r="V145">
            <v>0</v>
          </cell>
          <cell r="AT145">
            <v>344.98</v>
          </cell>
          <cell r="AU145">
            <v>344.98</v>
          </cell>
          <cell r="AV145">
            <v>344.56799999999998</v>
          </cell>
          <cell r="AW145">
            <v>344.58499999999998</v>
          </cell>
          <cell r="AX145">
            <v>344.60599999999999</v>
          </cell>
          <cell r="AY145">
            <v>308.92700000000002</v>
          </cell>
          <cell r="AZ145">
            <v>161.893</v>
          </cell>
          <cell r="BA145">
            <v>161.916</v>
          </cell>
          <cell r="BB145">
            <v>161.93600000000001</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row>
        <row r="146">
          <cell r="A146" t="str">
            <v>Addition (Retirement)</v>
          </cell>
          <cell r="H146">
            <v>-0.41200000000003456</v>
          </cell>
          <cell r="I146">
            <v>-182.67499999999998</v>
          </cell>
          <cell r="J146">
            <v>-161.893</v>
          </cell>
          <cell r="AU146">
            <v>-0.41200000000003456</v>
          </cell>
          <cell r="AV146">
            <v>1.6999999999995907E-2</v>
          </cell>
          <cell r="AW146">
            <v>2.1000000000015007E-2</v>
          </cell>
          <cell r="AX146">
            <v>-35.678999999999974</v>
          </cell>
          <cell r="AY146">
            <v>-147.03400000000002</v>
          </cell>
          <cell r="AZ146">
            <v>2.2999999999996135E-2</v>
          </cell>
          <cell r="BA146">
            <v>2.0000000000010232E-2</v>
          </cell>
          <cell r="BB146">
            <v>-161.93600000000001</v>
          </cell>
          <cell r="BC146">
            <v>0</v>
          </cell>
          <cell r="BD146">
            <v>0</v>
          </cell>
          <cell r="BE146">
            <v>0</v>
          </cell>
          <cell r="BF146">
            <v>0</v>
          </cell>
        </row>
        <row r="147">
          <cell r="A147" t="str">
            <v>Ending Balance</v>
          </cell>
          <cell r="H147">
            <v>344.56799999999998</v>
          </cell>
          <cell r="I147">
            <v>161.893</v>
          </cell>
          <cell r="J147">
            <v>0</v>
          </cell>
          <cell r="K147">
            <v>0</v>
          </cell>
          <cell r="L147">
            <v>0</v>
          </cell>
          <cell r="M147">
            <v>0</v>
          </cell>
          <cell r="N147">
            <v>0</v>
          </cell>
          <cell r="O147">
            <v>0</v>
          </cell>
          <cell r="P147">
            <v>0</v>
          </cell>
          <cell r="Q147">
            <v>0</v>
          </cell>
          <cell r="R147">
            <v>0</v>
          </cell>
          <cell r="S147">
            <v>0</v>
          </cell>
          <cell r="T147">
            <v>0</v>
          </cell>
          <cell r="U147">
            <v>0</v>
          </cell>
          <cell r="V147">
            <v>0</v>
          </cell>
          <cell r="AT147">
            <v>344.98</v>
          </cell>
          <cell r="AU147">
            <v>344.56799999999998</v>
          </cell>
          <cell r="AV147">
            <v>344.58499999999998</v>
          </cell>
          <cell r="AW147">
            <v>344.60599999999999</v>
          </cell>
          <cell r="AX147">
            <v>308.92700000000002</v>
          </cell>
          <cell r="AY147">
            <v>161.893</v>
          </cell>
          <cell r="AZ147">
            <v>161.916</v>
          </cell>
          <cell r="BA147">
            <v>161.93600000000001</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row>
        <row r="149">
          <cell r="A149" t="str">
            <v>7.25% Senior Notes (2019)</v>
          </cell>
          <cell r="J149">
            <v>300</v>
          </cell>
          <cell r="K149">
            <v>300</v>
          </cell>
          <cell r="L149">
            <v>300</v>
          </cell>
          <cell r="M149">
            <v>300</v>
          </cell>
          <cell r="N149">
            <v>300</v>
          </cell>
          <cell r="O149">
            <v>300</v>
          </cell>
          <cell r="P149">
            <v>300</v>
          </cell>
          <cell r="Q149">
            <v>300</v>
          </cell>
          <cell r="R149">
            <v>300</v>
          </cell>
          <cell r="S149">
            <v>300</v>
          </cell>
          <cell r="T149">
            <v>300</v>
          </cell>
          <cell r="U149">
            <v>300</v>
          </cell>
          <cell r="V149">
            <v>300</v>
          </cell>
          <cell r="BA149">
            <v>300</v>
          </cell>
          <cell r="BB149">
            <v>300</v>
          </cell>
          <cell r="BC149">
            <v>300</v>
          </cell>
          <cell r="BD149">
            <v>300</v>
          </cell>
          <cell r="BE149">
            <v>300</v>
          </cell>
          <cell r="BF149">
            <v>300</v>
          </cell>
          <cell r="BG149">
            <v>300</v>
          </cell>
          <cell r="BH149">
            <v>300</v>
          </cell>
          <cell r="BI149">
            <v>300</v>
          </cell>
          <cell r="BJ149">
            <v>300</v>
          </cell>
          <cell r="BK149">
            <v>300</v>
          </cell>
          <cell r="BL149">
            <v>300</v>
          </cell>
          <cell r="BM149">
            <v>300</v>
          </cell>
          <cell r="BN149">
            <v>300</v>
          </cell>
          <cell r="BO149">
            <v>300</v>
          </cell>
          <cell r="BP149">
            <v>300</v>
          </cell>
          <cell r="BQ149">
            <v>300</v>
          </cell>
          <cell r="BR149">
            <v>300</v>
          </cell>
          <cell r="BS149">
            <v>300</v>
          </cell>
        </row>
        <row r="150">
          <cell r="A150" t="str">
            <v>Beginning</v>
          </cell>
          <cell r="J150">
            <v>294.83699999999999</v>
          </cell>
          <cell r="K150">
            <v>295.03800000000001</v>
          </cell>
          <cell r="L150">
            <v>295.42</v>
          </cell>
          <cell r="M150">
            <v>295.82125406250003</v>
          </cell>
          <cell r="N150">
            <v>296.22462206015598</v>
          </cell>
          <cell r="O150">
            <v>296.6590402282427</v>
          </cell>
          <cell r="P150">
            <v>297.11396938932666</v>
          </cell>
          <cell r="Q150">
            <v>297.60294999811777</v>
          </cell>
          <cell r="R150">
            <v>298.12853080547688</v>
          </cell>
          <cell r="S150">
            <v>298.69345133626683</v>
          </cell>
          <cell r="T150">
            <v>299.30065616878642</v>
          </cell>
          <cell r="U150">
            <v>299.95331028302007</v>
          </cell>
          <cell r="V150">
            <v>300.65481555770413</v>
          </cell>
          <cell r="BA150">
            <v>294.83699999999999</v>
          </cell>
          <cell r="BB150">
            <v>294.85700000000003</v>
          </cell>
          <cell r="BC150">
            <v>294.947</v>
          </cell>
          <cell r="BD150">
            <v>295.03800000000001</v>
          </cell>
          <cell r="BE150">
            <v>295.13099999999997</v>
          </cell>
          <cell r="BF150">
            <v>295.22500000000002</v>
          </cell>
          <cell r="BG150">
            <v>295.322</v>
          </cell>
          <cell r="BH150">
            <v>295.42</v>
          </cell>
          <cell r="BI150">
            <v>295.51900000000001</v>
          </cell>
          <cell r="BJ150">
            <v>295.62099999999998</v>
          </cell>
          <cell r="BK150">
            <v>295.72500000000002</v>
          </cell>
          <cell r="BL150">
            <v>295.82125406250003</v>
          </cell>
          <cell r="BM150">
            <v>295.91930927914456</v>
          </cell>
          <cell r="BN150">
            <v>296.01919935403055</v>
          </cell>
          <cell r="BO150">
            <v>296.12095862194286</v>
          </cell>
          <cell r="BP150">
            <v>296.22462206015598</v>
          </cell>
          <cell r="BQ150">
            <v>296.33022530045668</v>
          </cell>
          <cell r="BR150">
            <v>296.43780464139149</v>
          </cell>
          <cell r="BS150">
            <v>296.54739706074355</v>
          </cell>
        </row>
        <row r="151">
          <cell r="A151" t="str">
            <v>Amortization of Bond Discount (non cash)</v>
          </cell>
          <cell r="J151">
            <v>0.20100000000002183</v>
          </cell>
          <cell r="K151">
            <v>0.382000000000005</v>
          </cell>
          <cell r="L151">
            <v>9.6254062500000792E-2</v>
          </cell>
          <cell r="M151">
            <v>0.40336799765592701</v>
          </cell>
          <cell r="N151">
            <v>0.434418168086669</v>
          </cell>
          <cell r="O151">
            <v>0.45492916108396741</v>
          </cell>
          <cell r="P151">
            <v>0.48898060879109906</v>
          </cell>
          <cell r="Q151">
            <v>0.52558080735911616</v>
          </cell>
          <cell r="R151">
            <v>0.56492053078994431</v>
          </cell>
          <cell r="S151">
            <v>0.60720483251957091</v>
          </cell>
          <cell r="T151">
            <v>0.6526541142336626</v>
          </cell>
          <cell r="U151">
            <v>0.70150527468405244</v>
          </cell>
          <cell r="V151">
            <v>0.75401294449415346</v>
          </cell>
          <cell r="BA151">
            <v>2.0000000000038654E-2</v>
          </cell>
          <cell r="BB151">
            <v>8.9999999999974989E-2</v>
          </cell>
          <cell r="BC151">
            <v>9.1000000000008185E-2</v>
          </cell>
          <cell r="BD151">
            <v>9.2999999999960892E-2</v>
          </cell>
          <cell r="BE151">
            <v>9.4000000000050932E-2</v>
          </cell>
          <cell r="BF151">
            <v>9.6999999999979991E-2</v>
          </cell>
          <cell r="BG151">
            <v>9.8000000000013188E-2</v>
          </cell>
          <cell r="BH151">
            <v>9.8999999999989541E-2</v>
          </cell>
          <cell r="BI151">
            <v>0.10199999999997544</v>
          </cell>
          <cell r="BJ151">
            <v>0.10400000000004184</v>
          </cell>
          <cell r="BK151">
            <v>9.6254062500000792E-2</v>
          </cell>
          <cell r="BL151">
            <v>9.8055216644532095E-2</v>
          </cell>
          <cell r="BM151">
            <v>9.9890074885992775E-2</v>
          </cell>
          <cell r="BN151">
            <v>0.10175926791229628</v>
          </cell>
          <cell r="BO151">
            <v>0.10366343821310586</v>
          </cell>
          <cell r="BP151">
            <v>0.10560324030066859</v>
          </cell>
          <cell r="BQ151">
            <v>0.10757934093479538</v>
          </cell>
          <cell r="BR151">
            <v>0.10959241935203856</v>
          </cell>
          <cell r="BS151">
            <v>0.11164316749916381</v>
          </cell>
        </row>
        <row r="152">
          <cell r="A152" t="str">
            <v>Addition (Retirement)</v>
          </cell>
          <cell r="J152">
            <v>0</v>
          </cell>
          <cell r="K152">
            <v>0</v>
          </cell>
          <cell r="L152">
            <v>0</v>
          </cell>
          <cell r="M152">
            <v>0</v>
          </cell>
          <cell r="N152">
            <v>0</v>
          </cell>
          <cell r="O152">
            <v>0</v>
          </cell>
          <cell r="P152">
            <v>0</v>
          </cell>
          <cell r="Q152">
            <v>0</v>
          </cell>
          <cell r="R152">
            <v>0</v>
          </cell>
          <cell r="S152">
            <v>0</v>
          </cell>
          <cell r="T152">
            <v>0</v>
          </cell>
          <cell r="U152">
            <v>0</v>
          </cell>
          <cell r="V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row>
        <row r="153">
          <cell r="A153" t="str">
            <v>Ending Balance</v>
          </cell>
          <cell r="J153">
            <v>295.03800000000001</v>
          </cell>
          <cell r="K153">
            <v>295.42</v>
          </cell>
          <cell r="L153">
            <v>295.82125406250003</v>
          </cell>
          <cell r="M153">
            <v>296.22462206015598</v>
          </cell>
          <cell r="N153">
            <v>296.6590402282427</v>
          </cell>
          <cell r="O153">
            <v>297.11396938932666</v>
          </cell>
          <cell r="P153">
            <v>297.60294999811777</v>
          </cell>
          <cell r="Q153">
            <v>298.12853080547688</v>
          </cell>
          <cell r="R153">
            <v>298.69345133626683</v>
          </cell>
          <cell r="S153">
            <v>299.30065616878642</v>
          </cell>
          <cell r="T153">
            <v>299.95331028302007</v>
          </cell>
          <cell r="U153">
            <v>300.65481555770413</v>
          </cell>
          <cell r="V153">
            <v>301.40882850219828</v>
          </cell>
          <cell r="BA153">
            <v>294.85700000000003</v>
          </cell>
          <cell r="BB153">
            <v>294.947</v>
          </cell>
          <cell r="BC153">
            <v>295.03800000000001</v>
          </cell>
          <cell r="BD153">
            <v>295.13099999999997</v>
          </cell>
          <cell r="BE153">
            <v>295.22500000000002</v>
          </cell>
          <cell r="BF153">
            <v>295.322</v>
          </cell>
          <cell r="BG153">
            <v>295.42</v>
          </cell>
          <cell r="BH153">
            <v>295.51900000000001</v>
          </cell>
          <cell r="BI153">
            <v>295.62099999999998</v>
          </cell>
          <cell r="BJ153">
            <v>295.72500000000002</v>
          </cell>
          <cell r="BK153">
            <v>295.82125406250003</v>
          </cell>
          <cell r="BL153">
            <v>295.91930927914456</v>
          </cell>
          <cell r="BM153">
            <v>296.01919935403055</v>
          </cell>
          <cell r="BN153">
            <v>296.12095862194286</v>
          </cell>
          <cell r="BO153">
            <v>296.22462206015598</v>
          </cell>
          <cell r="BP153">
            <v>296.33022530045668</v>
          </cell>
          <cell r="BQ153">
            <v>296.43780464139149</v>
          </cell>
          <cell r="BR153">
            <v>296.54739706074355</v>
          </cell>
          <cell r="BS153">
            <v>296.6590402282427</v>
          </cell>
        </row>
        <row r="155">
          <cell r="A155" t="str">
            <v>4.625% Senior Notes (2015)</v>
          </cell>
          <cell r="J155">
            <v>600</v>
          </cell>
          <cell r="K155">
            <v>600</v>
          </cell>
          <cell r="L155">
            <v>600</v>
          </cell>
          <cell r="M155">
            <v>600</v>
          </cell>
          <cell r="N155">
            <v>600</v>
          </cell>
          <cell r="O155">
            <v>600</v>
          </cell>
          <cell r="P155">
            <v>600</v>
          </cell>
          <cell r="Q155">
            <v>600</v>
          </cell>
          <cell r="R155">
            <v>600</v>
          </cell>
          <cell r="S155">
            <v>600</v>
          </cell>
          <cell r="T155">
            <v>600</v>
          </cell>
          <cell r="U155">
            <v>600</v>
          </cell>
          <cell r="V155">
            <v>600</v>
          </cell>
          <cell r="BC155">
            <v>600</v>
          </cell>
          <cell r="BD155">
            <v>600</v>
          </cell>
          <cell r="BE155">
            <v>600</v>
          </cell>
          <cell r="BF155">
            <v>600</v>
          </cell>
          <cell r="BG155">
            <v>600</v>
          </cell>
          <cell r="BH155">
            <v>600</v>
          </cell>
          <cell r="BI155">
            <v>600</v>
          </cell>
          <cell r="BJ155">
            <v>600</v>
          </cell>
          <cell r="BK155">
            <v>600</v>
          </cell>
          <cell r="BL155">
            <v>600</v>
          </cell>
          <cell r="BM155">
            <v>600</v>
          </cell>
          <cell r="BN155">
            <v>600</v>
          </cell>
          <cell r="BO155">
            <v>600</v>
          </cell>
          <cell r="BP155">
            <v>600</v>
          </cell>
          <cell r="BQ155">
            <v>600</v>
          </cell>
          <cell r="BR155">
            <v>600</v>
          </cell>
          <cell r="BS155">
            <v>600</v>
          </cell>
        </row>
        <row r="156">
          <cell r="A156" t="str">
            <v>Beginning</v>
          </cell>
          <cell r="J156">
            <v>599.18399999999997</v>
          </cell>
          <cell r="K156">
            <v>599.21</v>
          </cell>
          <cell r="L156">
            <v>599.346</v>
          </cell>
          <cell r="M156">
            <v>599.48312950000002</v>
          </cell>
          <cell r="N156">
            <v>599.61130861806816</v>
          </cell>
          <cell r="O156">
            <v>599.74555280618665</v>
          </cell>
          <cell r="P156">
            <v>599.88372101167431</v>
          </cell>
          <cell r="Q156">
            <v>600.02831403871721</v>
          </cell>
          <cell r="R156">
            <v>600.17963064151752</v>
          </cell>
          <cell r="S156">
            <v>600.33798346634808</v>
          </cell>
          <cell r="T156">
            <v>600.50369969753331</v>
          </cell>
          <cell r="U156">
            <v>600.67712173346865</v>
          </cell>
          <cell r="V156">
            <v>600.85860789407491</v>
          </cell>
          <cell r="BC156">
            <v>599.18399999999997</v>
          </cell>
          <cell r="BD156">
            <v>599.21</v>
          </cell>
          <cell r="BE156">
            <v>599.24300000000005</v>
          </cell>
          <cell r="BF156">
            <v>599.27700000000004</v>
          </cell>
          <cell r="BG156">
            <v>599.31100000000004</v>
          </cell>
          <cell r="BH156">
            <v>599.346</v>
          </cell>
          <cell r="BI156">
            <v>599.38099999999997</v>
          </cell>
          <cell r="BJ156">
            <v>599.41700000000003</v>
          </cell>
          <cell r="BK156">
            <v>599.452</v>
          </cell>
          <cell r="BL156">
            <v>599.48312950000002</v>
          </cell>
          <cell r="BM156">
            <v>599.51462088043752</v>
          </cell>
          <cell r="BN156">
            <v>599.54647834817263</v>
          </cell>
          <cell r="BO156">
            <v>599.57870615897014</v>
          </cell>
          <cell r="BP156">
            <v>599.61130861806816</v>
          </cell>
          <cell r="BQ156">
            <v>599.64429008075319</v>
          </cell>
          <cell r="BR156">
            <v>599.67765495294191</v>
          </cell>
          <cell r="BS156">
            <v>599.71140769176986</v>
          </cell>
        </row>
        <row r="157">
          <cell r="A157" t="str">
            <v>Amortization of Bond Discount (non cash)</v>
          </cell>
          <cell r="J157">
            <v>2.6000000000067303E-2</v>
          </cell>
          <cell r="K157">
            <v>0.13599999999996726</v>
          </cell>
          <cell r="L157">
            <v>3.1129499999999588E-2</v>
          </cell>
          <cell r="M157">
            <v>0.12817911806811821</v>
          </cell>
          <cell r="N157">
            <v>0.13424418811857208</v>
          </cell>
          <cell r="O157">
            <v>0.1381682054876805</v>
          </cell>
          <cell r="P157">
            <v>0.14459302704285548</v>
          </cell>
          <cell r="Q157">
            <v>0.15131660280034964</v>
          </cell>
          <cell r="R157">
            <v>0.15835282483056545</v>
          </cell>
          <cell r="S157">
            <v>0.1657162311851863</v>
          </cell>
          <cell r="T157">
            <v>0.17342203593529959</v>
          </cell>
          <cell r="U157">
            <v>0.18148616060629053</v>
          </cell>
          <cell r="V157">
            <v>0.18992526707448221</v>
          </cell>
          <cell r="BC157">
            <v>2.6000000000067303E-2</v>
          </cell>
          <cell r="BD157">
            <v>3.3000000000015461E-2</v>
          </cell>
          <cell r="BE157">
            <v>3.3999999999991815E-2</v>
          </cell>
          <cell r="BF157">
            <v>3.3999999999991815E-2</v>
          </cell>
          <cell r="BG157">
            <v>3.4999999999968168E-2</v>
          </cell>
          <cell r="BH157">
            <v>3.4999999999968168E-2</v>
          </cell>
          <cell r="BI157">
            <v>3.6000000000058208E-2</v>
          </cell>
          <cell r="BJ157">
            <v>3.4999999999968168E-2</v>
          </cell>
          <cell r="BK157">
            <v>3.1129499999999588E-2</v>
          </cell>
          <cell r="BL157">
            <v>3.1491380437500105E-2</v>
          </cell>
          <cell r="BM157">
            <v>3.1857467735085798E-2</v>
          </cell>
          <cell r="BN157">
            <v>3.2227810797507139E-2</v>
          </cell>
          <cell r="BO157">
            <v>3.2602459098027836E-2</v>
          </cell>
          <cell r="BP157">
            <v>3.2981462685042651E-2</v>
          </cell>
          <cell r="BQ157">
            <v>3.3364872188755612E-2</v>
          </cell>
          <cell r="BR157">
            <v>3.3752738827949713E-2</v>
          </cell>
          <cell r="BS157">
            <v>3.4145114416824995E-2</v>
          </cell>
        </row>
        <row r="158">
          <cell r="A158" t="str">
            <v>Addition (Retirement)</v>
          </cell>
          <cell r="J158">
            <v>0</v>
          </cell>
          <cell r="K158">
            <v>0</v>
          </cell>
          <cell r="L158">
            <v>0</v>
          </cell>
          <cell r="M158">
            <v>0</v>
          </cell>
          <cell r="N158">
            <v>0</v>
          </cell>
          <cell r="O158">
            <v>0</v>
          </cell>
          <cell r="P158">
            <v>0</v>
          </cell>
          <cell r="Q158">
            <v>0</v>
          </cell>
          <cell r="R158">
            <v>0</v>
          </cell>
          <cell r="S158">
            <v>0</v>
          </cell>
          <cell r="T158">
            <v>0</v>
          </cell>
          <cell r="U158">
            <v>0</v>
          </cell>
          <cell r="V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row>
        <row r="159">
          <cell r="A159" t="str">
            <v>Ending Balance</v>
          </cell>
          <cell r="J159">
            <v>599.21</v>
          </cell>
          <cell r="K159">
            <v>599.346</v>
          </cell>
          <cell r="L159">
            <v>599.48312950000002</v>
          </cell>
          <cell r="M159">
            <v>599.61130861806816</v>
          </cell>
          <cell r="N159">
            <v>599.74555280618665</v>
          </cell>
          <cell r="O159">
            <v>599.88372101167431</v>
          </cell>
          <cell r="P159">
            <v>600.02831403871721</v>
          </cell>
          <cell r="Q159">
            <v>600.17963064151752</v>
          </cell>
          <cell r="R159">
            <v>600.33798346634808</v>
          </cell>
          <cell r="S159">
            <v>600.50369969753331</v>
          </cell>
          <cell r="T159">
            <v>600.67712173346865</v>
          </cell>
          <cell r="U159">
            <v>600.85860789407491</v>
          </cell>
          <cell r="V159">
            <v>601.04853316114941</v>
          </cell>
          <cell r="BC159">
            <v>599.21</v>
          </cell>
          <cell r="BD159">
            <v>599.24300000000005</v>
          </cell>
          <cell r="BE159">
            <v>599.27700000000004</v>
          </cell>
          <cell r="BF159">
            <v>599.31100000000004</v>
          </cell>
          <cell r="BG159">
            <v>599.346</v>
          </cell>
          <cell r="BH159">
            <v>599.38099999999997</v>
          </cell>
          <cell r="BI159">
            <v>599.41700000000003</v>
          </cell>
          <cell r="BJ159">
            <v>599.452</v>
          </cell>
          <cell r="BK159">
            <v>599.48312950000002</v>
          </cell>
          <cell r="BL159">
            <v>599.51462088043752</v>
          </cell>
          <cell r="BM159">
            <v>599.54647834817263</v>
          </cell>
          <cell r="BN159">
            <v>599.57870615897014</v>
          </cell>
          <cell r="BO159">
            <v>599.61130861806816</v>
          </cell>
          <cell r="BP159">
            <v>599.64429008075319</v>
          </cell>
          <cell r="BQ159">
            <v>599.67765495294191</v>
          </cell>
          <cell r="BR159">
            <v>599.71140769176986</v>
          </cell>
          <cell r="BS159">
            <v>599.74555280618665</v>
          </cell>
        </row>
        <row r="161">
          <cell r="A161" t="str">
            <v>3.25% Convertible Notes (Aug 1, 2010)</v>
          </cell>
        </row>
        <row r="162">
          <cell r="A162" t="str">
            <v>Beginning</v>
          </cell>
          <cell r="H162">
            <v>18.332999999999998</v>
          </cell>
          <cell r="I162">
            <v>18.332999999999998</v>
          </cell>
          <cell r="J162">
            <v>0</v>
          </cell>
          <cell r="K162">
            <v>0</v>
          </cell>
          <cell r="L162">
            <v>0</v>
          </cell>
          <cell r="M162">
            <v>0</v>
          </cell>
          <cell r="N162">
            <v>0</v>
          </cell>
          <cell r="O162">
            <v>0</v>
          </cell>
          <cell r="P162">
            <v>0</v>
          </cell>
          <cell r="Q162">
            <v>0</v>
          </cell>
          <cell r="R162">
            <v>0</v>
          </cell>
          <cell r="S162">
            <v>0</v>
          </cell>
          <cell r="T162">
            <v>0</v>
          </cell>
          <cell r="U162">
            <v>0</v>
          </cell>
          <cell r="V162">
            <v>0</v>
          </cell>
          <cell r="AT162">
            <v>18.332999999999998</v>
          </cell>
          <cell r="AU162">
            <v>18.332999999999998</v>
          </cell>
          <cell r="AV162">
            <v>18.332999999999998</v>
          </cell>
          <cell r="AW162">
            <v>4.6980000000000004</v>
          </cell>
          <cell r="AX162">
            <v>4.6980000000000004</v>
          </cell>
          <cell r="AY162">
            <v>0</v>
          </cell>
          <cell r="AZ162">
            <v>0</v>
          </cell>
          <cell r="BA162">
            <v>0</v>
          </cell>
          <cell r="BB162">
            <v>0</v>
          </cell>
        </row>
        <row r="163">
          <cell r="A163" t="str">
            <v>Addition (Retirement)</v>
          </cell>
          <cell r="H163">
            <v>0</v>
          </cell>
          <cell r="I163">
            <v>-18.332999999999998</v>
          </cell>
          <cell r="J163">
            <v>0</v>
          </cell>
          <cell r="AU163">
            <v>0</v>
          </cell>
          <cell r="AV163">
            <v>-13.634999999999998</v>
          </cell>
          <cell r="AW163">
            <v>0</v>
          </cell>
          <cell r="AX163">
            <v>-4.6980000000000004</v>
          </cell>
          <cell r="AY163">
            <v>0</v>
          </cell>
          <cell r="AZ163">
            <v>0</v>
          </cell>
        </row>
        <row r="164">
          <cell r="A164" t="str">
            <v>Ending Balance</v>
          </cell>
          <cell r="H164">
            <v>18.332999999999998</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AT164">
            <v>18.332999999999998</v>
          </cell>
          <cell r="AU164">
            <v>18.332999999999998</v>
          </cell>
          <cell r="AV164">
            <v>4.6980000000000004</v>
          </cell>
          <cell r="AW164">
            <v>4.6980000000000004</v>
          </cell>
          <cell r="AX164">
            <v>0</v>
          </cell>
          <cell r="AY164">
            <v>0</v>
          </cell>
          <cell r="AZ164">
            <v>0</v>
          </cell>
          <cell r="BA164">
            <v>0</v>
          </cell>
          <cell r="BB164">
            <v>0</v>
          </cell>
        </row>
        <row r="166">
          <cell r="A166" t="str">
            <v>2.25% Convertible Notes (Aug 15, 2009)</v>
          </cell>
        </row>
        <row r="167">
          <cell r="A167" t="str">
            <v>Beginning</v>
          </cell>
          <cell r="H167">
            <v>0.45</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AT167">
            <v>0.45</v>
          </cell>
          <cell r="AU167">
            <v>0.45</v>
          </cell>
          <cell r="AV167">
            <v>0</v>
          </cell>
          <cell r="AW167">
            <v>4.4999999999999998E-2</v>
          </cell>
          <cell r="AX167">
            <v>0</v>
          </cell>
          <cell r="AY167">
            <v>0</v>
          </cell>
          <cell r="AZ167">
            <v>0</v>
          </cell>
          <cell r="BA167">
            <v>0</v>
          </cell>
          <cell r="BB167">
            <v>0</v>
          </cell>
        </row>
        <row r="168">
          <cell r="A168" t="str">
            <v>Addition (Retirement)</v>
          </cell>
          <cell r="H168">
            <v>-0.45</v>
          </cell>
          <cell r="I168">
            <v>0</v>
          </cell>
          <cell r="J168">
            <v>0</v>
          </cell>
          <cell r="AU168">
            <v>-0.45</v>
          </cell>
          <cell r="AV168">
            <v>4.4999999999999998E-2</v>
          </cell>
          <cell r="AW168">
            <v>-4.4999999999999998E-2</v>
          </cell>
          <cell r="AX168">
            <v>0</v>
          </cell>
          <cell r="AY168">
            <v>0</v>
          </cell>
          <cell r="AZ168">
            <v>0</v>
          </cell>
        </row>
        <row r="169">
          <cell r="A169" t="str">
            <v>Ending Balance</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AT169">
            <v>0.45</v>
          </cell>
          <cell r="AU169">
            <v>0</v>
          </cell>
          <cell r="AV169">
            <v>4.4999999999999998E-2</v>
          </cell>
          <cell r="AW169">
            <v>0</v>
          </cell>
          <cell r="AX169">
            <v>0</v>
          </cell>
          <cell r="AY169">
            <v>0</v>
          </cell>
          <cell r="AZ169">
            <v>0</v>
          </cell>
          <cell r="BA169">
            <v>0</v>
          </cell>
          <cell r="BB169">
            <v>0</v>
          </cell>
        </row>
        <row r="171">
          <cell r="A171" t="str">
            <v>5.05% Senior Notes (2020)</v>
          </cell>
          <cell r="K171">
            <v>700</v>
          </cell>
          <cell r="L171">
            <v>700</v>
          </cell>
          <cell r="M171">
            <v>700</v>
          </cell>
          <cell r="N171">
            <v>700</v>
          </cell>
          <cell r="O171">
            <v>700</v>
          </cell>
          <cell r="P171">
            <v>700</v>
          </cell>
          <cell r="Q171">
            <v>700</v>
          </cell>
          <cell r="R171">
            <v>700</v>
          </cell>
          <cell r="S171">
            <v>700</v>
          </cell>
          <cell r="T171">
            <v>700</v>
          </cell>
          <cell r="U171">
            <v>700</v>
          </cell>
          <cell r="V171">
            <v>700</v>
          </cell>
          <cell r="BF171">
            <v>700</v>
          </cell>
          <cell r="BG171">
            <v>700</v>
          </cell>
          <cell r="BH171">
            <v>700</v>
          </cell>
          <cell r="BI171">
            <v>700</v>
          </cell>
          <cell r="BJ171">
            <v>700</v>
          </cell>
          <cell r="BK171">
            <v>700</v>
          </cell>
          <cell r="BL171">
            <v>700</v>
          </cell>
          <cell r="BM171">
            <v>700</v>
          </cell>
          <cell r="BN171">
            <v>700</v>
          </cell>
          <cell r="BO171">
            <v>700</v>
          </cell>
          <cell r="BP171">
            <v>700</v>
          </cell>
          <cell r="BQ171">
            <v>700</v>
          </cell>
          <cell r="BR171">
            <v>700</v>
          </cell>
          <cell r="BS171">
            <v>700</v>
          </cell>
        </row>
        <row r="172">
          <cell r="A172" t="str">
            <v>Beginning</v>
          </cell>
          <cell r="K172">
            <v>699.16899999999998</v>
          </cell>
          <cell r="L172">
            <v>699.18600000000004</v>
          </cell>
          <cell r="M172">
            <v>699.25639857500005</v>
          </cell>
          <cell r="N172">
            <v>699.32416174436628</v>
          </cell>
          <cell r="O172">
            <v>699.39537855745687</v>
          </cell>
          <cell r="P172">
            <v>699.4697544813921</v>
          </cell>
          <cell r="Q172">
            <v>699.54789754587466</v>
          </cell>
          <cell r="R172">
            <v>699.62999855657324</v>
          </cell>
          <cell r="S172">
            <v>699.71625798346372</v>
          </cell>
          <cell r="T172">
            <v>699.80688645032615</v>
          </cell>
          <cell r="U172">
            <v>699.90210524903512</v>
          </cell>
          <cell r="V172">
            <v>700.00214687989876</v>
          </cell>
          <cell r="BF172">
            <v>699.16</v>
          </cell>
          <cell r="BG172">
            <v>699.16899999999998</v>
          </cell>
          <cell r="BH172">
            <v>699.18600000000004</v>
          </cell>
          <cell r="BI172">
            <v>699.20399999999995</v>
          </cell>
          <cell r="BJ172">
            <v>699.22199999999998</v>
          </cell>
          <cell r="BK172">
            <v>699.24</v>
          </cell>
          <cell r="BL172">
            <v>699.25639857500005</v>
          </cell>
          <cell r="BM172">
            <v>699.27302507500008</v>
          </cell>
          <cell r="BN172">
            <v>699.28985922195602</v>
          </cell>
          <cell r="BO172">
            <v>699.30690390196821</v>
          </cell>
          <cell r="BP172">
            <v>699.32416174436628</v>
          </cell>
          <cell r="BQ172">
            <v>699.34163541502494</v>
          </cell>
          <cell r="BR172">
            <v>699.35932761311301</v>
          </cell>
          <cell r="BS172">
            <v>699.37724107155577</v>
          </cell>
        </row>
        <row r="173">
          <cell r="A173" t="str">
            <v>Amortization of Bond Discount (non cash)</v>
          </cell>
          <cell r="K173">
            <v>2.6000000000067303E-2</v>
          </cell>
          <cell r="L173">
            <v>1.6398575000000193E-2</v>
          </cell>
          <cell r="M173">
            <v>6.7763169366145348E-2</v>
          </cell>
          <cell r="N173">
            <v>7.1216813090501319E-2</v>
          </cell>
          <cell r="O173">
            <v>7.4375923935185995E-2</v>
          </cell>
          <cell r="P173">
            <v>7.8143064482510738E-2</v>
          </cell>
          <cell r="Q173">
            <v>8.2101010698551136E-2</v>
          </cell>
          <cell r="R173">
            <v>8.6259426890435975E-2</v>
          </cell>
          <cell r="S173">
            <v>9.0628466862433754E-2</v>
          </cell>
          <cell r="T173">
            <v>9.5218798709019836E-2</v>
          </cell>
          <cell r="U173">
            <v>0.10004163086362894</v>
          </cell>
          <cell r="V173">
            <v>0.10510873946687127</v>
          </cell>
          <cell r="BF173">
            <v>9.0000000000145519E-3</v>
          </cell>
          <cell r="BG173">
            <v>1.7000000000052751E-2</v>
          </cell>
          <cell r="BH173">
            <v>1.7999999999915417E-2</v>
          </cell>
          <cell r="BI173">
            <v>1.8000000000029104E-2</v>
          </cell>
          <cell r="BJ173">
            <v>1.8000000000029104E-2</v>
          </cell>
          <cell r="BK173">
            <v>1.6398575000000193E-2</v>
          </cell>
          <cell r="BL173">
            <v>1.6626499999999211E-2</v>
          </cell>
          <cell r="BM173">
            <v>1.6834146955938323E-2</v>
          </cell>
          <cell r="BN173">
            <v>1.7044680012189062E-2</v>
          </cell>
          <cell r="BO173">
            <v>1.7257842398018752E-2</v>
          </cell>
          <cell r="BP173">
            <v>1.7473670658672447E-2</v>
          </cell>
          <cell r="BQ173">
            <v>1.7692198088036903E-2</v>
          </cell>
          <cell r="BR173">
            <v>1.7913458442752273E-2</v>
          </cell>
          <cell r="BS173">
            <v>1.8137485901043249E-2</v>
          </cell>
        </row>
        <row r="174">
          <cell r="A174" t="str">
            <v>Addition (Retirement)</v>
          </cell>
          <cell r="K174">
            <v>0</v>
          </cell>
          <cell r="L174">
            <v>0</v>
          </cell>
          <cell r="M174">
            <v>0</v>
          </cell>
          <cell r="N174">
            <v>0</v>
          </cell>
          <cell r="O174">
            <v>0</v>
          </cell>
          <cell r="P174">
            <v>0</v>
          </cell>
          <cell r="Q174">
            <v>0</v>
          </cell>
          <cell r="R174">
            <v>0</v>
          </cell>
          <cell r="S174">
            <v>0</v>
          </cell>
          <cell r="T174">
            <v>0</v>
          </cell>
          <cell r="U174">
            <v>0</v>
          </cell>
          <cell r="V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row>
        <row r="175">
          <cell r="A175" t="str">
            <v>Ending Balance</v>
          </cell>
          <cell r="J175">
            <v>0</v>
          </cell>
          <cell r="K175">
            <v>699.18600000000004</v>
          </cell>
          <cell r="L175">
            <v>699.25639857500005</v>
          </cell>
          <cell r="M175">
            <v>699.32416174436628</v>
          </cell>
          <cell r="N175">
            <v>699.39537855745687</v>
          </cell>
          <cell r="O175">
            <v>699.4697544813921</v>
          </cell>
          <cell r="P175">
            <v>699.54789754587466</v>
          </cell>
          <cell r="Q175">
            <v>699.62999855657324</v>
          </cell>
          <cell r="R175">
            <v>699.71625798346372</v>
          </cell>
          <cell r="S175">
            <v>699.80688645032615</v>
          </cell>
          <cell r="T175">
            <v>699.90210524903512</v>
          </cell>
          <cell r="U175">
            <v>700.00214687989876</v>
          </cell>
          <cell r="V175">
            <v>700.10725561936567</v>
          </cell>
          <cell r="BF175">
            <v>699.16899999999998</v>
          </cell>
          <cell r="BG175">
            <v>699.18600000000004</v>
          </cell>
          <cell r="BH175">
            <v>699.20399999999995</v>
          </cell>
          <cell r="BI175">
            <v>699.22199999999998</v>
          </cell>
          <cell r="BJ175">
            <v>699.24</v>
          </cell>
          <cell r="BK175">
            <v>699.25639857500005</v>
          </cell>
          <cell r="BL175">
            <v>699.27302507500008</v>
          </cell>
          <cell r="BM175">
            <v>699.28985922195602</v>
          </cell>
          <cell r="BN175">
            <v>699.30690390196821</v>
          </cell>
          <cell r="BO175">
            <v>699.32416174436628</v>
          </cell>
          <cell r="BP175">
            <v>699.34163541502494</v>
          </cell>
          <cell r="BQ175">
            <v>699.35932761311301</v>
          </cell>
          <cell r="BR175">
            <v>699.37724107155577</v>
          </cell>
          <cell r="BS175">
            <v>699.39537855745687</v>
          </cell>
        </row>
        <row r="177">
          <cell r="A177" t="str">
            <v>4.50% Senior Notes (2018)</v>
          </cell>
          <cell r="K177">
            <v>1000</v>
          </cell>
          <cell r="L177">
            <v>1000</v>
          </cell>
          <cell r="M177">
            <v>1000</v>
          </cell>
          <cell r="N177">
            <v>1000</v>
          </cell>
          <cell r="O177">
            <v>1000</v>
          </cell>
          <cell r="P177">
            <v>1000</v>
          </cell>
          <cell r="Q177">
            <v>1000</v>
          </cell>
          <cell r="R177">
            <v>1000</v>
          </cell>
          <cell r="S177">
            <v>1000</v>
          </cell>
          <cell r="T177">
            <v>1000</v>
          </cell>
          <cell r="U177">
            <v>1000</v>
          </cell>
          <cell r="V177">
            <v>1000</v>
          </cell>
          <cell r="BG177">
            <v>1000</v>
          </cell>
          <cell r="BH177">
            <v>1000</v>
          </cell>
          <cell r="BI177">
            <v>1000</v>
          </cell>
          <cell r="BJ177">
            <v>1000</v>
          </cell>
          <cell r="BK177">
            <v>1000</v>
          </cell>
          <cell r="BL177">
            <v>1000</v>
          </cell>
          <cell r="BM177">
            <v>1000</v>
          </cell>
          <cell r="BN177">
            <v>1000</v>
          </cell>
          <cell r="BO177">
            <v>1000</v>
          </cell>
          <cell r="BP177">
            <v>1000</v>
          </cell>
          <cell r="BQ177">
            <v>1000</v>
          </cell>
          <cell r="BR177">
            <v>1000</v>
          </cell>
          <cell r="BS177">
            <v>1000</v>
          </cell>
        </row>
        <row r="178">
          <cell r="A178" t="str">
            <v>Beginning</v>
          </cell>
          <cell r="K178">
            <v>0</v>
          </cell>
          <cell r="L178">
            <v>999.21600000000001</v>
          </cell>
          <cell r="M178">
            <v>999.30996863999997</v>
          </cell>
          <cell r="N178">
            <v>999.40034937314601</v>
          </cell>
          <cell r="O178">
            <v>999.49487760470959</v>
          </cell>
          <cell r="P178">
            <v>999.59208648223409</v>
          </cell>
          <cell r="Q178">
            <v>999.69368142431244</v>
          </cell>
          <cell r="R178">
            <v>999.79986033017747</v>
          </cell>
          <cell r="S178">
            <v>999.91083002827509</v>
          </cell>
          <cell r="T178">
            <v>1000.0268066791508</v>
          </cell>
          <cell r="U178">
            <v>1000.0268066791508</v>
          </cell>
          <cell r="V178">
            <v>1000.0268066791508</v>
          </cell>
          <cell r="BG178">
            <v>0</v>
          </cell>
          <cell r="BH178">
            <v>999.21600000000001</v>
          </cell>
          <cell r="BI178">
            <v>999.24</v>
          </cell>
          <cell r="BJ178">
            <v>999.26400000000001</v>
          </cell>
          <cell r="BK178">
            <v>999.28800000000001</v>
          </cell>
          <cell r="BL178">
            <v>999.30996863999997</v>
          </cell>
          <cell r="BM178">
            <v>999.33218508625919</v>
          </cell>
          <cell r="BN178">
            <v>999.35465213403222</v>
          </cell>
          <cell r="BO178">
            <v>999.37737261010409</v>
          </cell>
          <cell r="BP178">
            <v>999.40034937314601</v>
          </cell>
          <cell r="BQ178">
            <v>999.42358531407513</v>
          </cell>
          <cell r="BR178">
            <v>999.44708335641792</v>
          </cell>
          <cell r="BS178">
            <v>999.47084645667826</v>
          </cell>
        </row>
        <row r="179">
          <cell r="A179" t="str">
            <v>Amortization of Bond Discount (non cash)</v>
          </cell>
          <cell r="K179">
            <v>0</v>
          </cell>
          <cell r="L179">
            <v>2.1968640000000761E-2</v>
          </cell>
          <cell r="M179">
            <v>9.0380733146062653E-2</v>
          </cell>
          <cell r="N179">
            <v>9.4528231563579368E-2</v>
          </cell>
          <cell r="O179">
            <v>9.7208877524494142E-2</v>
          </cell>
          <cell r="P179">
            <v>0.1015949420783997</v>
          </cell>
          <cell r="Q179">
            <v>0.10617890586497936</v>
          </cell>
          <cell r="R179">
            <v>0.11096969809760537</v>
          </cell>
          <cell r="S179">
            <v>0.11597665087577269</v>
          </cell>
          <cell r="T179">
            <v>0</v>
          </cell>
          <cell r="U179">
            <v>0</v>
          </cell>
          <cell r="V179">
            <v>0</v>
          </cell>
          <cell r="BG179">
            <v>0</v>
          </cell>
          <cell r="BH179">
            <v>0</v>
          </cell>
          <cell r="BI179">
            <v>0</v>
          </cell>
          <cell r="BJ179">
            <v>0</v>
          </cell>
          <cell r="BK179">
            <v>2.1968640000000761E-2</v>
          </cell>
          <cell r="BL179">
            <v>2.2216446259200495E-2</v>
          </cell>
          <cell r="BM179">
            <v>2.2467047773004012E-2</v>
          </cell>
          <cell r="BN179">
            <v>2.2720476071883766E-2</v>
          </cell>
          <cell r="BO179">
            <v>2.297676304197438E-2</v>
          </cell>
          <cell r="BP179">
            <v>2.3235940929087207E-2</v>
          </cell>
          <cell r="BQ179">
            <v>2.3498042342767533E-2</v>
          </cell>
          <cell r="BR179">
            <v>2.376310026039441E-2</v>
          </cell>
          <cell r="BS179">
            <v>2.4031148031330218E-2</v>
          </cell>
        </row>
        <row r="180">
          <cell r="A180" t="str">
            <v>Addition (Retirement)</v>
          </cell>
          <cell r="K180">
            <v>999.21600000000001</v>
          </cell>
          <cell r="L180">
            <v>0</v>
          </cell>
          <cell r="M180">
            <v>0</v>
          </cell>
          <cell r="N180">
            <v>0</v>
          </cell>
          <cell r="O180">
            <v>0</v>
          </cell>
          <cell r="P180">
            <v>0</v>
          </cell>
          <cell r="Q180">
            <v>0</v>
          </cell>
          <cell r="R180">
            <v>0</v>
          </cell>
          <cell r="S180">
            <v>0</v>
          </cell>
          <cell r="T180">
            <v>0</v>
          </cell>
          <cell r="U180">
            <v>0</v>
          </cell>
          <cell r="V180">
            <v>0</v>
          </cell>
          <cell r="BG180">
            <v>999.21600000000001</v>
          </cell>
          <cell r="BH180">
            <v>0</v>
          </cell>
          <cell r="BI180">
            <v>0</v>
          </cell>
          <cell r="BJ180">
            <v>0</v>
          </cell>
          <cell r="BK180">
            <v>0</v>
          </cell>
          <cell r="BL180">
            <v>0</v>
          </cell>
          <cell r="BM180">
            <v>0</v>
          </cell>
          <cell r="BN180">
            <v>0</v>
          </cell>
          <cell r="BO180">
            <v>0</v>
          </cell>
          <cell r="BP180">
            <v>0</v>
          </cell>
          <cell r="BQ180">
            <v>0</v>
          </cell>
          <cell r="BR180">
            <v>0</v>
          </cell>
          <cell r="BS180">
            <v>0</v>
          </cell>
        </row>
        <row r="181">
          <cell r="A181" t="str">
            <v>Ending Balance</v>
          </cell>
          <cell r="J181">
            <v>0</v>
          </cell>
          <cell r="K181">
            <v>999.21600000000001</v>
          </cell>
          <cell r="L181">
            <v>999.30996863999997</v>
          </cell>
          <cell r="M181">
            <v>999.40034937314601</v>
          </cell>
          <cell r="N181">
            <v>999.49487760470959</v>
          </cell>
          <cell r="O181">
            <v>999.59208648223409</v>
          </cell>
          <cell r="P181">
            <v>999.69368142431244</v>
          </cell>
          <cell r="Q181">
            <v>999.79986033017747</v>
          </cell>
          <cell r="R181">
            <v>999.91083002827509</v>
          </cell>
          <cell r="S181">
            <v>1000.0268066791508</v>
          </cell>
          <cell r="T181">
            <v>1000.0268066791508</v>
          </cell>
          <cell r="U181">
            <v>1000.0268066791508</v>
          </cell>
          <cell r="V181">
            <v>1000.0268066791508</v>
          </cell>
          <cell r="BG181">
            <v>999.21600000000001</v>
          </cell>
          <cell r="BH181">
            <v>999.24</v>
          </cell>
          <cell r="BI181">
            <v>999.26400000000001</v>
          </cell>
          <cell r="BJ181">
            <v>999.28800000000001</v>
          </cell>
          <cell r="BK181">
            <v>999.30996863999997</v>
          </cell>
          <cell r="BL181">
            <v>999.33218508625919</v>
          </cell>
          <cell r="BM181">
            <v>999.35465213403222</v>
          </cell>
          <cell r="BN181">
            <v>999.37737261010409</v>
          </cell>
          <cell r="BO181">
            <v>999.40034937314601</v>
          </cell>
          <cell r="BP181">
            <v>999.42358531407513</v>
          </cell>
          <cell r="BQ181">
            <v>999.44708335641792</v>
          </cell>
          <cell r="BR181">
            <v>999.47084645667826</v>
          </cell>
          <cell r="BS181">
            <v>999.49487760470959</v>
          </cell>
        </row>
        <row r="183">
          <cell r="A183" t="str">
            <v>5.90% Senior Notes (2021)</v>
          </cell>
          <cell r="L183">
            <v>500</v>
          </cell>
          <cell r="M183">
            <v>500</v>
          </cell>
          <cell r="N183">
            <v>500</v>
          </cell>
          <cell r="O183">
            <v>500</v>
          </cell>
          <cell r="P183">
            <v>500</v>
          </cell>
          <cell r="Q183">
            <v>500</v>
          </cell>
          <cell r="R183">
            <v>500</v>
          </cell>
          <cell r="S183">
            <v>500</v>
          </cell>
          <cell r="T183">
            <v>500</v>
          </cell>
          <cell r="U183">
            <v>500</v>
          </cell>
          <cell r="V183">
            <v>500</v>
          </cell>
          <cell r="BK183">
            <v>500</v>
          </cell>
          <cell r="BL183">
            <v>500</v>
          </cell>
          <cell r="BM183">
            <v>500</v>
          </cell>
          <cell r="BN183">
            <v>500</v>
          </cell>
          <cell r="BO183">
            <v>500</v>
          </cell>
          <cell r="BP183">
            <v>500</v>
          </cell>
          <cell r="BQ183">
            <v>500</v>
          </cell>
          <cell r="BR183">
            <v>500</v>
          </cell>
          <cell r="BS183">
            <v>500</v>
          </cell>
        </row>
        <row r="184">
          <cell r="A184" t="str">
            <v>Beginning</v>
          </cell>
          <cell r="L184">
            <v>0</v>
          </cell>
          <cell r="M184">
            <v>495.2</v>
          </cell>
          <cell r="N184">
            <v>495.56879541109686</v>
          </cell>
          <cell r="O184">
            <v>495.96033712331229</v>
          </cell>
          <cell r="P184">
            <v>496.36674545184803</v>
          </cell>
          <cell r="Q184">
            <v>496.79766020259444</v>
          </cell>
          <cell r="R184">
            <v>497.25455911281091</v>
          </cell>
          <cell r="S184">
            <v>497.73900902731339</v>
          </cell>
          <cell r="T184">
            <v>498.2526712716604</v>
          </cell>
          <cell r="U184">
            <v>498.79730734934151</v>
          </cell>
          <cell r="V184">
            <v>499.37478498250681</v>
          </cell>
          <cell r="BK184">
            <v>0</v>
          </cell>
          <cell r="BL184">
            <v>495.2</v>
          </cell>
          <cell r="BM184">
            <v>495.29014000000001</v>
          </cell>
          <cell r="BN184">
            <v>495.3816388605</v>
          </cell>
          <cell r="BO184">
            <v>495.47451706632205</v>
          </cell>
          <cell r="BP184">
            <v>495.56879541109686</v>
          </cell>
          <cell r="BQ184">
            <v>495.66449500191914</v>
          </cell>
          <cell r="BR184">
            <v>495.76163726407304</v>
          </cell>
          <cell r="BS184">
            <v>495.86024394582893</v>
          </cell>
        </row>
        <row r="185">
          <cell r="A185" t="str">
            <v>Amortization of Bond Discount (non cash)</v>
          </cell>
          <cell r="L185">
            <v>0</v>
          </cell>
          <cell r="M185">
            <v>0.36879541109684233</v>
          </cell>
          <cell r="N185">
            <v>0.3915417122154885</v>
          </cell>
          <cell r="O185">
            <v>0.40640832853572917</v>
          </cell>
          <cell r="P185">
            <v>0.43091475074643526</v>
          </cell>
          <cell r="Q185">
            <v>0.45689891021644513</v>
          </cell>
          <cell r="R185">
            <v>0.4844499145024983</v>
          </cell>
          <cell r="S185">
            <v>0.51366224434699603</v>
          </cell>
          <cell r="T185">
            <v>0.54463607768112254</v>
          </cell>
          <cell r="U185">
            <v>0.57747763316529444</v>
          </cell>
          <cell r="V185">
            <v>0.61229953444516028</v>
          </cell>
          <cell r="BK185">
            <v>0</v>
          </cell>
          <cell r="BL185">
            <v>9.0139999999999887E-2</v>
          </cell>
          <cell r="BM185">
            <v>9.1498860499999779E-2</v>
          </cell>
          <cell r="BN185">
            <v>9.287820582203743E-2</v>
          </cell>
          <cell r="BO185">
            <v>9.4278344774805234E-2</v>
          </cell>
          <cell r="BP185">
            <v>9.5699590822285074E-2</v>
          </cell>
          <cell r="BQ185">
            <v>9.7142262153931291E-2</v>
          </cell>
          <cell r="BR185">
            <v>9.8606681755900816E-2</v>
          </cell>
          <cell r="BS185">
            <v>0.10009317748337132</v>
          </cell>
        </row>
        <row r="186">
          <cell r="A186" t="str">
            <v>Addition (Retirement)</v>
          </cell>
          <cell r="L186">
            <v>495.2</v>
          </cell>
          <cell r="M186">
            <v>0</v>
          </cell>
          <cell r="N186">
            <v>0</v>
          </cell>
          <cell r="O186">
            <v>0</v>
          </cell>
          <cell r="P186">
            <v>0</v>
          </cell>
          <cell r="Q186">
            <v>0</v>
          </cell>
          <cell r="R186">
            <v>0</v>
          </cell>
          <cell r="S186">
            <v>0</v>
          </cell>
          <cell r="T186">
            <v>0</v>
          </cell>
          <cell r="U186">
            <v>0</v>
          </cell>
          <cell r="V186">
            <v>0</v>
          </cell>
          <cell r="BK186">
            <v>495.2</v>
          </cell>
          <cell r="BL186">
            <v>0</v>
          </cell>
          <cell r="BM186">
            <v>0</v>
          </cell>
          <cell r="BN186">
            <v>0</v>
          </cell>
          <cell r="BO186">
            <v>0</v>
          </cell>
          <cell r="BP186">
            <v>0</v>
          </cell>
          <cell r="BQ186">
            <v>0</v>
          </cell>
          <cell r="BR186">
            <v>0</v>
          </cell>
          <cell r="BS186">
            <v>0</v>
          </cell>
        </row>
        <row r="187">
          <cell r="A187" t="str">
            <v>Ending Balance</v>
          </cell>
          <cell r="L187">
            <v>495.2</v>
          </cell>
          <cell r="M187">
            <v>495.56879541109686</v>
          </cell>
          <cell r="N187">
            <v>495.96033712331229</v>
          </cell>
          <cell r="O187">
            <v>496.36674545184803</v>
          </cell>
          <cell r="P187">
            <v>496.79766020259444</v>
          </cell>
          <cell r="Q187">
            <v>497.25455911281091</v>
          </cell>
          <cell r="R187">
            <v>497.73900902731339</v>
          </cell>
          <cell r="S187">
            <v>498.2526712716604</v>
          </cell>
          <cell r="T187">
            <v>498.79730734934151</v>
          </cell>
          <cell r="U187">
            <v>499.37478498250681</v>
          </cell>
          <cell r="V187">
            <v>499.987084516952</v>
          </cell>
          <cell r="BK187">
            <v>495.2</v>
          </cell>
          <cell r="BL187">
            <v>495.29014000000001</v>
          </cell>
          <cell r="BM187">
            <v>495.3816388605</v>
          </cell>
          <cell r="BN187">
            <v>495.47451706632205</v>
          </cell>
          <cell r="BO187">
            <v>495.56879541109686</v>
          </cell>
          <cell r="BP187">
            <v>495.66449500191914</v>
          </cell>
          <cell r="BQ187">
            <v>495.76163726407304</v>
          </cell>
          <cell r="BR187">
            <v>495.86024394582893</v>
          </cell>
          <cell r="BS187">
            <v>495.96033712331229</v>
          </cell>
        </row>
        <row r="189">
          <cell r="A189" t="str">
            <v>Other Refinancing</v>
          </cell>
        </row>
        <row r="190">
          <cell r="A190" t="str">
            <v>Beginning</v>
          </cell>
          <cell r="H190">
            <v>0</v>
          </cell>
          <cell r="I190">
            <v>0</v>
          </cell>
          <cell r="J190">
            <v>0</v>
          </cell>
          <cell r="K190">
            <v>132.36199999999999</v>
          </cell>
          <cell r="L190">
            <v>119.22</v>
          </cell>
          <cell r="M190">
            <v>487.95699999999999</v>
          </cell>
          <cell r="N190">
            <v>487.95699999999999</v>
          </cell>
          <cell r="O190">
            <v>487.95699999999999</v>
          </cell>
          <cell r="P190">
            <v>487.95699999999999</v>
          </cell>
          <cell r="Q190">
            <v>487.95699999999999</v>
          </cell>
          <cell r="R190">
            <v>487.95699999999999</v>
          </cell>
          <cell r="S190">
            <v>487.95699999999999</v>
          </cell>
          <cell r="T190">
            <v>487.95699999999999</v>
          </cell>
          <cell r="U190">
            <v>487.95699999999999</v>
          </cell>
          <cell r="V190">
            <v>487.95699999999999</v>
          </cell>
          <cell r="AX190">
            <v>0</v>
          </cell>
          <cell r="AY190">
            <v>0</v>
          </cell>
          <cell r="AZ190">
            <v>0</v>
          </cell>
          <cell r="BA190">
            <v>59.595999999999997</v>
          </cell>
          <cell r="BB190">
            <v>130.71100000000001</v>
          </cell>
          <cell r="BC190">
            <v>130.922</v>
          </cell>
          <cell r="BD190">
            <v>132.36199999999999</v>
          </cell>
          <cell r="BE190">
            <v>135.273</v>
          </cell>
          <cell r="BF190">
            <v>58.860999999999997</v>
          </cell>
          <cell r="BG190">
            <v>236.15799999999999</v>
          </cell>
          <cell r="BH190">
            <v>119.22</v>
          </cell>
          <cell r="BI190">
            <v>222.489</v>
          </cell>
          <cell r="BJ190">
            <v>258.31900000000002</v>
          </cell>
          <cell r="BK190">
            <v>287.95699999999999</v>
          </cell>
          <cell r="BL190">
            <v>487.95699999999999</v>
          </cell>
          <cell r="BM190">
            <v>487.95699999999999</v>
          </cell>
          <cell r="BN190">
            <v>487.95699999999999</v>
          </cell>
          <cell r="BO190">
            <v>487.95699999999999</v>
          </cell>
          <cell r="BP190">
            <v>487.95699999999999</v>
          </cell>
          <cell r="BQ190">
            <v>487.95699999999999</v>
          </cell>
          <cell r="BR190">
            <v>487.95699999999999</v>
          </cell>
          <cell r="BS190">
            <v>487.95699999999999</v>
          </cell>
        </row>
        <row r="191">
          <cell r="A191" t="str">
            <v>Addition (Retirement)</v>
          </cell>
          <cell r="H191">
            <v>0</v>
          </cell>
          <cell r="I191">
            <v>0</v>
          </cell>
          <cell r="J191">
            <v>0</v>
          </cell>
          <cell r="K191">
            <v>-13.141999999999996</v>
          </cell>
          <cell r="L191">
            <v>368.73699999999997</v>
          </cell>
          <cell r="M191">
            <v>0</v>
          </cell>
          <cell r="N191">
            <v>0</v>
          </cell>
          <cell r="O191">
            <v>0</v>
          </cell>
          <cell r="P191">
            <v>0</v>
          </cell>
          <cell r="Q191">
            <v>0</v>
          </cell>
          <cell r="R191">
            <v>0</v>
          </cell>
          <cell r="S191">
            <v>0</v>
          </cell>
          <cell r="T191">
            <v>0</v>
          </cell>
          <cell r="U191">
            <v>0</v>
          </cell>
          <cell r="V191">
            <v>0</v>
          </cell>
          <cell r="BD191">
            <v>2.9110000000000014</v>
          </cell>
          <cell r="BE191">
            <v>-76.412000000000006</v>
          </cell>
          <cell r="BF191">
            <v>177.297</v>
          </cell>
          <cell r="BG191">
            <v>-116.93799999999999</v>
          </cell>
          <cell r="BH191">
            <v>103.26900000000001</v>
          </cell>
          <cell r="BI191">
            <v>35.830000000000013</v>
          </cell>
          <cell r="BJ191">
            <v>29.637999999999977</v>
          </cell>
          <cell r="BK191">
            <v>200</v>
          </cell>
          <cell r="BL191">
            <v>0</v>
          </cell>
          <cell r="BM191">
            <v>0</v>
          </cell>
          <cell r="BN191">
            <v>0</v>
          </cell>
          <cell r="BO191">
            <v>0</v>
          </cell>
          <cell r="BP191">
            <v>0</v>
          </cell>
          <cell r="BQ191">
            <v>0</v>
          </cell>
          <cell r="BR191">
            <v>0</v>
          </cell>
          <cell r="BS191">
            <v>0</v>
          </cell>
        </row>
        <row r="192">
          <cell r="A192" t="str">
            <v>Ending Balance</v>
          </cell>
          <cell r="H192">
            <v>0</v>
          </cell>
          <cell r="I192">
            <v>0</v>
          </cell>
          <cell r="J192">
            <v>132.36199999999999</v>
          </cell>
          <cell r="K192">
            <v>119.22</v>
          </cell>
          <cell r="L192">
            <v>487.95699999999999</v>
          </cell>
          <cell r="M192">
            <v>487.95699999999999</v>
          </cell>
          <cell r="N192">
            <v>487.95699999999999</v>
          </cell>
          <cell r="O192">
            <v>487.95699999999999</v>
          </cell>
          <cell r="P192">
            <v>487.95699999999999</v>
          </cell>
          <cell r="Q192">
            <v>487.95699999999999</v>
          </cell>
          <cell r="R192">
            <v>487.95699999999999</v>
          </cell>
          <cell r="S192">
            <v>487.95699999999999</v>
          </cell>
          <cell r="T192">
            <v>487.95699999999999</v>
          </cell>
          <cell r="U192">
            <v>487.95699999999999</v>
          </cell>
          <cell r="V192">
            <v>487.95699999999999</v>
          </cell>
          <cell r="AW192">
            <v>0</v>
          </cell>
          <cell r="AX192">
            <v>0</v>
          </cell>
          <cell r="AY192">
            <v>0</v>
          </cell>
          <cell r="AZ192">
            <v>59.595999999999997</v>
          </cell>
          <cell r="BA192">
            <v>130.71100000000001</v>
          </cell>
          <cell r="BB192">
            <v>130.922</v>
          </cell>
          <cell r="BC192">
            <v>132.36199999999999</v>
          </cell>
          <cell r="BD192">
            <v>135.273</v>
          </cell>
          <cell r="BE192">
            <v>58.860999999999997</v>
          </cell>
          <cell r="BF192">
            <v>236.15799999999999</v>
          </cell>
          <cell r="BG192">
            <v>119.22</v>
          </cell>
          <cell r="BH192">
            <v>222.489</v>
          </cell>
          <cell r="BI192">
            <v>258.31900000000002</v>
          </cell>
          <cell r="BJ192">
            <v>287.95699999999999</v>
          </cell>
          <cell r="BK192">
            <v>487.95699999999999</v>
          </cell>
          <cell r="BL192">
            <v>487.95699999999999</v>
          </cell>
          <cell r="BM192">
            <v>487.95699999999999</v>
          </cell>
          <cell r="BN192">
            <v>487.95699999999999</v>
          </cell>
          <cell r="BO192">
            <v>487.95699999999999</v>
          </cell>
          <cell r="BP192">
            <v>487.95699999999999</v>
          </cell>
          <cell r="BQ192">
            <v>487.95699999999999</v>
          </cell>
          <cell r="BR192">
            <v>487.95699999999999</v>
          </cell>
          <cell r="BS192">
            <v>487.95699999999999</v>
          </cell>
        </row>
        <row r="194">
          <cell r="A194" t="str">
            <v>Total Scheduled Debt</v>
          </cell>
          <cell r="H194">
            <v>4206.741</v>
          </cell>
          <cell r="I194">
            <v>4272.9709999999995</v>
          </cell>
          <cell r="J194">
            <v>4211.5810000000001</v>
          </cell>
          <cell r="K194">
            <v>5587.3879999999999</v>
          </cell>
          <cell r="L194">
            <v>6668.0277507774999</v>
          </cell>
          <cell r="M194">
            <v>6669.0862372068341</v>
          </cell>
          <cell r="N194">
            <v>6670.2121863199081</v>
          </cell>
          <cell r="O194">
            <v>6671.3832768164757</v>
          </cell>
          <cell r="P194">
            <v>6672.6275032096173</v>
          </cell>
          <cell r="Q194">
            <v>6673.9495794465556</v>
          </cell>
          <cell r="R194">
            <v>6675.3545318416673</v>
          </cell>
          <cell r="S194">
            <v>6676.8477202674567</v>
          </cell>
          <cell r="T194">
            <v>6678.3136512940155</v>
          </cell>
          <cell r="U194">
            <v>6679.8741619933353</v>
          </cell>
          <cell r="V194">
            <v>6681.5355084788152</v>
          </cell>
          <cell r="AT194">
            <v>3948.7339999999999</v>
          </cell>
          <cell r="AU194">
            <v>4225.0739999999996</v>
          </cell>
          <cell r="AV194">
            <v>4361.1730000000007</v>
          </cell>
          <cell r="AW194">
            <v>4360.817</v>
          </cell>
          <cell r="AX194">
            <v>4370.1100000000006</v>
          </cell>
          <cell r="AY194">
            <v>4272.9709999999995</v>
          </cell>
          <cell r="AZ194">
            <v>4332.5259999999998</v>
          </cell>
          <cell r="BA194">
            <v>4444.2710000000006</v>
          </cell>
          <cell r="BB194">
            <v>4186.7550000000001</v>
          </cell>
          <cell r="BC194">
            <v>4211.5810000000001</v>
          </cell>
          <cell r="BD194">
            <v>4229.9349999999995</v>
          </cell>
          <cell r="BE194">
            <v>4153.6509999999998</v>
          </cell>
          <cell r="BF194">
            <v>4804.96</v>
          </cell>
          <cell r="BG194">
            <v>5587.3879999999999</v>
          </cell>
          <cell r="BH194">
            <v>5565.8329999999996</v>
          </cell>
          <cell r="BI194">
            <v>5701.8429999999998</v>
          </cell>
          <cell r="BJ194">
            <v>5831.6620000000003</v>
          </cell>
          <cell r="BK194">
            <v>6668.0277507774999</v>
          </cell>
          <cell r="BL194">
            <v>6668.2862803208418</v>
          </cell>
          <cell r="BM194">
            <v>6668.548827918692</v>
          </cell>
          <cell r="BN194">
            <v>6668.8154583593077</v>
          </cell>
          <cell r="BO194">
            <v>6669.0862372068341</v>
          </cell>
          <cell r="BP194">
            <v>6669.3612311122297</v>
          </cell>
          <cell r="BQ194">
            <v>6669.6405078279377</v>
          </cell>
          <cell r="BR194">
            <v>6669.9241362265766</v>
          </cell>
          <cell r="BS194">
            <v>6670.2121863199081</v>
          </cell>
        </row>
        <row r="195">
          <cell r="A195" t="str">
            <v>CHECK</v>
          </cell>
          <cell r="J195">
            <v>3.3484326422694721E-13</v>
          </cell>
          <cell r="K195">
            <v>4.2188474935755949E-13</v>
          </cell>
          <cell r="L195">
            <v>1.2505552149377763E-12</v>
          </cell>
          <cell r="M195">
            <v>1.2505552149377763E-12</v>
          </cell>
          <cell r="N195">
            <v>3.4106051316484809E-13</v>
          </cell>
          <cell r="O195">
            <v>1.2505552149377763E-12</v>
          </cell>
          <cell r="P195">
            <v>1.2505552149377763E-12</v>
          </cell>
          <cell r="Q195">
            <v>3.4106051316484809E-13</v>
          </cell>
          <cell r="R195">
            <v>1.2505552149377763E-12</v>
          </cell>
          <cell r="S195">
            <v>1.2505552149377763E-12</v>
          </cell>
          <cell r="T195">
            <v>1.2505552149377763E-12</v>
          </cell>
          <cell r="U195">
            <v>2.1600499167107046E-12</v>
          </cell>
          <cell r="V195">
            <v>1.2505552149377763E-12</v>
          </cell>
          <cell r="AZ195">
            <v>3.6370906286720128E-13</v>
          </cell>
          <cell r="BA195">
            <v>9.4591001698063337E-14</v>
          </cell>
          <cell r="BB195">
            <v>6.6924243924404436E-13</v>
          </cell>
          <cell r="BC195">
            <v>3.3484326422694721E-13</v>
          </cell>
          <cell r="BD195">
            <v>3.0553337637684308E-13</v>
          </cell>
          <cell r="BE195">
            <v>-4.2188474935755949E-13</v>
          </cell>
          <cell r="BF195">
            <v>-1.8207657603852567E-13</v>
          </cell>
          <cell r="BG195">
            <v>4.2188474935755949E-13</v>
          </cell>
          <cell r="BH195">
            <v>-1.1723955140041653E-13</v>
          </cell>
          <cell r="BI195">
            <v>-1.8474111129762605E-13</v>
          </cell>
          <cell r="BJ195">
            <v>3.4106051316484809E-13</v>
          </cell>
          <cell r="BK195">
            <v>1.2505552149377763E-12</v>
          </cell>
          <cell r="BL195">
            <v>1.2505552149377763E-12</v>
          </cell>
          <cell r="BM195">
            <v>1.2505552149377763E-12</v>
          </cell>
          <cell r="BN195">
            <v>3.4106051316484809E-13</v>
          </cell>
          <cell r="BO195">
            <v>1.2505552149377763E-12</v>
          </cell>
          <cell r="BP195">
            <v>1.2505552149377763E-12</v>
          </cell>
          <cell r="BQ195">
            <v>3.4106051316484809E-13</v>
          </cell>
          <cell r="BR195">
            <v>3.4106051316484809E-13</v>
          </cell>
          <cell r="BS195">
            <v>3.4106051316484809E-13</v>
          </cell>
        </row>
        <row r="197">
          <cell r="A197" t="str">
            <v>Interest Expense</v>
          </cell>
        </row>
        <row r="198">
          <cell r="A198" t="str">
            <v>Commerical Mort. Pass-through Certificates, Series 2007-1 (Apr. 15, 2014)</v>
          </cell>
          <cell r="B198">
            <v>5.6099999999999997E-2</v>
          </cell>
          <cell r="L198">
            <v>24.543749999999999</v>
          </cell>
          <cell r="M198">
            <v>98.174999999999997</v>
          </cell>
          <cell r="N198">
            <v>98.174999999999997</v>
          </cell>
          <cell r="O198">
            <v>98.174999999999997</v>
          </cell>
          <cell r="P198">
            <v>98.174999999999997</v>
          </cell>
          <cell r="Q198">
            <v>98.174999999999997</v>
          </cell>
          <cell r="R198">
            <v>98.174999999999997</v>
          </cell>
          <cell r="S198">
            <v>98.174999999999997</v>
          </cell>
          <cell r="T198">
            <v>98.174999999999997</v>
          </cell>
          <cell r="U198">
            <v>98.174999999999997</v>
          </cell>
          <cell r="V198">
            <v>98.174999999999997</v>
          </cell>
          <cell r="BK198">
            <v>24.543749999999999</v>
          </cell>
          <cell r="BL198">
            <v>24.543749999999999</v>
          </cell>
          <cell r="BM198">
            <v>24.543749999999999</v>
          </cell>
          <cell r="BN198">
            <v>24.543749999999999</v>
          </cell>
          <cell r="BO198">
            <v>24.543749999999999</v>
          </cell>
          <cell r="BP198">
            <v>24.543749999999999</v>
          </cell>
          <cell r="BQ198">
            <v>24.543749999999999</v>
          </cell>
          <cell r="BR198">
            <v>24.543749999999999</v>
          </cell>
          <cell r="BS198">
            <v>24.543749999999999</v>
          </cell>
        </row>
        <row r="199">
          <cell r="A199" t="str">
            <v>Senior Unsecured Term Loan (Jun 8, 2012)</v>
          </cell>
          <cell r="B199">
            <v>0.04</v>
          </cell>
          <cell r="L199">
            <v>3.25</v>
          </cell>
          <cell r="M199">
            <v>13</v>
          </cell>
          <cell r="N199">
            <v>13</v>
          </cell>
          <cell r="O199">
            <v>13</v>
          </cell>
          <cell r="P199">
            <v>13</v>
          </cell>
          <cell r="Q199">
            <v>13</v>
          </cell>
          <cell r="R199">
            <v>13</v>
          </cell>
          <cell r="S199">
            <v>13</v>
          </cell>
          <cell r="T199">
            <v>13</v>
          </cell>
          <cell r="U199">
            <v>13</v>
          </cell>
          <cell r="V199">
            <v>13</v>
          </cell>
          <cell r="BK199">
            <v>3.25</v>
          </cell>
          <cell r="BL199">
            <v>3.25</v>
          </cell>
          <cell r="BM199">
            <v>3.25</v>
          </cell>
          <cell r="BN199">
            <v>3.25</v>
          </cell>
          <cell r="BO199">
            <v>3.25</v>
          </cell>
          <cell r="BP199">
            <v>3.25</v>
          </cell>
          <cell r="BQ199">
            <v>3.25</v>
          </cell>
          <cell r="BR199">
            <v>3.25</v>
          </cell>
          <cell r="BS199">
            <v>3.25</v>
          </cell>
        </row>
        <row r="200">
          <cell r="A200" t="str">
            <v>Revolving Credit Facility (Jun 8, 2012)</v>
          </cell>
          <cell r="L200">
            <v>15</v>
          </cell>
          <cell r="M200">
            <v>32</v>
          </cell>
          <cell r="N200">
            <v>28</v>
          </cell>
          <cell r="O200">
            <v>28</v>
          </cell>
          <cell r="P200">
            <v>28</v>
          </cell>
          <cell r="Q200">
            <v>28</v>
          </cell>
          <cell r="R200">
            <v>28</v>
          </cell>
          <cell r="S200">
            <v>28</v>
          </cell>
          <cell r="T200">
            <v>28</v>
          </cell>
          <cell r="U200">
            <v>28</v>
          </cell>
          <cell r="V200">
            <v>28</v>
          </cell>
          <cell r="BK200">
            <v>15</v>
          </cell>
          <cell r="BL200">
            <v>8</v>
          </cell>
          <cell r="BM200">
            <v>8</v>
          </cell>
          <cell r="BN200">
            <v>8</v>
          </cell>
          <cell r="BO200">
            <v>8</v>
          </cell>
          <cell r="BP200">
            <v>7</v>
          </cell>
          <cell r="BQ200">
            <v>7</v>
          </cell>
          <cell r="BR200">
            <v>7</v>
          </cell>
          <cell r="BS200">
            <v>7</v>
          </cell>
        </row>
        <row r="201">
          <cell r="A201" t="str">
            <v>7.50% Sr Notes (May 1, 2012)</v>
          </cell>
          <cell r="B201">
            <v>7.4999999999999997E-2</v>
          </cell>
          <cell r="L201">
            <v>0</v>
          </cell>
          <cell r="M201">
            <v>0</v>
          </cell>
          <cell r="N201">
            <v>0</v>
          </cell>
          <cell r="O201">
            <v>0</v>
          </cell>
          <cell r="P201">
            <v>0</v>
          </cell>
          <cell r="Q201">
            <v>0</v>
          </cell>
          <cell r="R201">
            <v>0</v>
          </cell>
          <cell r="S201">
            <v>0</v>
          </cell>
          <cell r="T201">
            <v>0</v>
          </cell>
          <cell r="U201">
            <v>0</v>
          </cell>
          <cell r="V201">
            <v>0</v>
          </cell>
        </row>
        <row r="202">
          <cell r="A202" t="str">
            <v>7.125% Sr Notes (Oct 15, 2012)</v>
          </cell>
          <cell r="B202">
            <v>7.1249999999999994E-2</v>
          </cell>
          <cell r="L202">
            <v>0</v>
          </cell>
          <cell r="M202">
            <v>0</v>
          </cell>
          <cell r="N202">
            <v>0</v>
          </cell>
          <cell r="O202">
            <v>0</v>
          </cell>
          <cell r="P202">
            <v>0</v>
          </cell>
          <cell r="Q202">
            <v>0</v>
          </cell>
          <cell r="R202">
            <v>0</v>
          </cell>
          <cell r="S202">
            <v>0</v>
          </cell>
          <cell r="T202">
            <v>0</v>
          </cell>
          <cell r="U202">
            <v>0</v>
          </cell>
          <cell r="V202">
            <v>0</v>
          </cell>
        </row>
        <row r="203">
          <cell r="A203" t="str">
            <v>7.00% Sr Notes (Oct 15, 2017)</v>
          </cell>
          <cell r="B203">
            <v>7.0000000000000007E-2</v>
          </cell>
          <cell r="L203">
            <v>8.75</v>
          </cell>
          <cell r="M203">
            <v>35</v>
          </cell>
          <cell r="N203">
            <v>35</v>
          </cell>
          <cell r="O203">
            <v>35</v>
          </cell>
          <cell r="P203">
            <v>35</v>
          </cell>
          <cell r="Q203">
            <v>35</v>
          </cell>
          <cell r="R203">
            <v>35</v>
          </cell>
          <cell r="S203">
            <v>35</v>
          </cell>
          <cell r="T203">
            <v>35</v>
          </cell>
          <cell r="U203">
            <v>35</v>
          </cell>
          <cell r="V203">
            <v>35</v>
          </cell>
          <cell r="BK203">
            <v>8.75</v>
          </cell>
          <cell r="BL203">
            <v>8.75</v>
          </cell>
          <cell r="BM203">
            <v>8.75</v>
          </cell>
          <cell r="BN203">
            <v>8.75</v>
          </cell>
          <cell r="BO203">
            <v>8.75</v>
          </cell>
          <cell r="BP203">
            <v>8.75</v>
          </cell>
          <cell r="BQ203">
            <v>8.75</v>
          </cell>
          <cell r="BR203">
            <v>8.75</v>
          </cell>
          <cell r="BS203">
            <v>8.75</v>
          </cell>
        </row>
        <row r="204">
          <cell r="A204" t="str">
            <v>5.0% Convertible Notes (Feb 15, 2010)</v>
          </cell>
          <cell r="B204">
            <v>0.05</v>
          </cell>
          <cell r="L204">
            <v>0</v>
          </cell>
          <cell r="M204">
            <v>0</v>
          </cell>
          <cell r="N204">
            <v>0</v>
          </cell>
          <cell r="O204">
            <v>0</v>
          </cell>
          <cell r="P204">
            <v>0</v>
          </cell>
          <cell r="Q204">
            <v>0</v>
          </cell>
          <cell r="R204">
            <v>0</v>
          </cell>
          <cell r="S204">
            <v>0</v>
          </cell>
          <cell r="T204">
            <v>0</v>
          </cell>
          <cell r="U204">
            <v>0</v>
          </cell>
          <cell r="V204">
            <v>0</v>
          </cell>
        </row>
        <row r="205">
          <cell r="A205" t="str">
            <v>3.0% Convertible Notes (Aug 15, 2012)</v>
          </cell>
          <cell r="B205">
            <v>0.03</v>
          </cell>
          <cell r="L205">
            <v>0</v>
          </cell>
          <cell r="M205">
            <v>0</v>
          </cell>
          <cell r="N205">
            <v>0</v>
          </cell>
          <cell r="O205">
            <v>0</v>
          </cell>
          <cell r="P205">
            <v>0</v>
          </cell>
          <cell r="Q205">
            <v>0</v>
          </cell>
          <cell r="R205">
            <v>0</v>
          </cell>
          <cell r="S205">
            <v>0</v>
          </cell>
          <cell r="T205">
            <v>0</v>
          </cell>
          <cell r="U205">
            <v>0</v>
          </cell>
          <cell r="V205">
            <v>0</v>
          </cell>
        </row>
        <row r="206">
          <cell r="A206" t="str">
            <v>7.25% Sr. Subordinated Notes (Dec 1, 2011)</v>
          </cell>
          <cell r="B206">
            <v>7.2499999999999995E-2</v>
          </cell>
          <cell r="L206">
            <v>0</v>
          </cell>
          <cell r="M206">
            <v>0</v>
          </cell>
          <cell r="N206">
            <v>0</v>
          </cell>
        </row>
        <row r="207">
          <cell r="A207" t="str">
            <v>3.25% Convertible Notes (Aug 1, 2010)</v>
          </cell>
          <cell r="B207">
            <v>3.2500000000000001E-2</v>
          </cell>
          <cell r="L207">
            <v>0</v>
          </cell>
          <cell r="M207">
            <v>0</v>
          </cell>
          <cell r="N207">
            <v>0</v>
          </cell>
        </row>
        <row r="208">
          <cell r="A208" t="str">
            <v>2.25% Convertible Notes (Aug 15, 2009)</v>
          </cell>
          <cell r="B208">
            <v>2.2499999999999999E-2</v>
          </cell>
          <cell r="L208">
            <v>0</v>
          </cell>
          <cell r="M208">
            <v>0</v>
          </cell>
          <cell r="N208">
            <v>0</v>
          </cell>
        </row>
        <row r="209">
          <cell r="A209" t="str">
            <v>Other Refinancing</v>
          </cell>
          <cell r="B209">
            <v>7.0000000000000007E-2</v>
          </cell>
          <cell r="L209">
            <v>0</v>
          </cell>
          <cell r="M209">
            <v>0</v>
          </cell>
          <cell r="N209">
            <v>0</v>
          </cell>
          <cell r="O209">
            <v>34.15699</v>
          </cell>
          <cell r="P209">
            <v>34.15699</v>
          </cell>
          <cell r="Q209">
            <v>34.15699</v>
          </cell>
          <cell r="R209">
            <v>34.15699</v>
          </cell>
          <cell r="S209">
            <v>34.15699</v>
          </cell>
          <cell r="T209">
            <v>34.15699</v>
          </cell>
          <cell r="U209">
            <v>34.15699</v>
          </cell>
          <cell r="V209">
            <v>34.15699</v>
          </cell>
        </row>
        <row r="210">
          <cell r="A210" t="str">
            <v>Other and capital leases</v>
          </cell>
          <cell r="L210">
            <v>1</v>
          </cell>
          <cell r="M210">
            <v>0</v>
          </cell>
          <cell r="N210">
            <v>0</v>
          </cell>
          <cell r="BK210">
            <v>1</v>
          </cell>
        </row>
        <row r="212">
          <cell r="A212" t="str">
            <v>7.25% Senior Notes (2019)</v>
          </cell>
          <cell r="B212">
            <v>7.2499999999999995E-2</v>
          </cell>
          <cell r="L212">
            <v>5.4375</v>
          </cell>
          <cell r="M212">
            <v>21.75</v>
          </cell>
          <cell r="N212">
            <v>21.75</v>
          </cell>
          <cell r="O212">
            <v>21.75</v>
          </cell>
          <cell r="P212">
            <v>21.75</v>
          </cell>
          <cell r="Q212">
            <v>21.75</v>
          </cell>
          <cell r="R212">
            <v>21.75</v>
          </cell>
          <cell r="S212">
            <v>21.75</v>
          </cell>
          <cell r="T212">
            <v>21.75</v>
          </cell>
          <cell r="U212">
            <v>21.75</v>
          </cell>
          <cell r="V212">
            <v>21.75</v>
          </cell>
          <cell r="BK212">
            <v>5.4375</v>
          </cell>
          <cell r="BL212">
            <v>5.4375</v>
          </cell>
          <cell r="BM212">
            <v>5.4375</v>
          </cell>
          <cell r="BN212">
            <v>5.4375</v>
          </cell>
          <cell r="BO212">
            <v>5.4375</v>
          </cell>
          <cell r="BP212">
            <v>5.4375</v>
          </cell>
          <cell r="BQ212">
            <v>5.4375</v>
          </cell>
          <cell r="BR212">
            <v>5.4375</v>
          </cell>
          <cell r="BS212">
            <v>5.4375</v>
          </cell>
        </row>
        <row r="213">
          <cell r="A213" t="str">
            <v>Interest for Income Statement</v>
          </cell>
          <cell r="B213">
            <v>7.485E-2</v>
          </cell>
          <cell r="L213">
            <v>5.5337540625000008</v>
          </cell>
          <cell r="M213">
            <v>22.153367997655927</v>
          </cell>
          <cell r="N213">
            <v>22.184418168086669</v>
          </cell>
          <cell r="O213">
            <v>22.204929161083967</v>
          </cell>
          <cell r="P213">
            <v>22.238980608791099</v>
          </cell>
          <cell r="Q213">
            <v>22.275580807359116</v>
          </cell>
          <cell r="R213">
            <v>22.314920530789944</v>
          </cell>
          <cell r="S213">
            <v>22.357204832519571</v>
          </cell>
          <cell r="T213">
            <v>22.402654114233663</v>
          </cell>
          <cell r="U213">
            <v>22.451505274684052</v>
          </cell>
          <cell r="V213">
            <v>22.504012944494153</v>
          </cell>
          <cell r="BK213">
            <v>5.5337540625000008</v>
          </cell>
          <cell r="BL213">
            <v>5.5355552166445321</v>
          </cell>
          <cell r="BM213">
            <v>5.5373900748859928</v>
          </cell>
          <cell r="BN213">
            <v>5.5392592679122963</v>
          </cell>
          <cell r="BO213">
            <v>5.5411634382131059</v>
          </cell>
          <cell r="BP213">
            <v>5.5431032403006686</v>
          </cell>
          <cell r="BQ213">
            <v>5.5450793409347954</v>
          </cell>
          <cell r="BR213">
            <v>5.5470924193520386</v>
          </cell>
          <cell r="BS213">
            <v>5.5491431674991638</v>
          </cell>
        </row>
        <row r="214">
          <cell r="A214" t="str">
            <v>4.625% Senior Notes (2015)</v>
          </cell>
          <cell r="B214">
            <v>4.6249999999999999E-2</v>
          </cell>
          <cell r="L214">
            <v>6.9375</v>
          </cell>
          <cell r="M214">
            <v>27.75</v>
          </cell>
          <cell r="N214">
            <v>27.75</v>
          </cell>
          <cell r="O214">
            <v>27.75</v>
          </cell>
          <cell r="P214">
            <v>27.75</v>
          </cell>
          <cell r="Q214">
            <v>27.75</v>
          </cell>
          <cell r="R214">
            <v>27.75</v>
          </cell>
          <cell r="S214">
            <v>27.75</v>
          </cell>
          <cell r="T214">
            <v>27.75</v>
          </cell>
          <cell r="U214">
            <v>27.75</v>
          </cell>
          <cell r="V214">
            <v>27.75</v>
          </cell>
          <cell r="BK214">
            <v>6.9375</v>
          </cell>
          <cell r="BL214">
            <v>6.9375</v>
          </cell>
          <cell r="BM214">
            <v>6.9375</v>
          </cell>
          <cell r="BN214">
            <v>6.9375</v>
          </cell>
          <cell r="BO214">
            <v>6.9375</v>
          </cell>
          <cell r="BP214">
            <v>6.9375</v>
          </cell>
          <cell r="BQ214">
            <v>6.9375</v>
          </cell>
          <cell r="BR214">
            <v>6.9375</v>
          </cell>
          <cell r="BS214">
            <v>6.9375</v>
          </cell>
        </row>
        <row r="215">
          <cell r="A215" t="str">
            <v>Interest for Income Statement</v>
          </cell>
          <cell r="B215">
            <v>4.65E-2</v>
          </cell>
          <cell r="L215">
            <v>6.9686294999999996</v>
          </cell>
          <cell r="M215">
            <v>27.878179118068118</v>
          </cell>
          <cell r="N215">
            <v>27.884244188118572</v>
          </cell>
          <cell r="O215">
            <v>27.88816820548768</v>
          </cell>
          <cell r="P215">
            <v>27.894593027042855</v>
          </cell>
          <cell r="Q215">
            <v>27.90131660280035</v>
          </cell>
          <cell r="R215">
            <v>27.908352824830565</v>
          </cell>
          <cell r="S215">
            <v>27.915716231185186</v>
          </cell>
          <cell r="T215">
            <v>27.9234220359353</v>
          </cell>
          <cell r="U215">
            <v>27.931486160606291</v>
          </cell>
          <cell r="V215">
            <v>27.939925267074482</v>
          </cell>
          <cell r="BK215">
            <v>6.9686294999999996</v>
          </cell>
          <cell r="BL215">
            <v>6.9689913804375001</v>
          </cell>
          <cell r="BM215">
            <v>6.9693574677350858</v>
          </cell>
          <cell r="BN215">
            <v>6.9697278107975071</v>
          </cell>
          <cell r="BO215">
            <v>6.9701024590980278</v>
          </cell>
          <cell r="BP215">
            <v>6.9704814626850427</v>
          </cell>
          <cell r="BQ215">
            <v>6.9708648721887556</v>
          </cell>
          <cell r="BR215">
            <v>6.9712527388279497</v>
          </cell>
          <cell r="BS215">
            <v>6.971645114416825</v>
          </cell>
        </row>
        <row r="216">
          <cell r="A216" t="str">
            <v>5.05% Senior Notes (2020)</v>
          </cell>
          <cell r="B216">
            <v>5.0500000000000003E-2</v>
          </cell>
          <cell r="L216">
            <v>8.8375000000000004</v>
          </cell>
          <cell r="M216">
            <v>35.35</v>
          </cell>
          <cell r="N216">
            <v>35.35</v>
          </cell>
          <cell r="O216">
            <v>35.35</v>
          </cell>
          <cell r="P216">
            <v>35.35</v>
          </cell>
          <cell r="Q216">
            <v>35.35</v>
          </cell>
          <cell r="R216">
            <v>35.35</v>
          </cell>
          <cell r="S216">
            <v>35.35</v>
          </cell>
          <cell r="T216">
            <v>35.35</v>
          </cell>
          <cell r="U216">
            <v>35.35</v>
          </cell>
          <cell r="V216">
            <v>35.35</v>
          </cell>
          <cell r="BK216">
            <v>8.8375000000000004</v>
          </cell>
          <cell r="BL216">
            <v>8.8375000000000004</v>
          </cell>
          <cell r="BM216">
            <v>8.8375000000000004</v>
          </cell>
          <cell r="BN216">
            <v>8.8375000000000004</v>
          </cell>
          <cell r="BO216">
            <v>8.8375000000000004</v>
          </cell>
          <cell r="BP216">
            <v>8.8375000000000004</v>
          </cell>
          <cell r="BQ216">
            <v>8.8375000000000004</v>
          </cell>
          <cell r="BR216">
            <v>8.8375000000000004</v>
          </cell>
          <cell r="BS216">
            <v>8.8375000000000004</v>
          </cell>
        </row>
        <row r="217">
          <cell r="A217" t="str">
            <v>Interest for Income Statement</v>
          </cell>
          <cell r="B217">
            <v>5.0650000000000001E-2</v>
          </cell>
          <cell r="L217">
            <v>8.8538985750000005</v>
          </cell>
          <cell r="M217">
            <v>35.417763169366147</v>
          </cell>
          <cell r="N217">
            <v>35.421216813090503</v>
          </cell>
          <cell r="O217">
            <v>35.424375923935187</v>
          </cell>
          <cell r="P217">
            <v>35.428143064482512</v>
          </cell>
          <cell r="Q217">
            <v>35.432101010698553</v>
          </cell>
          <cell r="R217">
            <v>35.436259426890437</v>
          </cell>
          <cell r="S217">
            <v>35.440628466862435</v>
          </cell>
          <cell r="T217">
            <v>35.445218798709021</v>
          </cell>
          <cell r="U217">
            <v>35.45004163086363</v>
          </cell>
          <cell r="V217">
            <v>35.455108739466873</v>
          </cell>
          <cell r="BK217">
            <v>8.8538985750000005</v>
          </cell>
          <cell r="BL217">
            <v>8.8541264999999996</v>
          </cell>
          <cell r="BM217">
            <v>8.8543341469559387</v>
          </cell>
          <cell r="BN217">
            <v>8.8545446800121894</v>
          </cell>
          <cell r="BO217">
            <v>8.8547578423980191</v>
          </cell>
          <cell r="BP217">
            <v>8.8549736706586728</v>
          </cell>
          <cell r="BQ217">
            <v>8.8551921980880373</v>
          </cell>
          <cell r="BR217">
            <v>8.8554134584427526</v>
          </cell>
          <cell r="BS217">
            <v>8.8556374859010436</v>
          </cell>
        </row>
        <row r="218">
          <cell r="A218" t="str">
            <v>4.50% Senior Notes (2018)</v>
          </cell>
          <cell r="B218">
            <v>4.4999999999999998E-2</v>
          </cell>
          <cell r="L218">
            <v>11.25</v>
          </cell>
          <cell r="M218">
            <v>45</v>
          </cell>
          <cell r="N218">
            <v>45</v>
          </cell>
          <cell r="O218">
            <v>45</v>
          </cell>
          <cell r="P218">
            <v>45</v>
          </cell>
          <cell r="Q218">
            <v>45</v>
          </cell>
          <cell r="R218">
            <v>45</v>
          </cell>
          <cell r="S218">
            <v>45</v>
          </cell>
          <cell r="T218">
            <v>45</v>
          </cell>
          <cell r="U218">
            <v>45</v>
          </cell>
          <cell r="V218">
            <v>45</v>
          </cell>
          <cell r="BK218">
            <v>11.25</v>
          </cell>
          <cell r="BL218">
            <v>11.25</v>
          </cell>
          <cell r="BM218">
            <v>11.25</v>
          </cell>
          <cell r="BN218">
            <v>11.25</v>
          </cell>
          <cell r="BO218">
            <v>11.25</v>
          </cell>
          <cell r="BP218">
            <v>11.25</v>
          </cell>
          <cell r="BQ218">
            <v>11.25</v>
          </cell>
          <cell r="BR218">
            <v>11.25</v>
          </cell>
          <cell r="BS218">
            <v>11.25</v>
          </cell>
        </row>
        <row r="219">
          <cell r="A219" t="str">
            <v>Interest for Income Statement</v>
          </cell>
          <cell r="B219">
            <v>4.512E-2</v>
          </cell>
          <cell r="L219">
            <v>11.271968640000001</v>
          </cell>
          <cell r="M219">
            <v>45.090380733146063</v>
          </cell>
          <cell r="N219">
            <v>45.094528231563586</v>
          </cell>
          <cell r="O219">
            <v>45.097208877524494</v>
          </cell>
          <cell r="P219">
            <v>45.1015949420784</v>
          </cell>
          <cell r="Q219">
            <v>45.106178905864979</v>
          </cell>
          <cell r="R219">
            <v>45.110969698097605</v>
          </cell>
          <cell r="S219">
            <v>45.115976650875773</v>
          </cell>
          <cell r="T219">
            <v>45.121209517363283</v>
          </cell>
          <cell r="U219">
            <v>45.121209517363283</v>
          </cell>
          <cell r="V219">
            <v>45.121209517363283</v>
          </cell>
          <cell r="BK219">
            <v>11.271968640000001</v>
          </cell>
          <cell r="BL219">
            <v>11.2722164462592</v>
          </cell>
          <cell r="BM219">
            <v>11.272467047773004</v>
          </cell>
          <cell r="BN219">
            <v>11.272720476071884</v>
          </cell>
          <cell r="BO219">
            <v>11.272976763041974</v>
          </cell>
          <cell r="BP219">
            <v>11.273235940929087</v>
          </cell>
          <cell r="BQ219">
            <v>11.273498042342768</v>
          </cell>
          <cell r="BR219">
            <v>11.273763100260394</v>
          </cell>
          <cell r="BS219">
            <v>11.27403114803133</v>
          </cell>
        </row>
        <row r="220">
          <cell r="A220" t="str">
            <v>5.90% Senior Notes (2021)</v>
          </cell>
          <cell r="B220">
            <v>5.8999999999999997E-2</v>
          </cell>
          <cell r="L220">
            <v>7.375</v>
          </cell>
          <cell r="M220">
            <v>29.5</v>
          </cell>
          <cell r="N220">
            <v>29.5</v>
          </cell>
          <cell r="O220">
            <v>29.5</v>
          </cell>
          <cell r="P220">
            <v>29.5</v>
          </cell>
          <cell r="Q220">
            <v>29.5</v>
          </cell>
          <cell r="R220">
            <v>29.5</v>
          </cell>
          <cell r="S220">
            <v>29.5</v>
          </cell>
          <cell r="T220">
            <v>29.5</v>
          </cell>
          <cell r="U220">
            <v>29.5</v>
          </cell>
          <cell r="V220">
            <v>29.5</v>
          </cell>
          <cell r="BK220">
            <v>7.375</v>
          </cell>
          <cell r="BL220">
            <v>7.375</v>
          </cell>
          <cell r="BM220">
            <v>7.375</v>
          </cell>
          <cell r="BN220">
            <v>7.375</v>
          </cell>
          <cell r="BO220">
            <v>7.375</v>
          </cell>
          <cell r="BP220">
            <v>7.375</v>
          </cell>
          <cell r="BQ220">
            <v>7.375</v>
          </cell>
          <cell r="BR220">
            <v>7.375</v>
          </cell>
          <cell r="BS220">
            <v>7.375</v>
          </cell>
        </row>
        <row r="221">
          <cell r="A221" t="str">
            <v>Interest for Income Statement</v>
          </cell>
          <cell r="B221">
            <v>6.0299999999999999E-2</v>
          </cell>
          <cell r="L221">
            <v>0</v>
          </cell>
          <cell r="M221">
            <v>29.868795411096841</v>
          </cell>
          <cell r="N221">
            <v>29.891541712215485</v>
          </cell>
          <cell r="O221">
            <v>29.906408328535729</v>
          </cell>
          <cell r="P221">
            <v>29.930914750746435</v>
          </cell>
          <cell r="Q221">
            <v>29.956898910216445</v>
          </cell>
          <cell r="R221">
            <v>29.984449914502498</v>
          </cell>
          <cell r="S221">
            <v>30.013662244346996</v>
          </cell>
          <cell r="T221">
            <v>30.044636077681123</v>
          </cell>
          <cell r="U221">
            <v>30.077477633165294</v>
          </cell>
          <cell r="V221">
            <v>30.11229953444516</v>
          </cell>
          <cell r="BK221">
            <v>0</v>
          </cell>
          <cell r="BL221">
            <v>7.4651399999999999</v>
          </cell>
          <cell r="BM221">
            <v>7.4664988604999998</v>
          </cell>
          <cell r="BN221">
            <v>7.4678782058220374</v>
          </cell>
          <cell r="BO221">
            <v>7.4692783447748052</v>
          </cell>
          <cell r="BP221">
            <v>7.4706995908222851</v>
          </cell>
          <cell r="BQ221">
            <v>7.4721422621539313</v>
          </cell>
          <cell r="BR221">
            <v>7.4736066817559008</v>
          </cell>
          <cell r="BS221">
            <v>7.4750931774833713</v>
          </cell>
        </row>
        <row r="223">
          <cell r="A223" t="str">
            <v>Gross Interest Expense</v>
          </cell>
          <cell r="H223">
            <v>235.82400000000001</v>
          </cell>
          <cell r="I223">
            <v>253.58399999999997</v>
          </cell>
          <cell r="J223">
            <v>249.803</v>
          </cell>
          <cell r="K223">
            <v>246.01800000000003</v>
          </cell>
          <cell r="L223">
            <v>311.9070007775</v>
          </cell>
          <cell r="M223">
            <v>338.58348642933311</v>
          </cell>
          <cell r="N223">
            <v>334.65094911307483</v>
          </cell>
          <cell r="O223">
            <v>368.85308049656709</v>
          </cell>
          <cell r="P223">
            <v>368.92621639314132</v>
          </cell>
          <cell r="Q223">
            <v>369.00406623693948</v>
          </cell>
          <cell r="R223">
            <v>369.08694239511107</v>
          </cell>
          <cell r="S223">
            <v>369.17517842579002</v>
          </cell>
          <cell r="T223">
            <v>369.26913054392242</v>
          </cell>
          <cell r="U223">
            <v>369.36371021668259</v>
          </cell>
          <cell r="V223">
            <v>369.46454600284403</v>
          </cell>
          <cell r="AT223">
            <v>59.918999999999997</v>
          </cell>
          <cell r="AU223">
            <v>64.247</v>
          </cell>
          <cell r="AV223">
            <v>65.513999999999996</v>
          </cell>
          <cell r="AW223">
            <v>62.508000000000003</v>
          </cell>
          <cell r="AX223">
            <v>63.545999999999999</v>
          </cell>
          <cell r="AY223">
            <v>62.015999999999998</v>
          </cell>
          <cell r="AZ223">
            <v>61.567999999999998</v>
          </cell>
          <cell r="BA223">
            <v>62.654000000000003</v>
          </cell>
          <cell r="BB223">
            <v>64.122</v>
          </cell>
          <cell r="BC223">
            <v>61.459000000000003</v>
          </cell>
          <cell r="BD223">
            <v>58.417000000000002</v>
          </cell>
          <cell r="BE223">
            <v>56.073999999999998</v>
          </cell>
          <cell r="BF223">
            <v>62.904000000000003</v>
          </cell>
          <cell r="BG223">
            <v>68.623000000000005</v>
          </cell>
          <cell r="BH223">
            <v>74.427000000000007</v>
          </cell>
          <cell r="BI223">
            <v>74.512</v>
          </cell>
          <cell r="BJ223">
            <v>77.796000000000006</v>
          </cell>
          <cell r="BK223">
            <v>85.172000777500003</v>
          </cell>
          <cell r="BL223">
            <v>84.639779543341248</v>
          </cell>
          <cell r="BM223">
            <v>84.643797597850025</v>
          </cell>
          <cell r="BN223">
            <v>84.647880440615921</v>
          </cell>
          <cell r="BO223">
            <v>84.652028847525941</v>
          </cell>
          <cell r="BP223">
            <v>83.656243905395741</v>
          </cell>
          <cell r="BQ223">
            <v>83.660526715708301</v>
          </cell>
          <cell r="BR223">
            <v>83.664878398639033</v>
          </cell>
          <cell r="BS223">
            <v>83.669300093331742</v>
          </cell>
        </row>
        <row r="224">
          <cell r="A224" t="str">
            <v>CHECK</v>
          </cell>
          <cell r="H224">
            <v>-235.82400000000001</v>
          </cell>
          <cell r="I224">
            <v>-253.58399999999997</v>
          </cell>
          <cell r="J224">
            <v>0</v>
          </cell>
          <cell r="K224">
            <v>0</v>
          </cell>
          <cell r="L224">
            <v>0</v>
          </cell>
          <cell r="M224">
            <v>0</v>
          </cell>
          <cell r="N224">
            <v>0</v>
          </cell>
          <cell r="O224">
            <v>0</v>
          </cell>
          <cell r="P224">
            <v>0</v>
          </cell>
          <cell r="Q224">
            <v>0</v>
          </cell>
          <cell r="R224">
            <v>0</v>
          </cell>
          <cell r="S224">
            <v>0</v>
          </cell>
          <cell r="T224">
            <v>0</v>
          </cell>
          <cell r="U224">
            <v>0</v>
          </cell>
          <cell r="V224">
            <v>0</v>
          </cell>
          <cell r="BG224">
            <v>0</v>
          </cell>
          <cell r="BH224">
            <v>0</v>
          </cell>
          <cell r="BI224">
            <v>0</v>
          </cell>
          <cell r="BJ224">
            <v>0</v>
          </cell>
          <cell r="BK224">
            <v>0</v>
          </cell>
          <cell r="BL224">
            <v>0</v>
          </cell>
          <cell r="BM224">
            <v>0</v>
          </cell>
          <cell r="BN224">
            <v>0</v>
          </cell>
          <cell r="BO224">
            <v>0</v>
          </cell>
          <cell r="BP224">
            <v>0</v>
          </cell>
          <cell r="BQ224">
            <v>0</v>
          </cell>
          <cell r="BR224">
            <v>0</v>
          </cell>
          <cell r="BS224">
            <v>0</v>
          </cell>
        </row>
        <row r="226">
          <cell r="A226" t="str">
            <v>Interest Income</v>
          </cell>
          <cell r="B226">
            <v>0.01</v>
          </cell>
          <cell r="K226">
            <v>2.9512899999999997</v>
          </cell>
          <cell r="L226">
            <v>9.5993499999999976</v>
          </cell>
          <cell r="M226">
            <v>0.9965580890566742</v>
          </cell>
          <cell r="N226">
            <v>5.2614165996555435</v>
          </cell>
          <cell r="O226">
            <v>14.914440041238672</v>
          </cell>
          <cell r="P226">
            <v>21.989721497629759</v>
          </cell>
          <cell r="Q226">
            <v>26.138901058852699</v>
          </cell>
          <cell r="R226">
            <v>30.522933766987666</v>
          </cell>
          <cell r="S226">
            <v>35.016114741795526</v>
          </cell>
          <cell r="T226">
            <v>39.729199413739686</v>
          </cell>
          <cell r="U226">
            <v>44.488801129152982</v>
          </cell>
          <cell r="V226">
            <v>49.537550247649506</v>
          </cell>
          <cell r="AT226">
            <v>0.62237249999999977</v>
          </cell>
          <cell r="AU226">
            <v>0.30972249999999935</v>
          </cell>
          <cell r="AV226">
            <v>0.21701749999999984</v>
          </cell>
          <cell r="AW226">
            <v>0.42940000000000006</v>
          </cell>
          <cell r="AX226">
            <v>0.50822500000000015</v>
          </cell>
          <cell r="AY226">
            <v>0.29265500000000017</v>
          </cell>
          <cell r="AZ226">
            <v>0.48735750000000011</v>
          </cell>
          <cell r="BA226">
            <v>0.91128250000000011</v>
          </cell>
          <cell r="BB226">
            <v>0.93602750000000001</v>
          </cell>
          <cell r="BC226">
            <v>0.70117249999999987</v>
          </cell>
          <cell r="BD226">
            <v>0.73782249999999994</v>
          </cell>
          <cell r="BE226">
            <v>1.0067024999999998</v>
          </cell>
          <cell r="BF226">
            <v>0.88864749999999959</v>
          </cell>
          <cell r="BG226">
            <v>1.1025924999999996</v>
          </cell>
          <cell r="BH226">
            <v>2.3998374999999994</v>
          </cell>
          <cell r="BI226">
            <v>1.1056257499999993</v>
          </cell>
          <cell r="BJ226">
            <v>0.9568707499999991</v>
          </cell>
          <cell r="BK226">
            <v>0.56931824999999925</v>
          </cell>
          <cell r="BL226">
            <v>0.24913952226416855</v>
          </cell>
          <cell r="BM226">
            <v>0.3162049567354796</v>
          </cell>
          <cell r="BN226">
            <v>0.56864159223176214</v>
          </cell>
          <cell r="BO226">
            <v>0.93070078996914851</v>
          </cell>
          <cell r="BP226">
            <v>1.3153541499138859</v>
          </cell>
          <cell r="BQ226">
            <v>1.8349692164032303</v>
          </cell>
          <cell r="BR226">
            <v>2.4477241255251476</v>
          </cell>
          <cell r="BS226">
            <v>3.0801588293444384</v>
          </cell>
        </row>
        <row r="227">
          <cell r="A227" t="str">
            <v>IS check</v>
          </cell>
          <cell r="K227">
            <v>5.024</v>
          </cell>
          <cell r="L227">
            <v>7.4063182499999991</v>
          </cell>
          <cell r="M227">
            <v>2.0646868612005589</v>
          </cell>
          <cell r="N227">
            <v>8.6782063211867033</v>
          </cell>
          <cell r="O227">
            <v>14.914440041238672</v>
          </cell>
          <cell r="P227">
            <v>21.989721497629759</v>
          </cell>
          <cell r="Q227">
            <v>26.138901058852699</v>
          </cell>
          <cell r="R227">
            <v>30.522933766987666</v>
          </cell>
          <cell r="S227">
            <v>35.016114741795526</v>
          </cell>
          <cell r="T227">
            <v>39.729199413739686</v>
          </cell>
          <cell r="U227">
            <v>44.488801129152982</v>
          </cell>
          <cell r="V227">
            <v>49.537550247649506</v>
          </cell>
          <cell r="AT227">
            <v>2.3450000000000002</v>
          </cell>
          <cell r="AU227">
            <v>1.6619999999999999</v>
          </cell>
          <cell r="AV227">
            <v>0.96299999999999997</v>
          </cell>
          <cell r="AW227">
            <v>0.97899999999999998</v>
          </cell>
          <cell r="AX227">
            <v>1.0169999999999999</v>
          </cell>
          <cell r="AY227">
            <v>0.45400000000000001</v>
          </cell>
          <cell r="AZ227">
            <v>0.499</v>
          </cell>
          <cell r="BA227">
            <v>0.48199999999999998</v>
          </cell>
          <cell r="BB227">
            <v>0.73599999999999999</v>
          </cell>
          <cell r="BC227">
            <v>5.0000000000000001E-3</v>
          </cell>
          <cell r="BD227">
            <v>0.502</v>
          </cell>
          <cell r="BE227">
            <v>0.69399999999999995</v>
          </cell>
          <cell r="BF227">
            <v>1.954</v>
          </cell>
          <cell r="BG227">
            <v>1.8740000000000001</v>
          </cell>
          <cell r="BH227">
            <v>2.3039999999999998</v>
          </cell>
          <cell r="BI227">
            <v>2.7109999999999999</v>
          </cell>
          <cell r="BJ227">
            <v>1.8220000000000001</v>
          </cell>
          <cell r="BK227">
            <v>0.56931824999999925</v>
          </cell>
          <cell r="BL227">
            <v>0.24913952226416855</v>
          </cell>
          <cell r="BM227">
            <v>0.3162049567354796</v>
          </cell>
          <cell r="BN227">
            <v>0.56864159223176214</v>
          </cell>
          <cell r="BO227">
            <v>0.93070078996914851</v>
          </cell>
          <cell r="BP227">
            <v>1.3153541499138859</v>
          </cell>
          <cell r="BQ227">
            <v>1.8349692164032303</v>
          </cell>
          <cell r="BR227">
            <v>2.4477241255251476</v>
          </cell>
          <cell r="BS227">
            <v>3.0801588293444384</v>
          </cell>
        </row>
        <row r="229">
          <cell r="A229" t="str">
            <v>Capital Expenditures</v>
          </cell>
          <cell r="C229">
            <v>180.49700000000001</v>
          </cell>
          <cell r="D229">
            <v>61.608000000000004</v>
          </cell>
          <cell r="E229">
            <v>42.180999999999997</v>
          </cell>
          <cell r="F229">
            <v>88.637</v>
          </cell>
          <cell r="G229">
            <v>127.098</v>
          </cell>
          <cell r="H229">
            <v>154.381</v>
          </cell>
          <cell r="I229">
            <v>243.48399999999998</v>
          </cell>
          <cell r="J229">
            <v>250.26299999999998</v>
          </cell>
          <cell r="K229">
            <v>346.6583</v>
          </cell>
          <cell r="L229">
            <v>819.029</v>
          </cell>
          <cell r="M229">
            <v>398</v>
          </cell>
          <cell r="N229">
            <v>400</v>
          </cell>
          <cell r="O229">
            <v>381</v>
          </cell>
          <cell r="P229">
            <v>381</v>
          </cell>
          <cell r="Q229">
            <v>381</v>
          </cell>
          <cell r="R229">
            <v>381</v>
          </cell>
          <cell r="S229">
            <v>381</v>
          </cell>
          <cell r="T229">
            <v>381</v>
          </cell>
          <cell r="U229">
            <v>381</v>
          </cell>
          <cell r="V229">
            <v>381</v>
          </cell>
          <cell r="X229">
            <v>83.251000000000005</v>
          </cell>
          <cell r="Y229">
            <v>48.013999999999982</v>
          </cell>
          <cell r="Z229">
            <v>24.591000000000008</v>
          </cell>
          <cell r="AA229">
            <v>24.64100000000002</v>
          </cell>
          <cell r="AB229">
            <v>18.821000000000002</v>
          </cell>
          <cell r="AC229">
            <v>13.870000000000001</v>
          </cell>
          <cell r="AD229">
            <v>13.242999999999991</v>
          </cell>
          <cell r="AE229">
            <v>15.674000000000003</v>
          </cell>
          <cell r="AF229">
            <v>10.832000000000001</v>
          </cell>
          <cell r="AG229">
            <v>7.8339999999999996</v>
          </cell>
          <cell r="AH229">
            <v>9.945999999999998</v>
          </cell>
          <cell r="AI229">
            <v>13.568999999999999</v>
          </cell>
          <cell r="AJ229">
            <v>15.881</v>
          </cell>
          <cell r="AK229">
            <v>20.645000000000003</v>
          </cell>
          <cell r="AL229">
            <v>22.701999999999998</v>
          </cell>
          <cell r="AM229">
            <v>29.408999999999999</v>
          </cell>
          <cell r="AN229">
            <v>28.376000000000001</v>
          </cell>
          <cell r="AO229">
            <v>28.667999999999996</v>
          </cell>
          <cell r="AP229">
            <v>33.618000000000009</v>
          </cell>
          <cell r="AQ229">
            <v>36.435999999999993</v>
          </cell>
          <cell r="AR229">
            <v>31.445</v>
          </cell>
          <cell r="AS229">
            <v>36.140999999999998</v>
          </cell>
          <cell r="AT229">
            <v>39.379999999999988</v>
          </cell>
          <cell r="AU229">
            <v>47.415000000000013</v>
          </cell>
          <cell r="AV229">
            <v>44.625</v>
          </cell>
          <cell r="AW229">
            <v>52.692999999999998</v>
          </cell>
          <cell r="AX229">
            <v>67.875999999999991</v>
          </cell>
          <cell r="AY229">
            <v>78.290000000000006</v>
          </cell>
          <cell r="AZ229">
            <v>49.627000000000002</v>
          </cell>
          <cell r="BA229">
            <v>64.22699999999999</v>
          </cell>
          <cell r="BB229">
            <v>68.573000000000008</v>
          </cell>
          <cell r="BC229">
            <v>67.835999999999999</v>
          </cell>
          <cell r="BD229">
            <v>55.057000000000002</v>
          </cell>
          <cell r="BE229">
            <v>77.474299999999999</v>
          </cell>
          <cell r="BF229">
            <v>95.97</v>
          </cell>
          <cell r="BG229">
            <v>118.15700000000001</v>
          </cell>
          <cell r="BH229">
            <v>97.841999999999999</v>
          </cell>
          <cell r="BI229">
            <v>138.679</v>
          </cell>
          <cell r="BJ229">
            <v>160.50800000000001</v>
          </cell>
          <cell r="BK229">
            <v>422</v>
          </cell>
          <cell r="BL229">
            <v>99.5</v>
          </cell>
          <cell r="BM229">
            <v>99.5</v>
          </cell>
          <cell r="BN229">
            <v>99.5</v>
          </cell>
          <cell r="BO229">
            <v>99.5</v>
          </cell>
          <cell r="BP229">
            <v>100</v>
          </cell>
          <cell r="BQ229">
            <v>100</v>
          </cell>
          <cell r="BR229">
            <v>100</v>
          </cell>
          <cell r="BS229">
            <v>100</v>
          </cell>
        </row>
        <row r="230">
          <cell r="A230" t="str">
            <v xml:space="preserve">   % of Revenues</v>
          </cell>
          <cell r="C230">
            <v>0.25608804467498275</v>
          </cell>
          <cell r="D230">
            <v>8.9316728764660694E-2</v>
          </cell>
          <cell r="E230">
            <v>5.9690657459032619E-2</v>
          </cell>
          <cell r="F230">
            <v>9.3817012529821581E-2</v>
          </cell>
          <cell r="G230">
            <v>9.6477491393935716E-2</v>
          </cell>
          <cell r="H230">
            <v>0.10598766711932084</v>
          </cell>
          <cell r="I230">
            <v>0.15279785930879369</v>
          </cell>
          <cell r="J230">
            <v>0.14515455474521985</v>
          </cell>
          <cell r="K230">
            <v>0.17460947396786941</v>
          </cell>
          <cell r="L230">
            <v>0.33532618933558345</v>
          </cell>
          <cell r="M230">
            <v>0.13670098476358927</v>
          </cell>
          <cell r="N230">
            <v>0.12392807482895522</v>
          </cell>
          <cell r="O230">
            <v>0.11243778349833232</v>
          </cell>
          <cell r="P230">
            <v>0.10803273170024147</v>
          </cell>
          <cell r="Q230">
            <v>0.10410756106096131</v>
          </cell>
          <cell r="R230">
            <v>0.10084088650337396</v>
          </cell>
          <cell r="S230">
            <v>9.8165471327831086E-2</v>
          </cell>
          <cell r="T230">
            <v>9.6010113610188824E-2</v>
          </cell>
          <cell r="U230">
            <v>9.4371256379444116E-2</v>
          </cell>
          <cell r="V230">
            <v>9.3156406723343063E-2</v>
          </cell>
          <cell r="X230">
            <v>0.44610858661636738</v>
          </cell>
          <cell r="Y230">
            <v>0.28952525672799184</v>
          </cell>
          <cell r="Z230">
            <v>0.14056337384107101</v>
          </cell>
          <cell r="AA230">
            <v>0.13888121741580961</v>
          </cell>
          <cell r="AB230">
            <v>0.11656251741841989</v>
          </cell>
          <cell r="AC230">
            <v>7.9129631108727658E-2</v>
          </cell>
          <cell r="AD230">
            <v>7.0865931055149406E-2</v>
          </cell>
          <cell r="AE230">
            <v>9.4338146340289045E-2</v>
          </cell>
          <cell r="AF230">
            <v>6.4174037715281032E-2</v>
          </cell>
          <cell r="AG230">
            <v>4.5469319527314089E-2</v>
          </cell>
          <cell r="AH230">
            <v>5.4986427540758831E-2</v>
          </cell>
          <cell r="AI230">
            <v>7.3466669554294622E-2</v>
          </cell>
          <cell r="AJ230">
            <v>8.614358167665645E-2</v>
          </cell>
          <cell r="AK230">
            <v>0.1097787940019143</v>
          </cell>
          <cell r="AL230">
            <v>8.5750115204762306E-2</v>
          </cell>
          <cell r="AM230">
            <v>9.5600162535554645E-2</v>
          </cell>
          <cell r="AN230">
            <v>8.8561806940504167E-2</v>
          </cell>
          <cell r="AO230">
            <v>8.7975621656953981E-2</v>
          </cell>
          <cell r="AP230">
            <v>0.10081357375692349</v>
          </cell>
          <cell r="AQ230">
            <v>0.10791183665732747</v>
          </cell>
          <cell r="AR230">
            <v>8.9212253953483103E-2</v>
          </cell>
          <cell r="AS230">
            <v>0.10083337285832661</v>
          </cell>
          <cell r="AT230">
            <v>0.10713168382823018</v>
          </cell>
          <cell r="AU230">
            <v>0.1253993525727827</v>
          </cell>
          <cell r="AV230">
            <v>0.11676312980135221</v>
          </cell>
          <cell r="AW230">
            <v>0.13383096960338101</v>
          </cell>
          <cell r="AX230">
            <v>0.16584731765004834</v>
          </cell>
          <cell r="AY230">
            <v>0.19173499475906389</v>
          </cell>
          <cell r="AZ230">
            <v>0.12143301083004224</v>
          </cell>
          <cell r="BA230">
            <v>0.15170848312775476</v>
          </cell>
          <cell r="BB230">
            <v>0.15440717848256608</v>
          </cell>
          <cell r="BC230">
            <v>0.15142876914456899</v>
          </cell>
          <cell r="BD230">
            <v>0.12115510723229338</v>
          </cell>
          <cell r="BE230">
            <v>0.16486103456420753</v>
          </cell>
          <cell r="BF230">
            <v>0.18695867311356223</v>
          </cell>
          <cell r="BG230">
            <v>0.21575591353475446</v>
          </cell>
          <cell r="BH230">
            <v>0.17388105456774985</v>
          </cell>
          <cell r="BI230">
            <v>0.2322017296374124</v>
          </cell>
          <cell r="BJ230">
            <v>0.25461173249492786</v>
          </cell>
          <cell r="BK230">
            <v>0.64708896382871972</v>
          </cell>
          <cell r="BL230">
            <v>0.14974761644806009</v>
          </cell>
          <cell r="BM230">
            <v>0.13848168564299301</v>
          </cell>
          <cell r="BN230">
            <v>0.13236722017580135</v>
          </cell>
          <cell r="BO230">
            <v>0.12808803584550743</v>
          </cell>
          <cell r="BP230">
            <v>0.12939443817084717</v>
          </cell>
          <cell r="BQ230">
            <v>0.12513157598576863</v>
          </cell>
          <cell r="BR230">
            <v>0.12184834754437841</v>
          </cell>
          <cell r="BS230">
            <v>0.11976093786666929</v>
          </cell>
        </row>
        <row r="232">
          <cell r="A232" t="str">
            <v xml:space="preserve">  Corporate</v>
          </cell>
          <cell r="D232">
            <v>10</v>
          </cell>
          <cell r="E232">
            <v>4.0999999999999996</v>
          </cell>
          <cell r="F232">
            <v>4.2050000000000001</v>
          </cell>
          <cell r="G232">
            <v>6.2159999999999993</v>
          </cell>
          <cell r="H232">
            <v>13.209</v>
          </cell>
          <cell r="I232">
            <v>5.5739999999999998</v>
          </cell>
          <cell r="J232">
            <v>8.0890000000000004</v>
          </cell>
          <cell r="K232">
            <v>11.603300000000001</v>
          </cell>
          <cell r="L232">
            <v>16.503</v>
          </cell>
          <cell r="M232">
            <v>10</v>
          </cell>
          <cell r="N232">
            <v>10</v>
          </cell>
          <cell r="O232">
            <v>10</v>
          </cell>
          <cell r="P232">
            <v>10</v>
          </cell>
          <cell r="Q232">
            <v>10</v>
          </cell>
          <cell r="R232">
            <v>10</v>
          </cell>
          <cell r="S232">
            <v>10</v>
          </cell>
          <cell r="T232">
            <v>10</v>
          </cell>
          <cell r="U232">
            <v>10</v>
          </cell>
          <cell r="V232">
            <v>10</v>
          </cell>
          <cell r="AB232">
            <v>4</v>
          </cell>
          <cell r="AC232">
            <v>2</v>
          </cell>
          <cell r="AD232">
            <v>2</v>
          </cell>
          <cell r="AE232">
            <v>2</v>
          </cell>
          <cell r="AF232">
            <v>1</v>
          </cell>
          <cell r="AG232">
            <v>1</v>
          </cell>
          <cell r="AH232">
            <v>1</v>
          </cell>
          <cell r="AI232">
            <v>1.1000000000000001</v>
          </cell>
          <cell r="AJ232">
            <v>1</v>
          </cell>
          <cell r="AK232">
            <v>1</v>
          </cell>
          <cell r="AL232">
            <v>1.6</v>
          </cell>
          <cell r="AM232">
            <v>0.60499999999999998</v>
          </cell>
          <cell r="AN232">
            <v>0.90500000000000003</v>
          </cell>
          <cell r="AO232">
            <v>1.2290000000000001</v>
          </cell>
          <cell r="AP232">
            <v>2.9849999999999999</v>
          </cell>
          <cell r="AQ232">
            <v>1.097</v>
          </cell>
          <cell r="AR232">
            <v>1.4370000000000001</v>
          </cell>
          <cell r="AS232">
            <v>5.08</v>
          </cell>
          <cell r="AT232">
            <v>3.71</v>
          </cell>
          <cell r="AU232">
            <v>2.9820000000000002</v>
          </cell>
          <cell r="AV232">
            <v>1.4730000000000001</v>
          </cell>
          <cell r="AW232">
            <v>1.4259999999999999</v>
          </cell>
          <cell r="AX232">
            <v>1.397</v>
          </cell>
          <cell r="AY232">
            <v>1.278</v>
          </cell>
          <cell r="AZ232">
            <v>0.84199999999999997</v>
          </cell>
          <cell r="BA232">
            <v>1.853</v>
          </cell>
          <cell r="BB232">
            <v>3.762</v>
          </cell>
          <cell r="BC232">
            <v>1.6319999999999999</v>
          </cell>
          <cell r="BD232">
            <v>1.603</v>
          </cell>
          <cell r="BE232">
            <v>2.7532999999999999</v>
          </cell>
          <cell r="BF232">
            <v>3.4049999999999998</v>
          </cell>
          <cell r="BG232">
            <v>3.8420000000000001</v>
          </cell>
          <cell r="BH232">
            <v>2.681</v>
          </cell>
          <cell r="BI232">
            <v>6.0780000000000003</v>
          </cell>
          <cell r="BJ232">
            <v>4.7439999999999998</v>
          </cell>
          <cell r="BK232">
            <v>3</v>
          </cell>
          <cell r="BL232">
            <v>2.5</v>
          </cell>
          <cell r="BM232">
            <v>2.5</v>
          </cell>
          <cell r="BN232">
            <v>2.5</v>
          </cell>
          <cell r="BO232">
            <v>2.5</v>
          </cell>
          <cell r="BP232">
            <v>2.5</v>
          </cell>
          <cell r="BQ232">
            <v>2.5</v>
          </cell>
          <cell r="BR232">
            <v>2.5</v>
          </cell>
          <cell r="BS232">
            <v>2.5</v>
          </cell>
        </row>
        <row r="233">
          <cell r="A233" t="str">
            <v xml:space="preserve">  Capital Improvements (Maintenance)</v>
          </cell>
          <cell r="D233">
            <v>8</v>
          </cell>
          <cell r="E233">
            <v>8</v>
          </cell>
          <cell r="F233">
            <v>11</v>
          </cell>
          <cell r="G233">
            <v>32.381</v>
          </cell>
          <cell r="H233">
            <v>30.204999999999998</v>
          </cell>
          <cell r="I233">
            <v>32.545999999999999</v>
          </cell>
          <cell r="J233">
            <v>32.542000000000002</v>
          </cell>
          <cell r="K233">
            <v>31.405000000000001</v>
          </cell>
          <cell r="L233">
            <v>61.115000000000002</v>
          </cell>
          <cell r="M233">
            <v>44</v>
          </cell>
          <cell r="N233">
            <v>44</v>
          </cell>
          <cell r="O233">
            <v>44</v>
          </cell>
          <cell r="P233">
            <v>44</v>
          </cell>
          <cell r="Q233">
            <v>44</v>
          </cell>
          <cell r="R233">
            <v>44</v>
          </cell>
          <cell r="S233">
            <v>44</v>
          </cell>
          <cell r="T233">
            <v>44</v>
          </cell>
          <cell r="U233">
            <v>44</v>
          </cell>
          <cell r="V233">
            <v>44</v>
          </cell>
          <cell r="AB233">
            <v>2</v>
          </cell>
          <cell r="AC233">
            <v>2</v>
          </cell>
          <cell r="AD233">
            <v>2</v>
          </cell>
          <cell r="AE233">
            <v>2</v>
          </cell>
          <cell r="AF233">
            <v>2</v>
          </cell>
          <cell r="AG233">
            <v>2</v>
          </cell>
          <cell r="AH233">
            <v>2</v>
          </cell>
          <cell r="AI233">
            <v>2</v>
          </cell>
          <cell r="AJ233">
            <v>2</v>
          </cell>
          <cell r="AK233">
            <v>2</v>
          </cell>
          <cell r="AL233">
            <v>2</v>
          </cell>
          <cell r="AM233">
            <v>5</v>
          </cell>
          <cell r="AN233">
            <v>7</v>
          </cell>
          <cell r="AO233">
            <v>7</v>
          </cell>
          <cell r="AP233">
            <v>7.6639999999999997</v>
          </cell>
          <cell r="AQ233">
            <v>10.717000000000001</v>
          </cell>
          <cell r="AR233">
            <v>6.0510000000000002</v>
          </cell>
          <cell r="AS233">
            <v>7.5</v>
          </cell>
          <cell r="AT233">
            <v>7.7910000000000004</v>
          </cell>
          <cell r="AU233">
            <v>8.8629999999999995</v>
          </cell>
          <cell r="AV233">
            <v>6.48</v>
          </cell>
          <cell r="AW233">
            <v>8.3870000000000005</v>
          </cell>
          <cell r="AX233">
            <v>9.0869999999999997</v>
          </cell>
          <cell r="AY233">
            <v>8.5920000000000005</v>
          </cell>
          <cell r="AZ233">
            <v>6.4089999999999998</v>
          </cell>
          <cell r="BA233">
            <v>9.1379999999999999</v>
          </cell>
          <cell r="BB233">
            <v>8.2119999999999997</v>
          </cell>
          <cell r="BC233">
            <v>8.7829999999999995</v>
          </cell>
          <cell r="BD233">
            <v>6.8490000000000002</v>
          </cell>
          <cell r="BE233">
            <v>5.0259999999999998</v>
          </cell>
          <cell r="BF233">
            <v>9.2149999999999999</v>
          </cell>
          <cell r="BG233">
            <v>10.315</v>
          </cell>
          <cell r="BH233">
            <v>10.156000000000001</v>
          </cell>
          <cell r="BI233">
            <v>14.208</v>
          </cell>
          <cell r="BJ233">
            <v>19.751000000000001</v>
          </cell>
          <cell r="BK233">
            <v>17</v>
          </cell>
          <cell r="BL233">
            <v>11</v>
          </cell>
          <cell r="BM233">
            <v>11</v>
          </cell>
          <cell r="BN233">
            <v>11</v>
          </cell>
          <cell r="BO233">
            <v>11</v>
          </cell>
          <cell r="BP233">
            <v>11</v>
          </cell>
          <cell r="BQ233">
            <v>11</v>
          </cell>
          <cell r="BR233">
            <v>11</v>
          </cell>
          <cell r="BS233">
            <v>11</v>
          </cell>
        </row>
        <row r="234">
          <cell r="A234" t="str">
            <v xml:space="preserve">  Redevelopment (Augmentations)</v>
          </cell>
          <cell r="D234">
            <v>24.607999999999997</v>
          </cell>
          <cell r="E234">
            <v>13.180999999999997</v>
          </cell>
          <cell r="F234">
            <v>34.427999999999997</v>
          </cell>
          <cell r="G234">
            <v>31.266999999999999</v>
          </cell>
          <cell r="H234">
            <v>35.826000000000001</v>
          </cell>
          <cell r="I234">
            <v>72.933000000000007</v>
          </cell>
          <cell r="J234">
            <v>30.701999999999998</v>
          </cell>
          <cell r="K234">
            <v>25.785</v>
          </cell>
          <cell r="L234">
            <v>55.280999999999999</v>
          </cell>
          <cell r="M234">
            <v>50</v>
          </cell>
          <cell r="N234">
            <v>52</v>
          </cell>
          <cell r="O234">
            <v>52</v>
          </cell>
          <cell r="P234">
            <v>52</v>
          </cell>
          <cell r="Q234">
            <v>52</v>
          </cell>
          <cell r="R234">
            <v>52</v>
          </cell>
          <cell r="S234">
            <v>52</v>
          </cell>
          <cell r="T234">
            <v>52</v>
          </cell>
          <cell r="U234">
            <v>52</v>
          </cell>
          <cell r="V234">
            <v>52</v>
          </cell>
          <cell r="AB234">
            <v>7.8210000000000015</v>
          </cell>
          <cell r="AC234">
            <v>5.870000000000001</v>
          </cell>
          <cell r="AD234">
            <v>4.2429999999999914</v>
          </cell>
          <cell r="AE234">
            <v>6.674000000000003</v>
          </cell>
          <cell r="AF234">
            <v>2.8320000000000007</v>
          </cell>
          <cell r="AG234">
            <v>0.83399999999999963</v>
          </cell>
          <cell r="AH234">
            <v>3.945999999999998</v>
          </cell>
          <cell r="AI234">
            <v>5.5689999999999991</v>
          </cell>
          <cell r="AJ234">
            <v>5.8810000000000002</v>
          </cell>
          <cell r="AK234">
            <v>9.6450000000000031</v>
          </cell>
          <cell r="AL234">
            <v>7.7019999999999964</v>
          </cell>
          <cell r="AM234">
            <v>11.2</v>
          </cell>
          <cell r="AN234">
            <v>9.120000000000001</v>
          </cell>
          <cell r="AO234">
            <v>5.0169999999999995</v>
          </cell>
          <cell r="AP234">
            <v>7.1680000000000001</v>
          </cell>
          <cell r="AQ234">
            <v>9.9619999999999997</v>
          </cell>
          <cell r="AR234">
            <v>7.3470000000000004</v>
          </cell>
          <cell r="AS234">
            <v>8.3539999999999992</v>
          </cell>
          <cell r="AT234">
            <v>8.7040000000000006</v>
          </cell>
          <cell r="AU234">
            <v>11.420999999999999</v>
          </cell>
          <cell r="AV234">
            <v>21.427</v>
          </cell>
          <cell r="AW234">
            <v>18.77</v>
          </cell>
          <cell r="AX234">
            <v>16.856000000000002</v>
          </cell>
          <cell r="AY234">
            <v>15.88</v>
          </cell>
          <cell r="AZ234">
            <v>10.055999999999999</v>
          </cell>
          <cell r="BA234">
            <v>8.94</v>
          </cell>
          <cell r="BB234">
            <v>6.0350000000000001</v>
          </cell>
          <cell r="BC234">
            <v>5.6710000000000003</v>
          </cell>
          <cell r="BD234">
            <v>5.6580000000000004</v>
          </cell>
          <cell r="BE234">
            <v>5.1580000000000004</v>
          </cell>
          <cell r="BF234">
            <v>5.7690000000000001</v>
          </cell>
          <cell r="BG234">
            <v>9.1999999999999993</v>
          </cell>
          <cell r="BH234">
            <v>7.7050000000000001</v>
          </cell>
          <cell r="BI234">
            <v>15.164</v>
          </cell>
          <cell r="BJ234">
            <v>14.412000000000001</v>
          </cell>
          <cell r="BK234">
            <v>18</v>
          </cell>
          <cell r="BL234">
            <v>12.5</v>
          </cell>
          <cell r="BM234">
            <v>12.5</v>
          </cell>
          <cell r="BN234">
            <v>12.5</v>
          </cell>
          <cell r="BO234">
            <v>12.5</v>
          </cell>
          <cell r="BP234">
            <v>13</v>
          </cell>
          <cell r="BQ234">
            <v>13</v>
          </cell>
          <cell r="BR234">
            <v>13</v>
          </cell>
          <cell r="BS234">
            <v>13</v>
          </cell>
        </row>
        <row r="235">
          <cell r="A235" t="str">
            <v xml:space="preserve">  New Build</v>
          </cell>
          <cell r="D235">
            <v>19</v>
          </cell>
          <cell r="E235">
            <v>16.899999999999999</v>
          </cell>
          <cell r="F235">
            <v>39.003999999999998</v>
          </cell>
          <cell r="G235">
            <v>44.89800000000001</v>
          </cell>
          <cell r="H235">
            <v>30.743000000000002</v>
          </cell>
          <cell r="I235">
            <v>90.701999999999998</v>
          </cell>
          <cell r="J235">
            <v>129.80699999999999</v>
          </cell>
          <cell r="K235">
            <v>194.40300000000002</v>
          </cell>
          <cell r="L235">
            <v>271.88</v>
          </cell>
          <cell r="M235">
            <v>224</v>
          </cell>
          <cell r="N235">
            <v>224</v>
          </cell>
          <cell r="O235">
            <v>205</v>
          </cell>
          <cell r="P235">
            <v>205</v>
          </cell>
          <cell r="Q235">
            <v>205</v>
          </cell>
          <cell r="R235">
            <v>205</v>
          </cell>
          <cell r="S235">
            <v>205</v>
          </cell>
          <cell r="T235">
            <v>205</v>
          </cell>
          <cell r="U235">
            <v>205</v>
          </cell>
          <cell r="V235">
            <v>205</v>
          </cell>
          <cell r="AB235">
            <v>5</v>
          </cell>
          <cell r="AC235">
            <v>4</v>
          </cell>
          <cell r="AD235">
            <v>5</v>
          </cell>
          <cell r="AE235">
            <v>5</v>
          </cell>
          <cell r="AF235">
            <v>5</v>
          </cell>
          <cell r="AG235">
            <v>4</v>
          </cell>
          <cell r="AH235">
            <v>3</v>
          </cell>
          <cell r="AI235">
            <v>4.9000000000000004</v>
          </cell>
          <cell r="AJ235">
            <v>7</v>
          </cell>
          <cell r="AK235">
            <v>8</v>
          </cell>
          <cell r="AL235">
            <v>11.4</v>
          </cell>
          <cell r="AM235">
            <v>12.603999999999999</v>
          </cell>
          <cell r="AN235">
            <v>11.052</v>
          </cell>
          <cell r="AO235">
            <v>13.255000000000001</v>
          </cell>
          <cell r="AP235">
            <v>11.364000000000001</v>
          </cell>
          <cell r="AQ235">
            <v>9.2270000000000003</v>
          </cell>
          <cell r="AR235">
            <v>6.7359999999999998</v>
          </cell>
          <cell r="AS235">
            <v>4.7530000000000001</v>
          </cell>
          <cell r="AT235">
            <v>8.5470000000000006</v>
          </cell>
          <cell r="AU235">
            <v>10.707000000000001</v>
          </cell>
          <cell r="AV235">
            <v>6.7850000000000001</v>
          </cell>
          <cell r="AW235">
            <v>13.151</v>
          </cell>
          <cell r="AX235">
            <v>29.088000000000001</v>
          </cell>
          <cell r="AY235">
            <v>41.677999999999997</v>
          </cell>
          <cell r="AZ235">
            <v>23.276</v>
          </cell>
          <cell r="BA235">
            <v>35.793999999999997</v>
          </cell>
          <cell r="BB235">
            <v>32.927</v>
          </cell>
          <cell r="BC235">
            <v>37.81</v>
          </cell>
          <cell r="BD235">
            <v>32.136000000000003</v>
          </cell>
          <cell r="BE235">
            <v>46.762</v>
          </cell>
          <cell r="BF235">
            <v>54.305</v>
          </cell>
          <cell r="BG235">
            <v>61.2</v>
          </cell>
          <cell r="BH235">
            <v>56.8</v>
          </cell>
          <cell r="BI235">
            <v>75.204999999999998</v>
          </cell>
          <cell r="BJ235">
            <v>89.875</v>
          </cell>
          <cell r="BK235">
            <v>50</v>
          </cell>
          <cell r="BL235">
            <v>56</v>
          </cell>
          <cell r="BM235">
            <v>56</v>
          </cell>
          <cell r="BN235">
            <v>56</v>
          </cell>
          <cell r="BO235">
            <v>56</v>
          </cell>
          <cell r="BP235">
            <v>56</v>
          </cell>
          <cell r="BQ235">
            <v>56</v>
          </cell>
          <cell r="BR235">
            <v>56</v>
          </cell>
          <cell r="BS235">
            <v>56</v>
          </cell>
        </row>
        <row r="236">
          <cell r="A236" t="str">
            <v xml:space="preserve">  Land Purchases</v>
          </cell>
          <cell r="D236">
            <v>0</v>
          </cell>
          <cell r="E236">
            <v>0</v>
          </cell>
          <cell r="F236">
            <v>0</v>
          </cell>
          <cell r="G236">
            <v>12.336</v>
          </cell>
          <cell r="H236">
            <v>44.398000000000003</v>
          </cell>
          <cell r="I236">
            <v>41.730000000000004</v>
          </cell>
          <cell r="J236">
            <v>49.122999999999998</v>
          </cell>
          <cell r="K236">
            <v>83.461999999999989</v>
          </cell>
          <cell r="L236">
            <v>414.25</v>
          </cell>
          <cell r="M236">
            <v>70</v>
          </cell>
          <cell r="N236">
            <v>70</v>
          </cell>
          <cell r="O236">
            <v>70</v>
          </cell>
          <cell r="P236">
            <v>70</v>
          </cell>
          <cell r="Q236">
            <v>70</v>
          </cell>
          <cell r="R236">
            <v>70</v>
          </cell>
          <cell r="S236">
            <v>70</v>
          </cell>
          <cell r="T236">
            <v>70</v>
          </cell>
          <cell r="U236">
            <v>70</v>
          </cell>
          <cell r="V236">
            <v>70</v>
          </cell>
          <cell r="AN236">
            <v>0.29900000000000038</v>
          </cell>
          <cell r="AO236">
            <v>2.1669999999999998</v>
          </cell>
          <cell r="AP236">
            <v>4.4370000000000003</v>
          </cell>
          <cell r="AQ236">
            <v>5.4329999999999998</v>
          </cell>
          <cell r="AR236">
            <v>9.8740000000000006</v>
          </cell>
          <cell r="AS236">
            <v>10.454000000000001</v>
          </cell>
          <cell r="AT236">
            <v>10.628</v>
          </cell>
          <cell r="AU236">
            <v>13.442</v>
          </cell>
          <cell r="AV236">
            <v>8.4600000000000009</v>
          </cell>
          <cell r="AW236">
            <v>10.959</v>
          </cell>
          <cell r="AX236">
            <v>11.448</v>
          </cell>
          <cell r="AY236">
            <v>10.863</v>
          </cell>
          <cell r="AZ236">
            <v>9.0440000000000005</v>
          </cell>
          <cell r="BA236">
            <v>8.5020000000000007</v>
          </cell>
          <cell r="BB236">
            <v>17.637</v>
          </cell>
          <cell r="BC236">
            <v>13.94</v>
          </cell>
          <cell r="BD236">
            <v>8.8109999999999999</v>
          </cell>
          <cell r="BE236">
            <v>17.774999999999999</v>
          </cell>
          <cell r="BF236">
            <v>23.276</v>
          </cell>
          <cell r="BG236">
            <v>33.6</v>
          </cell>
          <cell r="BH236">
            <v>20.5</v>
          </cell>
          <cell r="BI236">
            <v>28.024000000000001</v>
          </cell>
          <cell r="BJ236">
            <v>31.725999999999999</v>
          </cell>
          <cell r="BK236">
            <v>334</v>
          </cell>
          <cell r="BL236">
            <v>17.5</v>
          </cell>
          <cell r="BM236">
            <v>17.5</v>
          </cell>
          <cell r="BN236">
            <v>17.5</v>
          </cell>
          <cell r="BO236">
            <v>17.5</v>
          </cell>
          <cell r="BP236">
            <v>17.5</v>
          </cell>
          <cell r="BQ236">
            <v>17.5</v>
          </cell>
          <cell r="BR236">
            <v>17.5</v>
          </cell>
          <cell r="BS236">
            <v>17.5</v>
          </cell>
        </row>
        <row r="238">
          <cell r="A238" t="str">
            <v>Acquisitions</v>
          </cell>
          <cell r="D238">
            <v>561</v>
          </cell>
          <cell r="E238">
            <v>214</v>
          </cell>
          <cell r="F238">
            <v>7865</v>
          </cell>
          <cell r="G238">
            <v>90</v>
          </cell>
          <cell r="H238">
            <v>293</v>
          </cell>
          <cell r="I238">
            <v>269</v>
          </cell>
          <cell r="J238">
            <v>2505</v>
          </cell>
          <cell r="K238">
            <v>6773</v>
          </cell>
          <cell r="L238">
            <v>5149</v>
          </cell>
          <cell r="M238">
            <v>6482</v>
          </cell>
          <cell r="N238">
            <v>356</v>
          </cell>
          <cell r="O238">
            <v>206</v>
          </cell>
          <cell r="P238">
            <v>206</v>
          </cell>
          <cell r="Q238">
            <v>150</v>
          </cell>
          <cell r="R238">
            <v>150</v>
          </cell>
          <cell r="S238">
            <v>100</v>
          </cell>
          <cell r="T238">
            <v>100</v>
          </cell>
          <cell r="U238">
            <v>50</v>
          </cell>
          <cell r="V238">
            <v>50</v>
          </cell>
          <cell r="AB238">
            <v>180</v>
          </cell>
          <cell r="AC238">
            <v>61</v>
          </cell>
          <cell r="AD238">
            <v>217</v>
          </cell>
          <cell r="AE238">
            <v>103</v>
          </cell>
          <cell r="AF238">
            <v>100</v>
          </cell>
          <cell r="AG238">
            <v>38</v>
          </cell>
          <cell r="AH238">
            <v>49</v>
          </cell>
          <cell r="AI238">
            <v>27</v>
          </cell>
          <cell r="AJ238">
            <v>6</v>
          </cell>
          <cell r="AK238">
            <v>9</v>
          </cell>
          <cell r="AL238">
            <v>7847</v>
          </cell>
          <cell r="AM238">
            <v>3</v>
          </cell>
          <cell r="AN238">
            <v>4</v>
          </cell>
          <cell r="AO238">
            <v>20</v>
          </cell>
          <cell r="AP238">
            <v>25</v>
          </cell>
          <cell r="AQ238">
            <v>41</v>
          </cell>
          <cell r="AR238">
            <v>26</v>
          </cell>
          <cell r="AS238">
            <v>34</v>
          </cell>
          <cell r="AT238">
            <v>51</v>
          </cell>
          <cell r="AU238">
            <v>182</v>
          </cell>
          <cell r="AV238">
            <v>244</v>
          </cell>
          <cell r="AW238">
            <v>8</v>
          </cell>
          <cell r="AX238">
            <v>5</v>
          </cell>
          <cell r="AY238">
            <v>12</v>
          </cell>
          <cell r="AZ238">
            <v>4</v>
          </cell>
          <cell r="BA238">
            <v>1667</v>
          </cell>
          <cell r="BB238">
            <v>304</v>
          </cell>
          <cell r="BC238">
            <v>530</v>
          </cell>
          <cell r="BD238">
            <v>164</v>
          </cell>
          <cell r="BE238">
            <v>149</v>
          </cell>
          <cell r="BF238">
            <v>5066</v>
          </cell>
          <cell r="BG238">
            <v>1394</v>
          </cell>
          <cell r="BH238">
            <v>1884</v>
          </cell>
          <cell r="BI238">
            <v>645</v>
          </cell>
          <cell r="BJ238">
            <v>645</v>
          </cell>
          <cell r="BK238">
            <v>1975</v>
          </cell>
          <cell r="BL238">
            <v>3720</v>
          </cell>
          <cell r="BM238">
            <v>1220</v>
          </cell>
          <cell r="BN238">
            <v>771</v>
          </cell>
          <cell r="BO238">
            <v>771</v>
          </cell>
          <cell r="BP238">
            <v>89</v>
          </cell>
          <cell r="BQ238">
            <v>89</v>
          </cell>
          <cell r="BR238">
            <v>89</v>
          </cell>
          <cell r="BS238">
            <v>89</v>
          </cell>
        </row>
        <row r="239">
          <cell r="A239" t="str">
            <v xml:space="preserve">VTR Banda Ancha (Chile) S.A. </v>
          </cell>
        </row>
        <row r="240">
          <cell r="A240" t="str">
            <v>Price per Tower (Estimated and / or Actual)</v>
          </cell>
        </row>
        <row r="241">
          <cell r="A241" t="str">
            <v>Cell C (South Africa)</v>
          </cell>
          <cell r="BK241">
            <v>76</v>
          </cell>
          <cell r="BL241">
            <v>400</v>
          </cell>
          <cell r="BM241">
            <v>400</v>
          </cell>
          <cell r="BN241">
            <v>450</v>
          </cell>
          <cell r="BO241">
            <v>450</v>
          </cell>
          <cell r="BP241">
            <v>25</v>
          </cell>
          <cell r="BQ241">
            <v>25</v>
          </cell>
          <cell r="BR241">
            <v>25</v>
          </cell>
          <cell r="BS241">
            <v>25</v>
          </cell>
        </row>
        <row r="242">
          <cell r="A242" t="str">
            <v>Price per Tower (Estimated and / or Actual)</v>
          </cell>
          <cell r="BK242">
            <v>0.13437499999999999</v>
          </cell>
          <cell r="BL242">
            <v>0.13437499999999999</v>
          </cell>
          <cell r="BM242">
            <v>0.13437499999999999</v>
          </cell>
          <cell r="BN242">
            <v>0.13437499999999999</v>
          </cell>
          <cell r="BO242">
            <v>0.13437499999999999</v>
          </cell>
          <cell r="BP242">
            <v>0.13437499999999999</v>
          </cell>
          <cell r="BQ242">
            <v>0.13437499999999999</v>
          </cell>
          <cell r="BR242">
            <v>0.13437499999999999</v>
          </cell>
          <cell r="BS242">
            <v>0.13437499999999999</v>
          </cell>
        </row>
        <row r="243">
          <cell r="A243" t="str">
            <v>JV with MTN (Ghana)</v>
          </cell>
          <cell r="BK243">
            <v>699</v>
          </cell>
          <cell r="BL243">
            <v>25</v>
          </cell>
          <cell r="BM243">
            <v>25</v>
          </cell>
          <cell r="BN243">
            <v>25</v>
          </cell>
          <cell r="BO243">
            <v>25</v>
          </cell>
          <cell r="BP243">
            <v>25</v>
          </cell>
          <cell r="BQ243">
            <v>25</v>
          </cell>
          <cell r="BR243">
            <v>25</v>
          </cell>
          <cell r="BS243">
            <v>25</v>
          </cell>
        </row>
        <row r="244">
          <cell r="A244" t="str">
            <v>Price per Tower (Estimated and / or Actual)</v>
          </cell>
          <cell r="BK244">
            <v>0.11647121535181236</v>
          </cell>
          <cell r="BL244">
            <v>0.11647121535181236</v>
          </cell>
          <cell r="BM244">
            <v>0.11647121535181236</v>
          </cell>
          <cell r="BN244">
            <v>0.11647121535181236</v>
          </cell>
          <cell r="BO244">
            <v>0.11647121535181236</v>
          </cell>
          <cell r="BP244">
            <v>0.22830490405117271</v>
          </cell>
          <cell r="BQ244">
            <v>0.22830490405117271</v>
          </cell>
          <cell r="BR244">
            <v>0.22830490405117271</v>
          </cell>
          <cell r="BS244">
            <v>0.22830490405117271</v>
          </cell>
        </row>
        <row r="245">
          <cell r="A245" t="str">
            <v>Mexico</v>
          </cell>
          <cell r="BK245">
            <v>2500</v>
          </cell>
        </row>
        <row r="246">
          <cell r="A246" t="str">
            <v>Price per Tower (Estimated and / or Actual)</v>
          </cell>
          <cell r="BK246">
            <v>0.2</v>
          </cell>
        </row>
        <row r="247">
          <cell r="A247" t="str">
            <v>JV with MTN (Uganda)</v>
          </cell>
          <cell r="BL247">
            <v>514</v>
          </cell>
          <cell r="BM247">
            <v>514</v>
          </cell>
          <cell r="BN247">
            <v>14</v>
          </cell>
          <cell r="BO247">
            <v>14</v>
          </cell>
          <cell r="BP247">
            <v>14</v>
          </cell>
          <cell r="BQ247">
            <v>14</v>
          </cell>
          <cell r="BR247">
            <v>14</v>
          </cell>
          <cell r="BS247">
            <v>14</v>
          </cell>
        </row>
        <row r="248">
          <cell r="A248" t="str">
            <v>Price per Tower (Estimated and / or Actual)</v>
          </cell>
          <cell r="BL248">
            <v>8.8999999999999996E-2</v>
          </cell>
          <cell r="BM248">
            <v>8.8999999999999996E-2</v>
          </cell>
          <cell r="BN248">
            <v>8.8999999999999996E-2</v>
          </cell>
          <cell r="BO248">
            <v>8.8999999999999996E-2</v>
          </cell>
          <cell r="BP248">
            <v>8.8999999999999996E-2</v>
          </cell>
          <cell r="BQ248">
            <v>8.8999999999999996E-2</v>
          </cell>
          <cell r="BR248">
            <v>8.8999999999999996E-2</v>
          </cell>
          <cell r="BS248">
            <v>8.8999999999999996E-2</v>
          </cell>
        </row>
        <row r="249">
          <cell r="A249" t="str">
            <v>Colombia</v>
          </cell>
          <cell r="BK249">
            <v>1000</v>
          </cell>
          <cell r="BL249">
            <v>281</v>
          </cell>
          <cell r="BM249">
            <v>281</v>
          </cell>
          <cell r="BN249">
            <v>282</v>
          </cell>
          <cell r="BO249">
            <v>282</v>
          </cell>
          <cell r="BP249">
            <v>25</v>
          </cell>
          <cell r="BQ249">
            <v>25</v>
          </cell>
          <cell r="BR249">
            <v>25</v>
          </cell>
          <cell r="BS249">
            <v>25</v>
          </cell>
        </row>
        <row r="250">
          <cell r="A250" t="str">
            <v>Price per Tower (Estimated and / or Actual)</v>
          </cell>
          <cell r="BK250">
            <v>8.5606773283160867E-2</v>
          </cell>
          <cell r="BL250">
            <v>8.5606773283160867E-2</v>
          </cell>
          <cell r="BM250">
            <v>8.5606773283160867E-2</v>
          </cell>
          <cell r="BN250">
            <v>8.5606773283160867E-2</v>
          </cell>
          <cell r="BO250">
            <v>8.5606773283160867E-2</v>
          </cell>
          <cell r="BP250">
            <v>8.5606773283160867E-2</v>
          </cell>
          <cell r="BQ250">
            <v>8.5606773283160867E-2</v>
          </cell>
          <cell r="BR250">
            <v>8.5606773283160867E-2</v>
          </cell>
          <cell r="BS250">
            <v>8.5606773283160867E-2</v>
          </cell>
        </row>
        <row r="251">
          <cell r="A251" t="str">
            <v>Aggregate Price per Tower (Implied)</v>
          </cell>
          <cell r="D251">
            <v>0.16947771836007131</v>
          </cell>
          <cell r="E251">
            <v>0.15608878504672896</v>
          </cell>
          <cell r="F251">
            <v>1.8752701843610933E-3</v>
          </cell>
          <cell r="G251">
            <v>0.1593</v>
          </cell>
          <cell r="H251">
            <v>0.15004095563139933</v>
          </cell>
          <cell r="I251">
            <v>0.15917100371747209</v>
          </cell>
          <cell r="J251">
            <v>0.11800518962075848</v>
          </cell>
          <cell r="K251">
            <v>0.13282238299128893</v>
          </cell>
          <cell r="L251">
            <v>0.36857732624083855</v>
          </cell>
          <cell r="M251">
            <v>6.6408801026229633E-2</v>
          </cell>
          <cell r="N251">
            <v>0.13992322397031845</v>
          </cell>
          <cell r="O251">
            <v>0.2</v>
          </cell>
          <cell r="P251">
            <v>0.25</v>
          </cell>
          <cell r="Q251">
            <v>0.3</v>
          </cell>
          <cell r="R251">
            <v>0.35</v>
          </cell>
          <cell r="S251">
            <v>0.39999999999999997</v>
          </cell>
          <cell r="T251">
            <v>0.44999999999999996</v>
          </cell>
          <cell r="U251">
            <v>0.49999999999999994</v>
          </cell>
          <cell r="V251">
            <v>0.54999999999999993</v>
          </cell>
          <cell r="AB251">
            <v>0.16956111111111111</v>
          </cell>
          <cell r="AC251">
            <v>0.17336065573770484</v>
          </cell>
          <cell r="AD251">
            <v>0.16080184331797232</v>
          </cell>
          <cell r="AE251">
            <v>0.1853106796116506</v>
          </cell>
          <cell r="AF251">
            <v>0.13372999999999999</v>
          </cell>
          <cell r="AG251">
            <v>0.13105263157894742</v>
          </cell>
          <cell r="AH251">
            <v>0.19367346938775509</v>
          </cell>
          <cell r="AI251">
            <v>0.20592592592592573</v>
          </cell>
          <cell r="AJ251">
            <v>1.367</v>
          </cell>
          <cell r="AK251">
            <v>0.3613333333333334</v>
          </cell>
          <cell r="AL251">
            <v>1.8911685994647614E-4</v>
          </cell>
          <cell r="AM251">
            <v>0.60366666666666668</v>
          </cell>
          <cell r="AN251">
            <v>0.18099999999999999</v>
          </cell>
          <cell r="AO251">
            <v>0.10529999999999999</v>
          </cell>
          <cell r="AP251">
            <v>0.29092000000000001</v>
          </cell>
          <cell r="AQ251">
            <v>0.10326829268292682</v>
          </cell>
          <cell r="AR251">
            <v>0.38696153846153847</v>
          </cell>
          <cell r="AS251">
            <v>0.11573529411764708</v>
          </cell>
          <cell r="AT251">
            <v>0.13133333333333333</v>
          </cell>
          <cell r="AU251">
            <v>0.12784615384615386</v>
          </cell>
          <cell r="AV251">
            <v>0.1160327868852459</v>
          </cell>
          <cell r="AW251">
            <v>0.47787499999999961</v>
          </cell>
          <cell r="AX251">
            <v>9.9600000000000938E-2</v>
          </cell>
          <cell r="AY251">
            <v>0.84866666666666613</v>
          </cell>
          <cell r="AZ251">
            <v>0.28625</v>
          </cell>
          <cell r="BA251">
            <v>5.5261547690461911E-2</v>
          </cell>
          <cell r="BB251">
            <v>0.22338486842105265</v>
          </cell>
          <cell r="BC251">
            <v>0.25363773584905658</v>
          </cell>
          <cell r="BD251">
            <v>0.53955487804878044</v>
          </cell>
          <cell r="BE251">
            <v>0.29520134228187928</v>
          </cell>
          <cell r="BF251">
            <v>8.9182392420055268E-2</v>
          </cell>
          <cell r="BG251">
            <v>0.22620946915351509</v>
          </cell>
          <cell r="BH251">
            <v>0.32767940552016983</v>
          </cell>
          <cell r="BI251">
            <v>0.42667596899224808</v>
          </cell>
          <cell r="BJ251">
            <v>0.50855503875968977</v>
          </cell>
          <cell r="BK251">
            <v>0.3429026090197862</v>
          </cell>
          <cell r="BL251">
            <v>3.3995506364613848E-2</v>
          </cell>
          <cell r="BM251">
            <v>0.10365842924292092</v>
          </cell>
          <cell r="BN251">
            <v>0.11513312639383486</v>
          </cell>
          <cell r="BO251">
            <v>0.11513312639383486</v>
          </cell>
          <cell r="BP251">
            <v>0.13992322397031845</v>
          </cell>
          <cell r="BQ251">
            <v>0.13992322397031845</v>
          </cell>
          <cell r="BR251">
            <v>0.13992322397031845</v>
          </cell>
          <cell r="BS251">
            <v>0.13992322397031845</v>
          </cell>
        </row>
        <row r="252">
          <cell r="A252" t="str">
            <v>Total Acquistion Cost</v>
          </cell>
          <cell r="D252">
            <v>95.076999999999998</v>
          </cell>
          <cell r="E252">
            <v>33.402999999999999</v>
          </cell>
          <cell r="F252">
            <v>14.748999999999999</v>
          </cell>
          <cell r="G252">
            <v>14.337</v>
          </cell>
          <cell r="H252">
            <v>43.962000000000003</v>
          </cell>
          <cell r="I252">
            <v>42.816999999999993</v>
          </cell>
          <cell r="J252">
            <v>295.60300000000001</v>
          </cell>
          <cell r="K252">
            <v>899.60599999999999</v>
          </cell>
          <cell r="L252">
            <v>1897.8046528140776</v>
          </cell>
          <cell r="M252">
            <v>430.46184825202045</v>
          </cell>
          <cell r="N252">
            <v>49.812667733433365</v>
          </cell>
          <cell r="O252">
            <v>41.2</v>
          </cell>
          <cell r="P252">
            <v>51.5</v>
          </cell>
          <cell r="Q252">
            <v>45</v>
          </cell>
          <cell r="R252">
            <v>52.5</v>
          </cell>
          <cell r="S252">
            <v>40</v>
          </cell>
          <cell r="T252">
            <v>44.999999999999993</v>
          </cell>
          <cell r="U252">
            <v>24.999999999999996</v>
          </cell>
          <cell r="V252">
            <v>27.499999999999996</v>
          </cell>
          <cell r="AB252">
            <v>30.521000000000001</v>
          </cell>
          <cell r="AC252">
            <v>10.574999999999996</v>
          </cell>
          <cell r="AD252">
            <v>34.893999999999991</v>
          </cell>
          <cell r="AE252">
            <v>19.08700000000001</v>
          </cell>
          <cell r="AF252">
            <v>13.372999999999999</v>
          </cell>
          <cell r="AG252">
            <v>4.9800000000000022</v>
          </cell>
          <cell r="AH252">
            <v>9.49</v>
          </cell>
          <cell r="AI252">
            <v>5.5599999999999952</v>
          </cell>
          <cell r="AJ252">
            <v>8.202</v>
          </cell>
          <cell r="AK252">
            <v>3.2520000000000007</v>
          </cell>
          <cell r="AL252">
            <v>1.4839999999999982</v>
          </cell>
          <cell r="AM252">
            <v>1.8109999999999999</v>
          </cell>
          <cell r="AN252">
            <v>0.72399999999999998</v>
          </cell>
          <cell r="AO252">
            <v>2.1059999999999999</v>
          </cell>
          <cell r="AP252">
            <v>7.2729999999999997</v>
          </cell>
          <cell r="AQ252">
            <v>4.234</v>
          </cell>
          <cell r="AR252">
            <v>10.061</v>
          </cell>
          <cell r="AS252">
            <v>3.9350000000000005</v>
          </cell>
          <cell r="AT252">
            <v>6.6980000000000004</v>
          </cell>
          <cell r="AU252">
            <v>23.268000000000001</v>
          </cell>
          <cell r="AV252">
            <v>28.312000000000001</v>
          </cell>
          <cell r="AW252">
            <v>3.8229999999999968</v>
          </cell>
          <cell r="AX252">
            <v>0.49800000000000466</v>
          </cell>
          <cell r="AY252">
            <v>10.183999999999994</v>
          </cell>
          <cell r="AZ252">
            <v>1.145</v>
          </cell>
          <cell r="BA252">
            <v>92.121000000000009</v>
          </cell>
          <cell r="BB252">
            <v>67.909000000000006</v>
          </cell>
          <cell r="BC252">
            <v>134.428</v>
          </cell>
          <cell r="BD252">
            <v>88.486999999999995</v>
          </cell>
          <cell r="BE252">
            <v>43.985000000000014</v>
          </cell>
          <cell r="BF252">
            <v>451.798</v>
          </cell>
          <cell r="BG252">
            <v>315.33600000000001</v>
          </cell>
          <cell r="BH252">
            <v>617.34799999999996</v>
          </cell>
          <cell r="BI252">
            <v>275.20600000000002</v>
          </cell>
          <cell r="BJ252">
            <v>328.01799999999992</v>
          </cell>
          <cell r="BK252">
            <v>677.23265281407771</v>
          </cell>
          <cell r="BL252">
            <v>126.46328367636352</v>
          </cell>
          <cell r="BM252">
            <v>126.46328367636352</v>
          </cell>
          <cell r="BN252">
            <v>88.767640449646677</v>
          </cell>
          <cell r="BO252">
            <v>88.767640449646677</v>
          </cell>
          <cell r="BP252">
            <v>12.453166933358341</v>
          </cell>
          <cell r="BQ252">
            <v>12.453166933358341</v>
          </cell>
          <cell r="BR252">
            <v>12.453166933358341</v>
          </cell>
          <cell r="BS252">
            <v>12.453166933358341</v>
          </cell>
        </row>
        <row r="254">
          <cell r="A254" t="str">
            <v>Depreciation</v>
          </cell>
        </row>
        <row r="255">
          <cell r="A255" t="str">
            <v>Towers</v>
          </cell>
          <cell r="D255">
            <v>2784.5639999999999</v>
          </cell>
          <cell r="E255">
            <v>2788.1619999999998</v>
          </cell>
          <cell r="F255">
            <v>4134.1549999999997</v>
          </cell>
          <cell r="G255">
            <v>4170.902</v>
          </cell>
          <cell r="H255">
            <v>4240.2910000000002</v>
          </cell>
          <cell r="I255">
            <v>4353.652</v>
          </cell>
          <cell r="J255">
            <v>4688.1620000000003</v>
          </cell>
          <cell r="K255">
            <v>5177.37</v>
          </cell>
          <cell r="AQ255">
            <v>4170.902</v>
          </cell>
          <cell r="AU255">
            <v>4240.2910000000002</v>
          </cell>
          <cell r="AY255">
            <v>4353.652</v>
          </cell>
          <cell r="BC255">
            <v>4688.1620000000003</v>
          </cell>
          <cell r="BG255">
            <v>5177.37</v>
          </cell>
        </row>
        <row r="256">
          <cell r="A256" t="str">
            <v>Equipment</v>
          </cell>
          <cell r="D256">
            <v>108.29600000000001</v>
          </cell>
          <cell r="E256">
            <v>115.244</v>
          </cell>
          <cell r="F256">
            <v>167.50399999999999</v>
          </cell>
          <cell r="G256">
            <v>199.68899999999999</v>
          </cell>
          <cell r="H256">
            <v>235.10900000000001</v>
          </cell>
          <cell r="I256">
            <v>269.33800000000002</v>
          </cell>
          <cell r="J256">
            <v>309.791</v>
          </cell>
          <cell r="K256">
            <v>368.86</v>
          </cell>
          <cell r="AQ256">
            <v>199.68899999999999</v>
          </cell>
          <cell r="AU256">
            <v>235.10900000000001</v>
          </cell>
          <cell r="AY256">
            <v>269.33800000000002</v>
          </cell>
          <cell r="BC256">
            <v>309.791</v>
          </cell>
          <cell r="BG256">
            <v>368.86</v>
          </cell>
        </row>
        <row r="257">
          <cell r="A257" t="str">
            <v>Buildings and Improvements</v>
          </cell>
          <cell r="D257">
            <v>165.87700000000001</v>
          </cell>
          <cell r="E257">
            <v>162.12</v>
          </cell>
          <cell r="F257">
            <v>184.95099999999999</v>
          </cell>
          <cell r="G257">
            <v>200.35599999999999</v>
          </cell>
          <cell r="H257">
            <v>204.339</v>
          </cell>
          <cell r="I257">
            <v>213.80699999999999</v>
          </cell>
          <cell r="J257">
            <v>207.333</v>
          </cell>
          <cell r="K257">
            <v>210.08199999999999</v>
          </cell>
          <cell r="AQ257">
            <v>200.35599999999999</v>
          </cell>
          <cell r="AU257">
            <v>204.339</v>
          </cell>
          <cell r="AY257">
            <v>213.80699999999999</v>
          </cell>
          <cell r="BC257">
            <v>207.333</v>
          </cell>
          <cell r="BG257">
            <v>210.08199999999999</v>
          </cell>
        </row>
        <row r="258">
          <cell r="A258" t="str">
            <v>Land and Improvements</v>
          </cell>
          <cell r="D258">
            <v>173.619</v>
          </cell>
          <cell r="E258">
            <v>176.93700000000001</v>
          </cell>
          <cell r="F258">
            <v>215.97399999999999</v>
          </cell>
          <cell r="G258">
            <v>225.07900000000001</v>
          </cell>
          <cell r="H258">
            <v>268.25900000000001</v>
          </cell>
          <cell r="I258">
            <v>312.71100000000001</v>
          </cell>
          <cell r="J258">
            <v>374.62099999999998</v>
          </cell>
          <cell r="K258">
            <v>473.47699999999998</v>
          </cell>
          <cell r="AQ258">
            <v>225.07900000000001</v>
          </cell>
          <cell r="AU258">
            <v>268.25900000000001</v>
          </cell>
          <cell r="AY258">
            <v>312.71100000000001</v>
          </cell>
          <cell r="BC258">
            <v>374.62099999999998</v>
          </cell>
          <cell r="BG258">
            <v>473.47699999999998</v>
          </cell>
        </row>
        <row r="259">
          <cell r="A259" t="str">
            <v>Construction-in-progress</v>
          </cell>
          <cell r="D259">
            <v>38.683</v>
          </cell>
          <cell r="E259">
            <v>27.866</v>
          </cell>
          <cell r="F259">
            <v>36.991</v>
          </cell>
          <cell r="G259">
            <v>32.180999999999997</v>
          </cell>
          <cell r="H259">
            <v>44.030999999999999</v>
          </cell>
          <cell r="I259">
            <v>63.539000000000001</v>
          </cell>
          <cell r="J259">
            <v>47.063000000000002</v>
          </cell>
          <cell r="K259">
            <v>86.358000000000004</v>
          </cell>
          <cell r="AQ259">
            <v>32.180999999999997</v>
          </cell>
          <cell r="AU259">
            <v>44.030999999999999</v>
          </cell>
          <cell r="AY259">
            <v>63.539000000000001</v>
          </cell>
          <cell r="BC259">
            <v>47.063000000000002</v>
          </cell>
          <cell r="BG259">
            <v>86.358000000000004</v>
          </cell>
        </row>
        <row r="260">
          <cell r="A260" t="str">
            <v>Gross PP&amp;E</v>
          </cell>
          <cell r="D260">
            <v>3271.0389999999998</v>
          </cell>
          <cell r="E260">
            <v>3270.3289999999997</v>
          </cell>
          <cell r="F260">
            <v>4739.5749999999998</v>
          </cell>
          <cell r="G260">
            <v>4828.2069999999994</v>
          </cell>
          <cell r="H260">
            <v>4992.0290000000005</v>
          </cell>
          <cell r="I260">
            <v>5213.0469999999996</v>
          </cell>
          <cell r="J260">
            <v>5626.97</v>
          </cell>
          <cell r="K260">
            <v>6316.1469999999999</v>
          </cell>
          <cell r="AQ260">
            <v>4828.2069999999994</v>
          </cell>
          <cell r="AU260">
            <v>4992.0290000000005</v>
          </cell>
          <cell r="AY260">
            <v>5213.0469999999996</v>
          </cell>
          <cell r="BC260">
            <v>5626.97</v>
          </cell>
          <cell r="BG260">
            <v>6316.1469999999999</v>
          </cell>
        </row>
        <row r="262">
          <cell r="A262" t="str">
            <v>Accumulated Depreciation</v>
          </cell>
          <cell r="D262">
            <v>787.71500000000003</v>
          </cell>
          <cell r="E262">
            <v>996.97299999999996</v>
          </cell>
          <cell r="F262">
            <v>1279.049</v>
          </cell>
          <cell r="G262">
            <v>1610.0830000000001</v>
          </cell>
          <cell r="H262">
            <v>1946.8430000000001</v>
          </cell>
          <cell r="I262">
            <v>2190.4110000000001</v>
          </cell>
          <cell r="J262">
            <v>2451.4589999999998</v>
          </cell>
          <cell r="K262">
            <v>2692.3119999999999</v>
          </cell>
          <cell r="AQ262">
            <v>1610.0830000000001</v>
          </cell>
          <cell r="AU262">
            <v>1946.8430000000001</v>
          </cell>
          <cell r="AY262">
            <v>2190.4110000000001</v>
          </cell>
          <cell r="BC262">
            <v>2451.4589999999998</v>
          </cell>
          <cell r="BG262">
            <v>2692.3119999999999</v>
          </cell>
        </row>
        <row r="263">
          <cell r="A263" t="str">
            <v>Net PP&amp;E</v>
          </cell>
          <cell r="D263">
            <v>2483.3239999999996</v>
          </cell>
          <cell r="E263">
            <v>2273.3559999999998</v>
          </cell>
          <cell r="F263">
            <v>3460.5259999999998</v>
          </cell>
          <cell r="G263">
            <v>3218.1239999999993</v>
          </cell>
          <cell r="H263">
            <v>3045.1860000000006</v>
          </cell>
          <cell r="I263">
            <v>3022.6359999999995</v>
          </cell>
          <cell r="J263">
            <v>3175.5110000000004</v>
          </cell>
          <cell r="K263">
            <v>3623.835</v>
          </cell>
          <cell r="AQ263">
            <v>3218.1239999999993</v>
          </cell>
          <cell r="AU263">
            <v>3045.1860000000006</v>
          </cell>
          <cell r="AY263">
            <v>3022.6359999999995</v>
          </cell>
          <cell r="BC263">
            <v>3175.5110000000004</v>
          </cell>
          <cell r="BG263">
            <v>3623.835</v>
          </cell>
        </row>
        <row r="266">
          <cell r="A266" t="str">
            <v>Capital Expenditures</v>
          </cell>
          <cell r="D266">
            <v>61.608000000000004</v>
          </cell>
          <cell r="E266">
            <v>42.180999999999997</v>
          </cell>
          <cell r="F266">
            <v>88.637</v>
          </cell>
          <cell r="G266">
            <v>127.098</v>
          </cell>
          <cell r="H266">
            <v>154.381</v>
          </cell>
          <cell r="I266">
            <v>243.48399999999998</v>
          </cell>
          <cell r="J266">
            <v>250.26299999999998</v>
          </cell>
          <cell r="K266">
            <v>346.6583</v>
          </cell>
          <cell r="L266">
            <v>819.029</v>
          </cell>
          <cell r="M266">
            <v>398</v>
          </cell>
          <cell r="N266">
            <v>400</v>
          </cell>
          <cell r="O266">
            <v>381</v>
          </cell>
          <cell r="P266">
            <v>381</v>
          </cell>
          <cell r="Q266">
            <v>381</v>
          </cell>
          <cell r="R266">
            <v>381</v>
          </cell>
          <cell r="S266">
            <v>381</v>
          </cell>
          <cell r="T266">
            <v>381</v>
          </cell>
          <cell r="U266">
            <v>381</v>
          </cell>
          <cell r="V266">
            <v>381</v>
          </cell>
          <cell r="AN266">
            <v>28.376000000000001</v>
          </cell>
          <cell r="AO266">
            <v>28.667999999999996</v>
          </cell>
          <cell r="AP266">
            <v>33.618000000000009</v>
          </cell>
          <cell r="AQ266">
            <v>36.435999999999993</v>
          </cell>
          <cell r="AR266">
            <v>31.445</v>
          </cell>
          <cell r="AS266">
            <v>36.140999999999998</v>
          </cell>
          <cell r="AT266">
            <v>39.379999999999988</v>
          </cell>
          <cell r="AU266">
            <v>47.415000000000013</v>
          </cell>
          <cell r="AV266">
            <v>44.625</v>
          </cell>
          <cell r="AW266">
            <v>52.692999999999998</v>
          </cell>
          <cell r="AX266">
            <v>67.875999999999991</v>
          </cell>
          <cell r="AY266">
            <v>78.290000000000006</v>
          </cell>
          <cell r="AZ266">
            <v>49.627000000000002</v>
          </cell>
          <cell r="BA266">
            <v>64.22699999999999</v>
          </cell>
          <cell r="BB266">
            <v>68.573000000000008</v>
          </cell>
          <cell r="BC266">
            <v>67.835999999999999</v>
          </cell>
          <cell r="BD266">
            <v>55.057000000000002</v>
          </cell>
          <cell r="BE266">
            <v>77.474299999999999</v>
          </cell>
          <cell r="BF266">
            <v>95.97</v>
          </cell>
          <cell r="BG266">
            <v>118.15700000000001</v>
          </cell>
          <cell r="BH266">
            <v>97.841999999999999</v>
          </cell>
          <cell r="BI266">
            <v>138.679</v>
          </cell>
          <cell r="BJ266">
            <v>160.50800000000001</v>
          </cell>
          <cell r="BK266">
            <v>422</v>
          </cell>
          <cell r="BL266">
            <v>99.5</v>
          </cell>
          <cell r="BM266">
            <v>99.5</v>
          </cell>
          <cell r="BN266">
            <v>99.5</v>
          </cell>
          <cell r="BO266">
            <v>99.5</v>
          </cell>
          <cell r="BP266">
            <v>100</v>
          </cell>
          <cell r="BQ266">
            <v>100</v>
          </cell>
          <cell r="BR266">
            <v>100</v>
          </cell>
          <cell r="BS266">
            <v>100</v>
          </cell>
        </row>
        <row r="267">
          <cell r="A267" t="str">
            <v>Beginning PP&amp;E</v>
          </cell>
          <cell r="D267">
            <v>2483.3239999999996</v>
          </cell>
          <cell r="E267">
            <v>2273.3559999999998</v>
          </cell>
          <cell r="F267">
            <v>3460.5259999999998</v>
          </cell>
          <cell r="G267">
            <v>3218.1239999999993</v>
          </cell>
          <cell r="H267">
            <v>3045.1860000000006</v>
          </cell>
          <cell r="I267">
            <v>3022.6359999999995</v>
          </cell>
          <cell r="J267">
            <v>3175.5110000000004</v>
          </cell>
          <cell r="K267">
            <v>3623.835</v>
          </cell>
          <cell r="AQ267">
            <v>3218.1239999999993</v>
          </cell>
          <cell r="AU267">
            <v>3045.1860000000006</v>
          </cell>
          <cell r="AY267">
            <v>3022.6359999999995</v>
          </cell>
          <cell r="BC267">
            <v>3175.5110000000004</v>
          </cell>
          <cell r="BG267">
            <v>3623.835</v>
          </cell>
        </row>
        <row r="268">
          <cell r="A268" t="str">
            <v>Less: Land</v>
          </cell>
          <cell r="D268">
            <v>173.619</v>
          </cell>
          <cell r="E268">
            <v>176.93700000000001</v>
          </cell>
          <cell r="F268">
            <v>215.97399999999999</v>
          </cell>
          <cell r="G268">
            <v>225.07900000000001</v>
          </cell>
          <cell r="H268">
            <v>268.25900000000001</v>
          </cell>
          <cell r="I268">
            <v>312.71100000000001</v>
          </cell>
          <cell r="J268">
            <v>374.62099999999998</v>
          </cell>
          <cell r="K268">
            <v>473.47699999999998</v>
          </cell>
          <cell r="AQ268">
            <v>225.07900000000001</v>
          </cell>
          <cell r="AU268">
            <v>268.25900000000001</v>
          </cell>
          <cell r="AY268">
            <v>312.71100000000001</v>
          </cell>
          <cell r="BC268">
            <v>374.62099999999998</v>
          </cell>
          <cell r="BG268">
            <v>473.47699999999998</v>
          </cell>
        </row>
        <row r="269">
          <cell r="A269" t="str">
            <v>PP&amp;E Depreciation</v>
          </cell>
          <cell r="D269">
            <v>2309.7049999999995</v>
          </cell>
          <cell r="E269">
            <v>2096.4189999999999</v>
          </cell>
          <cell r="F269">
            <v>3244.5519999999997</v>
          </cell>
          <cell r="G269">
            <v>2993.0449999999992</v>
          </cell>
          <cell r="H269">
            <v>2776.9270000000006</v>
          </cell>
          <cell r="I269">
            <v>2709.9249999999993</v>
          </cell>
          <cell r="J269">
            <v>2800.8900000000003</v>
          </cell>
          <cell r="K269">
            <v>3150.3580000000002</v>
          </cell>
          <cell r="L269">
            <v>313.06682624999996</v>
          </cell>
          <cell r="M269">
            <v>288.43637906825239</v>
          </cell>
          <cell r="N269">
            <v>260.65646297970187</v>
          </cell>
          <cell r="O269">
            <v>234.5908166817317</v>
          </cell>
          <cell r="P269">
            <v>211.13173501355854</v>
          </cell>
          <cell r="Q269">
            <v>190.01856151220269</v>
          </cell>
          <cell r="R269">
            <v>171.01670536098243</v>
          </cell>
          <cell r="S269">
            <v>153.9150348248842</v>
          </cell>
          <cell r="T269">
            <v>138.52353134239578</v>
          </cell>
          <cell r="U269">
            <v>124.67117820815621</v>
          </cell>
          <cell r="V269">
            <v>112.20406038734059</v>
          </cell>
          <cell r="AQ269">
            <v>2993.0449999999992</v>
          </cell>
          <cell r="AU269">
            <v>2776.9270000000006</v>
          </cell>
          <cell r="AY269">
            <v>2709.9249999999993</v>
          </cell>
          <cell r="BC269">
            <v>2800.8900000000003</v>
          </cell>
          <cell r="BG269">
            <v>3150.3580000000002</v>
          </cell>
          <cell r="BH269">
            <v>78.758949999999999</v>
          </cell>
          <cell r="BI269">
            <v>78.758949999999999</v>
          </cell>
          <cell r="BJ269">
            <v>78.758949999999999</v>
          </cell>
          <cell r="BK269">
            <v>76.789976249999995</v>
          </cell>
          <cell r="BL269">
            <v>74.87022684374999</v>
          </cell>
          <cell r="BM269">
            <v>72.998471172656238</v>
          </cell>
          <cell r="BN269">
            <v>71.173509393339828</v>
          </cell>
          <cell r="BO269">
            <v>69.394171658506323</v>
          </cell>
          <cell r="BP269">
            <v>67.65931736704367</v>
          </cell>
          <cell r="BQ269">
            <v>65.967834432867576</v>
          </cell>
          <cell r="BR269">
            <v>64.318638572045884</v>
          </cell>
          <cell r="BS269">
            <v>62.710672607744733</v>
          </cell>
        </row>
        <row r="271">
          <cell r="A271" t="str">
            <v>ESTIMATED AVERAGE LIFE</v>
          </cell>
          <cell r="B271">
            <v>10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AQ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row>
        <row r="272">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cell r="BM272">
            <v>0</v>
          </cell>
          <cell r="BN272">
            <v>0</v>
          </cell>
          <cell r="BO272">
            <v>0</v>
          </cell>
          <cell r="BP272">
            <v>0</v>
          </cell>
          <cell r="BQ272">
            <v>0</v>
          </cell>
          <cell r="BR272">
            <v>0</v>
          </cell>
          <cell r="BS272">
            <v>0</v>
          </cell>
        </row>
        <row r="273">
          <cell r="J273">
            <v>0</v>
          </cell>
          <cell r="K273">
            <v>0</v>
          </cell>
          <cell r="L273">
            <v>0</v>
          </cell>
          <cell r="M273">
            <v>0</v>
          </cell>
          <cell r="N273">
            <v>0</v>
          </cell>
          <cell r="O273">
            <v>0</v>
          </cell>
          <cell r="P273">
            <v>0</v>
          </cell>
          <cell r="Q273">
            <v>0</v>
          </cell>
          <cell r="R273">
            <v>0</v>
          </cell>
          <cell r="S273">
            <v>0</v>
          </cell>
          <cell r="T273">
            <v>0</v>
          </cell>
          <cell r="U273">
            <v>0</v>
          </cell>
          <cell r="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cell r="BM273">
            <v>0</v>
          </cell>
          <cell r="BN273">
            <v>0</v>
          </cell>
          <cell r="BO273">
            <v>0</v>
          </cell>
          <cell r="BP273">
            <v>0</v>
          </cell>
          <cell r="BQ273">
            <v>0</v>
          </cell>
          <cell r="BR273">
            <v>0</v>
          </cell>
          <cell r="BS273">
            <v>0</v>
          </cell>
        </row>
        <row r="274">
          <cell r="K274">
            <v>0</v>
          </cell>
          <cell r="L274">
            <v>0</v>
          </cell>
          <cell r="M274">
            <v>0</v>
          </cell>
          <cell r="N274">
            <v>0</v>
          </cell>
          <cell r="O274">
            <v>0</v>
          </cell>
          <cell r="P274">
            <v>0</v>
          </cell>
          <cell r="Q274">
            <v>0</v>
          </cell>
          <cell r="R274">
            <v>0</v>
          </cell>
          <cell r="S274">
            <v>0</v>
          </cell>
          <cell r="T274">
            <v>0</v>
          </cell>
          <cell r="U274">
            <v>0</v>
          </cell>
          <cell r="V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cell r="BM274">
            <v>0</v>
          </cell>
          <cell r="BN274">
            <v>0</v>
          </cell>
          <cell r="BO274">
            <v>0</v>
          </cell>
          <cell r="BP274">
            <v>0</v>
          </cell>
          <cell r="BQ274">
            <v>0</v>
          </cell>
          <cell r="BR274">
            <v>0</v>
          </cell>
          <cell r="BS274">
            <v>0</v>
          </cell>
        </row>
        <row r="275">
          <cell r="L275">
            <v>0</v>
          </cell>
          <cell r="M275">
            <v>0</v>
          </cell>
          <cell r="N275">
            <v>0</v>
          </cell>
          <cell r="O275">
            <v>0</v>
          </cell>
          <cell r="P275">
            <v>0</v>
          </cell>
          <cell r="Q275">
            <v>0</v>
          </cell>
          <cell r="R275">
            <v>0</v>
          </cell>
          <cell r="S275">
            <v>0</v>
          </cell>
          <cell r="T275">
            <v>0</v>
          </cell>
          <cell r="U275">
            <v>0</v>
          </cell>
          <cell r="V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cell r="BM275">
            <v>0</v>
          </cell>
          <cell r="BN275">
            <v>0</v>
          </cell>
          <cell r="BO275">
            <v>0</v>
          </cell>
          <cell r="BP275">
            <v>0</v>
          </cell>
          <cell r="BQ275">
            <v>0</v>
          </cell>
          <cell r="BR275">
            <v>0</v>
          </cell>
          <cell r="BS275">
            <v>0</v>
          </cell>
        </row>
        <row r="276">
          <cell r="M276">
            <v>0</v>
          </cell>
          <cell r="N276">
            <v>0</v>
          </cell>
          <cell r="O276">
            <v>39.799999999999997</v>
          </cell>
          <cell r="P276">
            <v>39.799999999999997</v>
          </cell>
          <cell r="Q276">
            <v>39.799999999999997</v>
          </cell>
          <cell r="R276">
            <v>39.799999999999997</v>
          </cell>
          <cell r="S276">
            <v>39.799999999999997</v>
          </cell>
          <cell r="T276">
            <v>39.799999999999997</v>
          </cell>
          <cell r="U276">
            <v>39.799999999999997</v>
          </cell>
          <cell r="V276">
            <v>39.799999999999997</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cell r="BM276">
            <v>0</v>
          </cell>
          <cell r="BN276">
            <v>0</v>
          </cell>
          <cell r="BO276">
            <v>0</v>
          </cell>
          <cell r="BP276">
            <v>0</v>
          </cell>
          <cell r="BQ276">
            <v>0</v>
          </cell>
          <cell r="BR276">
            <v>0</v>
          </cell>
          <cell r="BS276">
            <v>0</v>
          </cell>
        </row>
        <row r="277">
          <cell r="N277">
            <v>0</v>
          </cell>
          <cell r="O277">
            <v>40</v>
          </cell>
          <cell r="P277">
            <v>40</v>
          </cell>
          <cell r="Q277">
            <v>40</v>
          </cell>
          <cell r="R277">
            <v>40</v>
          </cell>
          <cell r="S277">
            <v>40</v>
          </cell>
          <cell r="T277">
            <v>40</v>
          </cell>
          <cell r="U277">
            <v>40</v>
          </cell>
          <cell r="V277">
            <v>40</v>
          </cell>
          <cell r="BA277">
            <v>0</v>
          </cell>
          <cell r="BB277">
            <v>0</v>
          </cell>
          <cell r="BC277">
            <v>0</v>
          </cell>
          <cell r="BD277">
            <v>0</v>
          </cell>
          <cell r="BE277">
            <v>0</v>
          </cell>
          <cell r="BF277">
            <v>0</v>
          </cell>
          <cell r="BG277">
            <v>0</v>
          </cell>
          <cell r="BH277">
            <v>0</v>
          </cell>
          <cell r="BI277">
            <v>0</v>
          </cell>
          <cell r="BJ277">
            <v>0</v>
          </cell>
          <cell r="BK277">
            <v>0</v>
          </cell>
          <cell r="BL277">
            <v>0</v>
          </cell>
          <cell r="BM277">
            <v>0</v>
          </cell>
          <cell r="BN277">
            <v>0</v>
          </cell>
          <cell r="BO277">
            <v>0</v>
          </cell>
          <cell r="BP277">
            <v>0</v>
          </cell>
          <cell r="BQ277">
            <v>0</v>
          </cell>
          <cell r="BR277">
            <v>0</v>
          </cell>
          <cell r="BS277">
            <v>0</v>
          </cell>
        </row>
        <row r="278">
          <cell r="O278">
            <v>19.05</v>
          </cell>
          <cell r="P278">
            <v>38.1</v>
          </cell>
          <cell r="Q278">
            <v>38.1</v>
          </cell>
          <cell r="R278">
            <v>38.1</v>
          </cell>
          <cell r="S278">
            <v>38.1</v>
          </cell>
          <cell r="T278">
            <v>38.1</v>
          </cell>
          <cell r="U278">
            <v>38.1</v>
          </cell>
          <cell r="V278">
            <v>38.1</v>
          </cell>
          <cell r="BB278">
            <v>0</v>
          </cell>
          <cell r="BC278">
            <v>0</v>
          </cell>
          <cell r="BD278">
            <v>0</v>
          </cell>
          <cell r="BE278">
            <v>0</v>
          </cell>
          <cell r="BF278">
            <v>0</v>
          </cell>
          <cell r="BG278">
            <v>0</v>
          </cell>
          <cell r="BH278">
            <v>0</v>
          </cell>
          <cell r="BI278">
            <v>0</v>
          </cell>
          <cell r="BJ278">
            <v>0</v>
          </cell>
          <cell r="BK278">
            <v>0</v>
          </cell>
          <cell r="BL278">
            <v>0</v>
          </cell>
          <cell r="BM278">
            <v>0</v>
          </cell>
          <cell r="BN278">
            <v>0</v>
          </cell>
          <cell r="BO278">
            <v>0</v>
          </cell>
          <cell r="BP278">
            <v>0</v>
          </cell>
          <cell r="BQ278">
            <v>0</v>
          </cell>
          <cell r="BR278">
            <v>0</v>
          </cell>
          <cell r="BS278">
            <v>0</v>
          </cell>
        </row>
        <row r="279">
          <cell r="P279">
            <v>19.05</v>
          </cell>
          <cell r="Q279">
            <v>38.1</v>
          </cell>
          <cell r="R279">
            <v>38.1</v>
          </cell>
          <cell r="S279">
            <v>38.1</v>
          </cell>
          <cell r="T279">
            <v>38.1</v>
          </cell>
          <cell r="U279">
            <v>38.1</v>
          </cell>
          <cell r="V279">
            <v>38.1</v>
          </cell>
          <cell r="BC279">
            <v>0</v>
          </cell>
          <cell r="BD279">
            <v>0</v>
          </cell>
          <cell r="BE279">
            <v>0</v>
          </cell>
          <cell r="BF279">
            <v>0</v>
          </cell>
          <cell r="BG279">
            <v>0</v>
          </cell>
          <cell r="BH279">
            <v>0</v>
          </cell>
          <cell r="BI279">
            <v>0</v>
          </cell>
          <cell r="BJ279">
            <v>0</v>
          </cell>
          <cell r="BK279">
            <v>0</v>
          </cell>
          <cell r="BL279">
            <v>0</v>
          </cell>
          <cell r="BM279">
            <v>0</v>
          </cell>
          <cell r="BN279">
            <v>0</v>
          </cell>
          <cell r="BO279">
            <v>0</v>
          </cell>
          <cell r="BP279">
            <v>0</v>
          </cell>
          <cell r="BQ279">
            <v>0</v>
          </cell>
          <cell r="BR279">
            <v>0</v>
          </cell>
          <cell r="BS279">
            <v>0</v>
          </cell>
        </row>
        <row r="280">
          <cell r="Q280">
            <v>19.05</v>
          </cell>
          <cell r="R280">
            <v>38.1</v>
          </cell>
          <cell r="S280">
            <v>38.1</v>
          </cell>
          <cell r="T280">
            <v>38.1</v>
          </cell>
          <cell r="U280">
            <v>38.1</v>
          </cell>
          <cell r="V280">
            <v>38.1</v>
          </cell>
          <cell r="BD280">
            <v>0</v>
          </cell>
          <cell r="BE280">
            <v>0</v>
          </cell>
          <cell r="BF280">
            <v>0</v>
          </cell>
          <cell r="BG280">
            <v>0</v>
          </cell>
          <cell r="BH280">
            <v>0</v>
          </cell>
          <cell r="BI280">
            <v>0</v>
          </cell>
          <cell r="BJ280">
            <v>0</v>
          </cell>
          <cell r="BK280">
            <v>0</v>
          </cell>
          <cell r="BL280">
            <v>0</v>
          </cell>
          <cell r="BM280">
            <v>0</v>
          </cell>
          <cell r="BN280">
            <v>0</v>
          </cell>
          <cell r="BO280">
            <v>0</v>
          </cell>
          <cell r="BP280">
            <v>0</v>
          </cell>
          <cell r="BQ280">
            <v>0</v>
          </cell>
          <cell r="BR280">
            <v>0</v>
          </cell>
          <cell r="BS280">
            <v>0</v>
          </cell>
        </row>
        <row r="281">
          <cell r="R281">
            <v>19.05</v>
          </cell>
          <cell r="S281">
            <v>38.1</v>
          </cell>
          <cell r="T281">
            <v>38.1</v>
          </cell>
          <cell r="U281">
            <v>38.1</v>
          </cell>
          <cell r="V281">
            <v>38.1</v>
          </cell>
          <cell r="BE281">
            <v>0</v>
          </cell>
          <cell r="BF281">
            <v>0</v>
          </cell>
          <cell r="BG281">
            <v>0</v>
          </cell>
          <cell r="BH281">
            <v>0</v>
          </cell>
          <cell r="BI281">
            <v>0</v>
          </cell>
          <cell r="BJ281">
            <v>0</v>
          </cell>
          <cell r="BK281">
            <v>0</v>
          </cell>
          <cell r="BL281">
            <v>0</v>
          </cell>
          <cell r="BM281">
            <v>0</v>
          </cell>
          <cell r="BN281">
            <v>0</v>
          </cell>
          <cell r="BO281">
            <v>0</v>
          </cell>
          <cell r="BP281">
            <v>0</v>
          </cell>
          <cell r="BQ281">
            <v>0</v>
          </cell>
          <cell r="BR281">
            <v>0</v>
          </cell>
          <cell r="BS281">
            <v>0</v>
          </cell>
        </row>
        <row r="282">
          <cell r="S282">
            <v>19.05</v>
          </cell>
          <cell r="T282">
            <v>38.1</v>
          </cell>
          <cell r="U282">
            <v>38.1</v>
          </cell>
          <cell r="V282">
            <v>38.1</v>
          </cell>
          <cell r="BF282">
            <v>0</v>
          </cell>
          <cell r="BG282">
            <v>0</v>
          </cell>
          <cell r="BH282">
            <v>0</v>
          </cell>
          <cell r="BI282">
            <v>0</v>
          </cell>
          <cell r="BJ282">
            <v>0</v>
          </cell>
          <cell r="BK282">
            <v>0</v>
          </cell>
          <cell r="BL282">
            <v>0</v>
          </cell>
          <cell r="BM282">
            <v>0</v>
          </cell>
          <cell r="BN282">
            <v>0</v>
          </cell>
          <cell r="BO282">
            <v>0</v>
          </cell>
          <cell r="BP282">
            <v>0</v>
          </cell>
          <cell r="BQ282">
            <v>0</v>
          </cell>
          <cell r="BR282">
            <v>0</v>
          </cell>
          <cell r="BS282">
            <v>0</v>
          </cell>
        </row>
        <row r="283">
          <cell r="T283">
            <v>19.05</v>
          </cell>
          <cell r="U283">
            <v>38.1</v>
          </cell>
          <cell r="V283">
            <v>38.1</v>
          </cell>
          <cell r="BG283">
            <v>0</v>
          </cell>
          <cell r="BH283">
            <v>0</v>
          </cell>
          <cell r="BI283">
            <v>0</v>
          </cell>
          <cell r="BJ283">
            <v>0</v>
          </cell>
          <cell r="BK283">
            <v>0</v>
          </cell>
          <cell r="BL283">
            <v>0</v>
          </cell>
          <cell r="BM283">
            <v>0</v>
          </cell>
          <cell r="BN283">
            <v>0</v>
          </cell>
          <cell r="BO283">
            <v>0</v>
          </cell>
          <cell r="BP283">
            <v>0</v>
          </cell>
          <cell r="BQ283">
            <v>0</v>
          </cell>
          <cell r="BR283">
            <v>0</v>
          </cell>
          <cell r="BS283">
            <v>0</v>
          </cell>
        </row>
        <row r="284">
          <cell r="U284">
            <v>19.05</v>
          </cell>
          <cell r="V284">
            <v>38.1</v>
          </cell>
          <cell r="BH284">
            <v>0</v>
          </cell>
          <cell r="BI284">
            <v>0</v>
          </cell>
          <cell r="BJ284">
            <v>0</v>
          </cell>
          <cell r="BK284">
            <v>0</v>
          </cell>
          <cell r="BL284">
            <v>0</v>
          </cell>
          <cell r="BM284">
            <v>0</v>
          </cell>
          <cell r="BN284">
            <v>0</v>
          </cell>
          <cell r="BO284">
            <v>0</v>
          </cell>
          <cell r="BP284">
            <v>0</v>
          </cell>
          <cell r="BQ284">
            <v>0</v>
          </cell>
          <cell r="BR284">
            <v>0</v>
          </cell>
          <cell r="BS284">
            <v>0</v>
          </cell>
        </row>
        <row r="285">
          <cell r="V285">
            <v>19.05</v>
          </cell>
          <cell r="BI285">
            <v>0</v>
          </cell>
          <cell r="BJ285">
            <v>0</v>
          </cell>
          <cell r="BK285">
            <v>0</v>
          </cell>
          <cell r="BL285">
            <v>0</v>
          </cell>
          <cell r="BM285">
            <v>0</v>
          </cell>
          <cell r="BN285">
            <v>0</v>
          </cell>
          <cell r="BO285">
            <v>0</v>
          </cell>
          <cell r="BP285">
            <v>0</v>
          </cell>
          <cell r="BQ285">
            <v>0</v>
          </cell>
          <cell r="BR285">
            <v>0</v>
          </cell>
          <cell r="BS285">
            <v>0</v>
          </cell>
        </row>
        <row r="286">
          <cell r="BJ286">
            <v>0</v>
          </cell>
          <cell r="BK286">
            <v>0</v>
          </cell>
          <cell r="BL286">
            <v>0</v>
          </cell>
          <cell r="BM286">
            <v>0</v>
          </cell>
          <cell r="BN286">
            <v>0</v>
          </cell>
          <cell r="BO286">
            <v>0</v>
          </cell>
          <cell r="BP286">
            <v>0</v>
          </cell>
          <cell r="BQ286">
            <v>0</v>
          </cell>
          <cell r="BR286">
            <v>0</v>
          </cell>
          <cell r="BS286">
            <v>0</v>
          </cell>
        </row>
        <row r="287">
          <cell r="BK287">
            <v>5.2750000000000004</v>
          </cell>
          <cell r="BL287">
            <v>10.55</v>
          </cell>
          <cell r="BM287">
            <v>10.55</v>
          </cell>
          <cell r="BN287">
            <v>10.55</v>
          </cell>
          <cell r="BO287">
            <v>10.55</v>
          </cell>
          <cell r="BP287">
            <v>10.55</v>
          </cell>
          <cell r="BQ287">
            <v>10.55</v>
          </cell>
          <cell r="BR287">
            <v>10.55</v>
          </cell>
          <cell r="BS287">
            <v>10.55</v>
          </cell>
        </row>
        <row r="288">
          <cell r="BL288">
            <v>1.2437499999999999</v>
          </cell>
          <cell r="BM288">
            <v>2.4874999999999998</v>
          </cell>
          <cell r="BN288">
            <v>2.4874999999999998</v>
          </cell>
          <cell r="BO288">
            <v>2.4874999999999998</v>
          </cell>
          <cell r="BP288">
            <v>2.4874999999999998</v>
          </cell>
          <cell r="BQ288">
            <v>2.4874999999999998</v>
          </cell>
          <cell r="BR288">
            <v>2.4874999999999998</v>
          </cell>
          <cell r="BS288">
            <v>2.4874999999999998</v>
          </cell>
        </row>
        <row r="289">
          <cell r="BM289">
            <v>1.2437499999999999</v>
          </cell>
          <cell r="BN289">
            <v>2.4874999999999998</v>
          </cell>
          <cell r="BO289">
            <v>2.4874999999999998</v>
          </cell>
          <cell r="BP289">
            <v>2.4874999999999998</v>
          </cell>
          <cell r="BQ289">
            <v>2.4874999999999998</v>
          </cell>
          <cell r="BR289">
            <v>2.4874999999999998</v>
          </cell>
          <cell r="BS289">
            <v>2.4874999999999998</v>
          </cell>
        </row>
        <row r="290">
          <cell r="BN290">
            <v>1.2437499999999999</v>
          </cell>
          <cell r="BO290">
            <v>2.4874999999999998</v>
          </cell>
          <cell r="BP290">
            <v>2.4874999999999998</v>
          </cell>
          <cell r="BQ290">
            <v>2.4874999999999998</v>
          </cell>
          <cell r="BR290">
            <v>2.4874999999999998</v>
          </cell>
          <cell r="BS290">
            <v>2.4874999999999998</v>
          </cell>
        </row>
        <row r="291">
          <cell r="BO291">
            <v>1.2437499999999999</v>
          </cell>
          <cell r="BP291">
            <v>2.4874999999999998</v>
          </cell>
          <cell r="BQ291">
            <v>2.4874999999999998</v>
          </cell>
          <cell r="BR291">
            <v>2.4874999999999998</v>
          </cell>
          <cell r="BS291">
            <v>2.4874999999999998</v>
          </cell>
        </row>
        <row r="292">
          <cell r="BP292">
            <v>1.25</v>
          </cell>
          <cell r="BQ292">
            <v>2.5</v>
          </cell>
          <cell r="BR292">
            <v>2.5</v>
          </cell>
          <cell r="BS292">
            <v>2.5</v>
          </cell>
        </row>
        <row r="293">
          <cell r="BQ293">
            <v>1.25</v>
          </cell>
          <cell r="BR293">
            <v>2.5</v>
          </cell>
          <cell r="BS293">
            <v>2.5</v>
          </cell>
        </row>
        <row r="294">
          <cell r="BR294">
            <v>1.25</v>
          </cell>
          <cell r="BS294">
            <v>2.5</v>
          </cell>
        </row>
        <row r="295">
          <cell r="BS295">
            <v>1.25</v>
          </cell>
        </row>
        <row r="297">
          <cell r="A297" t="str">
            <v>Adjustment</v>
          </cell>
          <cell r="L297">
            <v>65.2</v>
          </cell>
          <cell r="M297">
            <v>80</v>
          </cell>
          <cell r="N297">
            <v>80</v>
          </cell>
          <cell r="O297">
            <v>100</v>
          </cell>
          <cell r="P297">
            <v>100</v>
          </cell>
          <cell r="Q297">
            <v>100</v>
          </cell>
          <cell r="R297">
            <v>100</v>
          </cell>
          <cell r="S297">
            <v>100</v>
          </cell>
          <cell r="T297">
            <v>100</v>
          </cell>
          <cell r="U297">
            <v>100</v>
          </cell>
          <cell r="V297">
            <v>100</v>
          </cell>
          <cell r="BH297">
            <v>15.2</v>
          </cell>
          <cell r="BI297">
            <v>15</v>
          </cell>
          <cell r="BJ297">
            <v>15</v>
          </cell>
          <cell r="BK297">
            <v>20</v>
          </cell>
          <cell r="BL297">
            <v>20</v>
          </cell>
          <cell r="BM297">
            <v>20</v>
          </cell>
          <cell r="BN297">
            <v>20</v>
          </cell>
          <cell r="BO297">
            <v>20</v>
          </cell>
          <cell r="BP297">
            <v>20</v>
          </cell>
          <cell r="BQ297">
            <v>20</v>
          </cell>
          <cell r="BR297">
            <v>20</v>
          </cell>
          <cell r="BS297">
            <v>20</v>
          </cell>
        </row>
        <row r="298">
          <cell r="A298" t="str">
            <v>Depreciation</v>
          </cell>
          <cell r="L298">
            <v>383.54182624999999</v>
          </cell>
          <cell r="M298">
            <v>430.53637906825242</v>
          </cell>
          <cell r="N298">
            <v>442.65646297970181</v>
          </cell>
          <cell r="O298">
            <v>433.44081668173169</v>
          </cell>
          <cell r="P298">
            <v>448.08173501355856</v>
          </cell>
          <cell r="Q298">
            <v>465.06856151220273</v>
          </cell>
          <cell r="R298">
            <v>484.16670536098252</v>
          </cell>
          <cell r="S298">
            <v>505.16503482488429</v>
          </cell>
          <cell r="T298">
            <v>527.87353134239584</v>
          </cell>
          <cell r="U298">
            <v>552.12117820815638</v>
          </cell>
          <cell r="V298">
            <v>577.7540603873407</v>
          </cell>
          <cell r="BH298">
            <v>93.958950000000002</v>
          </cell>
          <cell r="BI298">
            <v>93.758949999999999</v>
          </cell>
          <cell r="BJ298">
            <v>93.758949999999999</v>
          </cell>
          <cell r="BK298">
            <v>102.06497625</v>
          </cell>
          <cell r="BL298">
            <v>106.66397684374999</v>
          </cell>
          <cell r="BM298">
            <v>107.27972117265624</v>
          </cell>
          <cell r="BN298">
            <v>107.94225939333982</v>
          </cell>
          <cell r="BO298">
            <v>108.65042165850632</v>
          </cell>
          <cell r="BP298">
            <v>109.40931736704366</v>
          </cell>
          <cell r="BQ298">
            <v>110.21783443286756</v>
          </cell>
          <cell r="BR298">
            <v>111.06863857204587</v>
          </cell>
          <cell r="BS298">
            <v>111.96067260774473</v>
          </cell>
        </row>
        <row r="299">
          <cell r="A299" t="str">
            <v>Capex to Depreciation</v>
          </cell>
          <cell r="L299">
            <v>2.1354359393025915</v>
          </cell>
          <cell r="M299">
            <v>0.92442826982782222</v>
          </cell>
          <cell r="N299">
            <v>0.90363528707439689</v>
          </cell>
          <cell r="O299">
            <v>0.87901274023245002</v>
          </cell>
          <cell r="P299">
            <v>0.8502912978331314</v>
          </cell>
          <cell r="Q299">
            <v>0.81923404747281137</v>
          </cell>
          <cell r="R299">
            <v>0.78691904210128616</v>
          </cell>
          <cell r="S299">
            <v>0.75420896882159283</v>
          </cell>
          <cell r="T299">
            <v>0.72176378882098391</v>
          </cell>
          <cell r="U299">
            <v>0.69006590407651125</v>
          </cell>
          <cell r="V299">
            <v>0.65945014690951387</v>
          </cell>
          <cell r="BH299">
            <v>1.0413270901814036</v>
          </cell>
          <cell r="BI299">
            <v>1.4791014617804488</v>
          </cell>
          <cell r="BJ299">
            <v>1.7119219018557696</v>
          </cell>
          <cell r="BK299">
            <v>4.1346210571425086</v>
          </cell>
          <cell r="BL299">
            <v>0.93283602340981187</v>
          </cell>
          <cell r="BM299">
            <v>0.92748190349846704</v>
          </cell>
          <cell r="BN299">
            <v>0.92178911724854329</v>
          </cell>
          <cell r="BO299">
            <v>0.91578107550041044</v>
          </cell>
          <cell r="BP299">
            <v>0.91399893908964347</v>
          </cell>
          <cell r="BQ299">
            <v>0.90729418260262473</v>
          </cell>
          <cell r="BR299">
            <v>0.90034415912223431</v>
          </cell>
          <cell r="BS299">
            <v>0.8931707685461211</v>
          </cell>
        </row>
        <row r="300">
          <cell r="A300" t="str">
            <v>Estimated Annualized Average Life</v>
          </cell>
          <cell r="L300">
            <v>8.2138577448044376</v>
          </cell>
          <cell r="M300">
            <v>7.3172864202970818</v>
          </cell>
          <cell r="N300">
            <v>7.116936639292808</v>
          </cell>
          <cell r="O300">
            <v>7.2682541162551733</v>
          </cell>
          <cell r="P300">
            <v>7.0307663844067942</v>
          </cell>
          <cell r="Q300">
            <v>6.7739646596544656</v>
          </cell>
          <cell r="R300">
            <v>6.5067629911709286</v>
          </cell>
          <cell r="S300">
            <v>6.2362946419917469</v>
          </cell>
          <cell r="T300">
            <v>5.9680166042585228</v>
          </cell>
          <cell r="U300">
            <v>5.7059176940542518</v>
          </cell>
          <cell r="V300">
            <v>5.4527665247180117</v>
          </cell>
        </row>
        <row r="302">
          <cell r="A302" t="str">
            <v>Amortization</v>
          </cell>
        </row>
        <row r="303">
          <cell r="A303" t="str">
            <v>Acquired network locations</v>
          </cell>
          <cell r="J303">
            <v>1105.3969999999999</v>
          </cell>
          <cell r="K303">
            <v>1301.2080000000001</v>
          </cell>
        </row>
        <row r="304">
          <cell r="A304" t="str">
            <v>Acquired customer base</v>
          </cell>
          <cell r="J304">
            <v>756.928</v>
          </cell>
          <cell r="K304">
            <v>750.10400000000004</v>
          </cell>
        </row>
        <row r="305">
          <cell r="A305" t="str">
            <v>Acquired customer relationships</v>
          </cell>
          <cell r="J305">
            <v>875.31799999999998</v>
          </cell>
          <cell r="K305">
            <v>1209.2919999999999</v>
          </cell>
        </row>
        <row r="306">
          <cell r="A306" t="str">
            <v>Acquired licenses and other intangibles</v>
          </cell>
          <cell r="J306">
            <v>21.574000000000002</v>
          </cell>
          <cell r="K306">
            <v>21.600999999999999</v>
          </cell>
        </row>
        <row r="307">
          <cell r="A307" t="str">
            <v>Economic Rights, TV Azteca</v>
          </cell>
          <cell r="J307">
            <v>30.292000000000002</v>
          </cell>
          <cell r="K307">
            <v>30.292000000000002</v>
          </cell>
        </row>
        <row r="308">
          <cell r="A308" t="str">
            <v>Gross Intangible Assets</v>
          </cell>
          <cell r="J308">
            <v>2789.509</v>
          </cell>
          <cell r="K308">
            <v>3312.4969999999998</v>
          </cell>
        </row>
        <row r="310">
          <cell r="A310" t="str">
            <v>Accumulated Amortization</v>
          </cell>
          <cell r="J310">
            <v>1238.579</v>
          </cell>
          <cell r="K310">
            <v>1374.059</v>
          </cell>
        </row>
        <row r="311">
          <cell r="A311" t="str">
            <v>Net Intangible Assets</v>
          </cell>
          <cell r="J311">
            <v>1550.93</v>
          </cell>
          <cell r="K311">
            <v>1938.4379999999999</v>
          </cell>
        </row>
        <row r="313">
          <cell r="A313" t="str">
            <v>Amortization</v>
          </cell>
          <cell r="L313">
            <v>164.21700000000001</v>
          </cell>
          <cell r="M313">
            <v>164.21700000000001</v>
          </cell>
          <cell r="N313">
            <v>164.21700000000001</v>
          </cell>
          <cell r="O313">
            <v>145.04499999999999</v>
          </cell>
          <cell r="P313">
            <v>129.59</v>
          </cell>
          <cell r="Q313">
            <v>118.79083333333332</v>
          </cell>
          <cell r="R313">
            <v>108.89159722222222</v>
          </cell>
          <cell r="S313">
            <v>99.817297453703688</v>
          </cell>
          <cell r="T313">
            <v>91.499189332561713</v>
          </cell>
          <cell r="U313">
            <v>83.874256888181563</v>
          </cell>
          <cell r="V313">
            <v>76.8847354808331</v>
          </cell>
          <cell r="BH313">
            <v>37.272049999999993</v>
          </cell>
          <cell r="BI313">
            <v>44.799049999999994</v>
          </cell>
          <cell r="BJ313">
            <v>48.354050000000001</v>
          </cell>
          <cell r="BK313">
            <v>33.791850000000025</v>
          </cell>
          <cell r="BL313">
            <v>41.054250000000003</v>
          </cell>
          <cell r="BM313">
            <v>41.054250000000003</v>
          </cell>
          <cell r="BN313">
            <v>41.054250000000003</v>
          </cell>
          <cell r="BO313">
            <v>41.054250000000003</v>
          </cell>
          <cell r="BP313">
            <v>41.054250000000003</v>
          </cell>
          <cell r="BQ313">
            <v>41.054250000000003</v>
          </cell>
          <cell r="BR313">
            <v>41.054250000000003</v>
          </cell>
          <cell r="BS313">
            <v>41.054250000000003</v>
          </cell>
        </row>
        <row r="315">
          <cell r="A315" t="str">
            <v>ESTIMATED AVERAGE LIFE</v>
          </cell>
          <cell r="B315">
            <v>12</v>
          </cell>
        </row>
        <row r="318">
          <cell r="A318" t="str">
            <v>Total D&amp;A</v>
          </cell>
          <cell r="I318">
            <v>405.33199999999999</v>
          </cell>
          <cell r="J318">
            <v>414.61900000000003</v>
          </cell>
          <cell r="K318">
            <v>460.726</v>
          </cell>
          <cell r="L318">
            <v>547.75882624999997</v>
          </cell>
          <cell r="M318">
            <v>594.75337906825246</v>
          </cell>
          <cell r="N318">
            <v>606.8734629797018</v>
          </cell>
          <cell r="O318">
            <v>578.48581668173165</v>
          </cell>
          <cell r="P318">
            <v>577.67173501355853</v>
          </cell>
          <cell r="Q318">
            <v>583.85939484553603</v>
          </cell>
          <cell r="R318">
            <v>593.05830258320475</v>
          </cell>
          <cell r="S318">
            <v>604.98233227858793</v>
          </cell>
          <cell r="T318">
            <v>619.37272067495758</v>
          </cell>
          <cell r="U318">
            <v>635.99543509633793</v>
          </cell>
          <cell r="V318">
            <v>654.63879586817382</v>
          </cell>
          <cell r="BH318">
            <v>131.23099999999999</v>
          </cell>
          <cell r="BI318">
            <v>138.55799999999999</v>
          </cell>
          <cell r="BJ318">
            <v>142.113</v>
          </cell>
          <cell r="BK318">
            <v>135.85682625000004</v>
          </cell>
          <cell r="BL318">
            <v>147.71822684374999</v>
          </cell>
          <cell r="BM318">
            <v>148.33397117265625</v>
          </cell>
          <cell r="BN318">
            <v>148.99650939333984</v>
          </cell>
          <cell r="BO318">
            <v>149.70467165850633</v>
          </cell>
          <cell r="BP318">
            <v>150.46356736704365</v>
          </cell>
          <cell r="BQ318">
            <v>151.27208443286756</v>
          </cell>
          <cell r="BR318">
            <v>152.12288857204587</v>
          </cell>
          <cell r="BS318">
            <v>153.01492260774472</v>
          </cell>
        </row>
        <row r="320">
          <cell r="D320" t="str">
            <v>2003-FY</v>
          </cell>
          <cell r="E320" t="str">
            <v>2004-FY</v>
          </cell>
          <cell r="F320" t="str">
            <v>2005-FY</v>
          </cell>
          <cell r="G320" t="str">
            <v>2006-FY</v>
          </cell>
          <cell r="H320" t="str">
            <v>2007-FY</v>
          </cell>
          <cell r="I320" t="str">
            <v>2008-FY</v>
          </cell>
          <cell r="J320" t="str">
            <v>2009-FY</v>
          </cell>
          <cell r="K320" t="str">
            <v>2010-FY</v>
          </cell>
          <cell r="L320" t="str">
            <v>2011-FY</v>
          </cell>
          <cell r="M320" t="str">
            <v>2012-FY</v>
          </cell>
          <cell r="N320" t="str">
            <v>2013-FY</v>
          </cell>
          <cell r="O320" t="str">
            <v>2014-FY</v>
          </cell>
          <cell r="P320" t="str">
            <v>2015-FY</v>
          </cell>
          <cell r="Q320" t="str">
            <v>2016-FY</v>
          </cell>
          <cell r="R320" t="str">
            <v>2017-FY</v>
          </cell>
          <cell r="S320" t="str">
            <v>2018-FY</v>
          </cell>
          <cell r="T320" t="str">
            <v>2019-FY</v>
          </cell>
          <cell r="U320" t="str">
            <v>2020-FY</v>
          </cell>
          <cell r="V320" t="str">
            <v>2021-FY</v>
          </cell>
          <cell r="AB320" t="str">
            <v>2003-Q1</v>
          </cell>
          <cell r="AC320" t="str">
            <v>2003-Q2</v>
          </cell>
          <cell r="AD320" t="str">
            <v>2003-Q3</v>
          </cell>
          <cell r="AE320" t="str">
            <v>2003-Q4</v>
          </cell>
          <cell r="AF320" t="str">
            <v>2004-Q1</v>
          </cell>
          <cell r="AG320" t="str">
            <v>2004-Q2</v>
          </cell>
          <cell r="AH320" t="str">
            <v>2004-Q3</v>
          </cell>
          <cell r="AI320" t="str">
            <v>2004-Q4</v>
          </cell>
          <cell r="AJ320" t="str">
            <v>2005-Q1</v>
          </cell>
          <cell r="AK320" t="str">
            <v>2005-Q2</v>
          </cell>
          <cell r="AL320" t="str">
            <v>2005-Q3</v>
          </cell>
          <cell r="AM320" t="str">
            <v>2005-Q4</v>
          </cell>
          <cell r="AN320" t="str">
            <v>2006-Q1</v>
          </cell>
          <cell r="AO320" t="str">
            <v>2006-Q2</v>
          </cell>
          <cell r="AP320" t="str">
            <v>2006-Q3</v>
          </cell>
          <cell r="AQ320" t="str">
            <v>2006-Q4</v>
          </cell>
          <cell r="AR320" t="str">
            <v>2007-Q1</v>
          </cell>
          <cell r="AS320" t="str">
            <v>2007-Q2</v>
          </cell>
          <cell r="AT320" t="str">
            <v>2007-Q3</v>
          </cell>
          <cell r="AU320" t="str">
            <v>2007-Q4</v>
          </cell>
          <cell r="AV320" t="str">
            <v>2008-Q1</v>
          </cell>
          <cell r="AW320" t="str">
            <v>2008-Q2</v>
          </cell>
          <cell r="AX320" t="str">
            <v>2008-Q3</v>
          </cell>
          <cell r="AY320" t="str">
            <v>2008-Q4</v>
          </cell>
          <cell r="AZ320" t="str">
            <v>2009-Q1</v>
          </cell>
          <cell r="BA320" t="str">
            <v>2009-Q2</v>
          </cell>
          <cell r="BB320" t="str">
            <v>2009-Q3</v>
          </cell>
          <cell r="BC320" t="str">
            <v>2009-Q4</v>
          </cell>
          <cell r="BD320" t="str">
            <v>2010-Q1</v>
          </cell>
          <cell r="BE320" t="str">
            <v>2010-Q2</v>
          </cell>
          <cell r="BF320" t="str">
            <v>2010-Q3</v>
          </cell>
          <cell r="BG320" t="str">
            <v>2010-Q4</v>
          </cell>
          <cell r="BH320" t="str">
            <v>2011-Q1</v>
          </cell>
          <cell r="BI320" t="str">
            <v>2011-Q2</v>
          </cell>
          <cell r="BJ320" t="str">
            <v>2011-Q3</v>
          </cell>
          <cell r="BK320" t="str">
            <v>2011-Q4</v>
          </cell>
          <cell r="BL320" t="str">
            <v>2012-Q1</v>
          </cell>
          <cell r="BM320" t="str">
            <v>2012-Q2</v>
          </cell>
          <cell r="BN320" t="str">
            <v>2012-Q3</v>
          </cell>
          <cell r="BO320" t="str">
            <v>2012-Q4</v>
          </cell>
          <cell r="BP320" t="str">
            <v>2013-Q1</v>
          </cell>
          <cell r="BQ320" t="str">
            <v>2013-Q2</v>
          </cell>
          <cell r="BR320" t="str">
            <v>2013-Q3</v>
          </cell>
          <cell r="BS320" t="str">
            <v>2013-Q4</v>
          </cell>
        </row>
      </sheetData>
      <sheetData sheetId="4" refreshError="1">
        <row r="1">
          <cell r="A1" t="str">
            <v>Simon Flannery / simon.flannery@morganstanley.com / 212-761-6432</v>
          </cell>
          <cell r="D1" t="str">
            <v>AMT</v>
          </cell>
          <cell r="E1">
            <v>37987</v>
          </cell>
          <cell r="F1">
            <v>38353</v>
          </cell>
          <cell r="G1">
            <v>38718</v>
          </cell>
          <cell r="H1">
            <v>39083</v>
          </cell>
          <cell r="I1">
            <v>39448</v>
          </cell>
          <cell r="J1">
            <v>39814</v>
          </cell>
          <cell r="K1">
            <v>40179</v>
          </cell>
          <cell r="L1">
            <v>40544</v>
          </cell>
          <cell r="X1">
            <v>37257</v>
          </cell>
          <cell r="Y1">
            <v>37347</v>
          </cell>
          <cell r="Z1">
            <v>37438</v>
          </cell>
          <cell r="AA1">
            <v>37530</v>
          </cell>
          <cell r="AB1">
            <v>37622</v>
          </cell>
          <cell r="AC1">
            <v>37712</v>
          </cell>
          <cell r="AD1">
            <v>37803</v>
          </cell>
          <cell r="AE1">
            <v>37895</v>
          </cell>
          <cell r="AF1">
            <v>37987</v>
          </cell>
          <cell r="AG1">
            <v>38078</v>
          </cell>
          <cell r="AH1">
            <v>38169</v>
          </cell>
          <cell r="AI1">
            <v>38261</v>
          </cell>
          <cell r="AJ1">
            <v>38353</v>
          </cell>
          <cell r="AK1">
            <v>38443</v>
          </cell>
          <cell r="AL1">
            <v>38534</v>
          </cell>
          <cell r="AM1">
            <v>38626</v>
          </cell>
          <cell r="AN1">
            <v>38718</v>
          </cell>
          <cell r="AO1">
            <v>38808</v>
          </cell>
          <cell r="AP1">
            <v>38899</v>
          </cell>
          <cell r="AQ1">
            <v>38991</v>
          </cell>
          <cell r="AR1">
            <v>39083</v>
          </cell>
          <cell r="AS1">
            <v>39173</v>
          </cell>
          <cell r="AT1">
            <v>39264</v>
          </cell>
          <cell r="AU1">
            <v>39356</v>
          </cell>
          <cell r="AV1">
            <v>39448</v>
          </cell>
          <cell r="AW1">
            <v>39539</v>
          </cell>
          <cell r="AX1">
            <v>39630</v>
          </cell>
          <cell r="AY1">
            <v>39722</v>
          </cell>
          <cell r="AZ1">
            <v>39814</v>
          </cell>
          <cell r="BA1">
            <v>39904</v>
          </cell>
          <cell r="BB1">
            <v>39995</v>
          </cell>
          <cell r="BC1">
            <v>40087</v>
          </cell>
          <cell r="BD1">
            <v>40179</v>
          </cell>
          <cell r="BE1">
            <v>40269</v>
          </cell>
          <cell r="BF1">
            <v>40360</v>
          </cell>
          <cell r="BG1">
            <v>40452</v>
          </cell>
          <cell r="BH1">
            <v>40544</v>
          </cell>
          <cell r="BI1">
            <v>40634</v>
          </cell>
          <cell r="BJ1">
            <v>40725</v>
          </cell>
          <cell r="BK1">
            <v>40817</v>
          </cell>
          <cell r="BU1" t="str">
            <v>ElementName</v>
          </cell>
          <cell r="BV1" t="str">
            <v>ScaleOverride</v>
          </cell>
          <cell r="BW1" t="str">
            <v>UnitOverride</v>
          </cell>
          <cell r="BX1" t="str">
            <v>ReverseSign</v>
          </cell>
          <cell r="BY1" t="str">
            <v>IsDrivingAssumption</v>
          </cell>
          <cell r="BZ1" t="str">
            <v>SegmentID</v>
          </cell>
        </row>
        <row r="2">
          <cell r="A2" t="str">
            <v>American Tower</v>
          </cell>
          <cell r="E2">
            <v>38352</v>
          </cell>
          <cell r="F2">
            <v>38717</v>
          </cell>
          <cell r="G2">
            <v>39082</v>
          </cell>
          <cell r="H2">
            <v>39447</v>
          </cell>
          <cell r="I2">
            <v>39813</v>
          </cell>
          <cell r="J2">
            <v>40178</v>
          </cell>
          <cell r="K2">
            <v>40543</v>
          </cell>
          <cell r="L2">
            <v>40908</v>
          </cell>
          <cell r="X2">
            <v>37346</v>
          </cell>
          <cell r="Y2">
            <v>37437</v>
          </cell>
          <cell r="Z2">
            <v>37529</v>
          </cell>
          <cell r="AA2">
            <v>37621</v>
          </cell>
          <cell r="AB2">
            <v>37711</v>
          </cell>
          <cell r="AC2">
            <v>37802</v>
          </cell>
          <cell r="AD2">
            <v>37894</v>
          </cell>
          <cell r="AE2">
            <v>37986</v>
          </cell>
          <cell r="AF2">
            <v>38077</v>
          </cell>
          <cell r="AG2">
            <v>38168</v>
          </cell>
          <cell r="AH2">
            <v>38260</v>
          </cell>
          <cell r="AI2">
            <v>38352</v>
          </cell>
          <cell r="AJ2">
            <v>38442</v>
          </cell>
          <cell r="AK2">
            <v>38533</v>
          </cell>
          <cell r="AL2">
            <v>38625</v>
          </cell>
          <cell r="AM2">
            <v>38717</v>
          </cell>
          <cell r="AN2">
            <v>38807</v>
          </cell>
          <cell r="AO2">
            <v>38898</v>
          </cell>
          <cell r="AP2">
            <v>38990</v>
          </cell>
          <cell r="AQ2">
            <v>39082</v>
          </cell>
          <cell r="AR2">
            <v>39172</v>
          </cell>
          <cell r="AS2">
            <v>39263</v>
          </cell>
          <cell r="AT2">
            <v>39355</v>
          </cell>
          <cell r="AU2">
            <v>39447</v>
          </cell>
          <cell r="AV2">
            <v>39538</v>
          </cell>
          <cell r="AW2">
            <v>39629</v>
          </cell>
          <cell r="AX2">
            <v>39721</v>
          </cell>
          <cell r="AY2">
            <v>39813</v>
          </cell>
          <cell r="AZ2">
            <v>39903</v>
          </cell>
          <cell r="BA2">
            <v>39994</v>
          </cell>
          <cell r="BB2">
            <v>40086</v>
          </cell>
          <cell r="BC2">
            <v>40178</v>
          </cell>
          <cell r="BD2">
            <v>40268</v>
          </cell>
          <cell r="BE2">
            <v>40359</v>
          </cell>
          <cell r="BF2">
            <v>40451</v>
          </cell>
          <cell r="BG2">
            <v>40543</v>
          </cell>
          <cell r="BH2">
            <v>40633</v>
          </cell>
          <cell r="BI2">
            <v>40724</v>
          </cell>
          <cell r="BJ2">
            <v>40816</v>
          </cell>
          <cell r="BK2">
            <v>40908</v>
          </cell>
        </row>
        <row r="3">
          <cell r="A3" t="str">
            <v>Statement of Cash Flows</v>
          </cell>
        </row>
        <row r="8">
          <cell r="A8" t="str">
            <v>Fiscal Year Ending December 31</v>
          </cell>
          <cell r="G8" t="str">
            <v>Calendar Year</v>
          </cell>
          <cell r="X8" t="str">
            <v>2002A</v>
          </cell>
          <cell r="AB8" t="str">
            <v>2003A</v>
          </cell>
          <cell r="AF8" t="str">
            <v>2004A</v>
          </cell>
          <cell r="AJ8" t="str">
            <v>2005A</v>
          </cell>
          <cell r="AN8" t="str">
            <v>2006A</v>
          </cell>
          <cell r="AR8" t="str">
            <v>2007A</v>
          </cell>
          <cell r="AV8" t="str">
            <v>2008A</v>
          </cell>
          <cell r="AZ8" t="str">
            <v>2009A</v>
          </cell>
          <cell r="BD8" t="str">
            <v>2010A</v>
          </cell>
          <cell r="BH8" t="str">
            <v>2011E</v>
          </cell>
          <cell r="BL8" t="str">
            <v>2012E</v>
          </cell>
          <cell r="BP8" t="str">
            <v>2013E</v>
          </cell>
        </row>
        <row r="9">
          <cell r="C9" t="str">
            <v>2002A</v>
          </cell>
          <cell r="D9" t="str">
            <v>2003A</v>
          </cell>
          <cell r="E9" t="str">
            <v>2004A</v>
          </cell>
          <cell r="F9" t="str">
            <v>2005A</v>
          </cell>
          <cell r="G9" t="str">
            <v>2006A</v>
          </cell>
          <cell r="H9" t="str">
            <v>2007A</v>
          </cell>
          <cell r="I9" t="str">
            <v>2008A</v>
          </cell>
          <cell r="J9" t="str">
            <v>2009A</v>
          </cell>
          <cell r="K9" t="str">
            <v>2010A</v>
          </cell>
          <cell r="L9" t="str">
            <v>2011E</v>
          </cell>
          <cell r="M9" t="str">
            <v>2012E</v>
          </cell>
          <cell r="N9" t="str">
            <v>2013E</v>
          </cell>
          <cell r="O9" t="str">
            <v>2014E</v>
          </cell>
          <cell r="P9" t="str">
            <v>2015E</v>
          </cell>
          <cell r="Q9" t="str">
            <v>2016E</v>
          </cell>
          <cell r="R9" t="str">
            <v>2017E</v>
          </cell>
          <cell r="S9" t="str">
            <v>2018E</v>
          </cell>
          <cell r="T9" t="str">
            <v>2019E</v>
          </cell>
          <cell r="U9" t="str">
            <v>2020E</v>
          </cell>
          <cell r="V9" t="str">
            <v>2021E</v>
          </cell>
          <cell r="X9" t="str">
            <v>Mar</v>
          </cell>
          <cell r="Y9" t="str">
            <v>Jun</v>
          </cell>
          <cell r="Z9" t="str">
            <v>Sep</v>
          </cell>
          <cell r="AA9" t="str">
            <v>Dec</v>
          </cell>
          <cell r="AB9" t="str">
            <v>Mar</v>
          </cell>
          <cell r="AC9" t="str">
            <v>Jun</v>
          </cell>
          <cell r="AD9" t="str">
            <v>Sep</v>
          </cell>
          <cell r="AE9" t="str">
            <v>Dec</v>
          </cell>
          <cell r="AF9" t="str">
            <v>Mar</v>
          </cell>
          <cell r="AG9" t="str">
            <v>Jun</v>
          </cell>
          <cell r="AH9" t="str">
            <v>Sep</v>
          </cell>
          <cell r="AI9" t="str">
            <v>Dec</v>
          </cell>
          <cell r="AJ9" t="str">
            <v>Mar</v>
          </cell>
          <cell r="AK9" t="str">
            <v>Jun</v>
          </cell>
          <cell r="AL9" t="str">
            <v>Sep</v>
          </cell>
          <cell r="AM9" t="str">
            <v>Dec</v>
          </cell>
          <cell r="AN9" t="str">
            <v>Mar</v>
          </cell>
          <cell r="AO9" t="str">
            <v>Jun</v>
          </cell>
          <cell r="AP9" t="str">
            <v>Sep</v>
          </cell>
          <cell r="AQ9" t="str">
            <v>Dec</v>
          </cell>
          <cell r="AR9" t="str">
            <v>Mar</v>
          </cell>
          <cell r="AS9" t="str">
            <v>Jun</v>
          </cell>
          <cell r="AT9" t="str">
            <v>Sep</v>
          </cell>
          <cell r="AU9" t="str">
            <v>Dec</v>
          </cell>
          <cell r="AV9" t="str">
            <v>Mar</v>
          </cell>
          <cell r="AW9" t="str">
            <v>Jun</v>
          </cell>
          <cell r="AX9" t="str">
            <v>Sep</v>
          </cell>
          <cell r="AY9" t="str">
            <v>Dec</v>
          </cell>
          <cell r="AZ9" t="str">
            <v>Mar</v>
          </cell>
          <cell r="BA9" t="str">
            <v>Jun</v>
          </cell>
          <cell r="BB9" t="str">
            <v>Sep</v>
          </cell>
          <cell r="BC9" t="str">
            <v>Dec</v>
          </cell>
          <cell r="BD9" t="str">
            <v>Mar</v>
          </cell>
          <cell r="BE9" t="str">
            <v>Jun</v>
          </cell>
          <cell r="BF9" t="str">
            <v>Sep</v>
          </cell>
          <cell r="BG9" t="str">
            <v>Dec</v>
          </cell>
          <cell r="BH9" t="str">
            <v>Mar (A)</v>
          </cell>
          <cell r="BI9" t="str">
            <v>Jun (A)</v>
          </cell>
          <cell r="BJ9" t="str">
            <v>Sep (A)</v>
          </cell>
          <cell r="BK9" t="str">
            <v>Dec</v>
          </cell>
          <cell r="BL9" t="str">
            <v>Mar</v>
          </cell>
          <cell r="BM9" t="str">
            <v>Jun</v>
          </cell>
          <cell r="BN9" t="str">
            <v>Sep</v>
          </cell>
          <cell r="BO9" t="str">
            <v>Dec</v>
          </cell>
          <cell r="BP9" t="str">
            <v>Mar</v>
          </cell>
          <cell r="BQ9" t="str">
            <v>Jun</v>
          </cell>
          <cell r="BR9" t="str">
            <v>Sep</v>
          </cell>
          <cell r="BS9" t="str">
            <v>Dec</v>
          </cell>
        </row>
        <row r="10">
          <cell r="A10" t="str">
            <v>Cash Flows From Operations</v>
          </cell>
        </row>
        <row r="11">
          <cell r="A11" t="str">
            <v xml:space="preserve">  Net Profit (Loss)</v>
          </cell>
          <cell r="C11">
            <v>-1141.8780000000002</v>
          </cell>
          <cell r="D11">
            <v>-325.32100000000003</v>
          </cell>
          <cell r="E11">
            <v>-247.58699999999999</v>
          </cell>
          <cell r="F11">
            <v>-181.35900000000001</v>
          </cell>
          <cell r="G11">
            <v>27.484000000000016</v>
          </cell>
          <cell r="H11">
            <v>56.31599999999991</v>
          </cell>
          <cell r="I11">
            <v>347.41500000000008</v>
          </cell>
          <cell r="J11">
            <v>246.59499999999989</v>
          </cell>
          <cell r="K11">
            <v>373.60600000000005</v>
          </cell>
          <cell r="L11">
            <v>296.54181987126066</v>
          </cell>
          <cell r="M11">
            <v>806.5908415718759</v>
          </cell>
          <cell r="N11">
            <v>997.39192230143681</v>
          </cell>
          <cell r="O11">
            <v>1105.71089616122</v>
          </cell>
          <cell r="P11">
            <v>1192.985506990065</v>
          </cell>
          <cell r="Q11">
            <v>1268.4656119182575</v>
          </cell>
          <cell r="R11">
            <v>1333.0518725846941</v>
          </cell>
          <cell r="S11">
            <v>1386.4166358438388</v>
          </cell>
          <cell r="T11">
            <v>1428.5252057073035</v>
          </cell>
          <cell r="U11">
            <v>1458.0463167422679</v>
          </cell>
          <cell r="V11">
            <v>1476.5165887719231</v>
          </cell>
          <cell r="X11">
            <v>-634.38900000000012</v>
          </cell>
          <cell r="Y11">
            <v>-101.16800000000002</v>
          </cell>
          <cell r="Z11">
            <v>-353.87699999999995</v>
          </cell>
          <cell r="AA11">
            <v>-52.444000000000017</v>
          </cell>
          <cell r="AB11">
            <v>-97.007000000000033</v>
          </cell>
          <cell r="AC11">
            <v>-113.131</v>
          </cell>
          <cell r="AD11">
            <v>-58.290999999999983</v>
          </cell>
          <cell r="AE11">
            <v>-56.892000000000017</v>
          </cell>
          <cell r="AF11">
            <v>-48.238000000000007</v>
          </cell>
          <cell r="AG11">
            <v>-65.196999999999989</v>
          </cell>
          <cell r="AH11">
            <v>-60.122000000000021</v>
          </cell>
          <cell r="AI11">
            <v>-74.029999999999987</v>
          </cell>
          <cell r="AJ11">
            <v>-32.379000000000019</v>
          </cell>
          <cell r="AK11">
            <v>-36.150999999999996</v>
          </cell>
          <cell r="AL11">
            <v>-22.079999999999995</v>
          </cell>
          <cell r="AM11">
            <v>-90.748999999999995</v>
          </cell>
          <cell r="AN11">
            <v>-1.9369999999999967</v>
          </cell>
          <cell r="AO11">
            <v>7.6639999999999935</v>
          </cell>
          <cell r="AP11">
            <v>3.4720000000000333</v>
          </cell>
          <cell r="AQ11">
            <v>18.284999999999986</v>
          </cell>
          <cell r="AR11">
            <v>22.227999999999945</v>
          </cell>
          <cell r="AS11">
            <v>-19.991000000000017</v>
          </cell>
          <cell r="AT11">
            <v>59.627999999999972</v>
          </cell>
          <cell r="AU11">
            <v>-5.5489999999999862</v>
          </cell>
          <cell r="AV11">
            <v>42.155000000000051</v>
          </cell>
          <cell r="AW11">
            <v>158.786</v>
          </cell>
          <cell r="AX11">
            <v>60.466000000000022</v>
          </cell>
          <cell r="AY11">
            <v>86.007999999999953</v>
          </cell>
          <cell r="AZ11">
            <v>58.601000000000013</v>
          </cell>
          <cell r="BA11">
            <v>56.28899999999998</v>
          </cell>
          <cell r="BB11">
            <v>67.354999999999905</v>
          </cell>
          <cell r="BC11">
            <v>64.349999999999994</v>
          </cell>
          <cell r="BD11">
            <v>96.483000000000033</v>
          </cell>
          <cell r="BE11">
            <v>99.818999999999974</v>
          </cell>
          <cell r="BF11">
            <v>93.600999999999999</v>
          </cell>
          <cell r="BG11">
            <v>83.703000000000046</v>
          </cell>
          <cell r="BH11">
            <v>91.961299999999994</v>
          </cell>
          <cell r="BI11">
            <v>113.17100000000001</v>
          </cell>
          <cell r="BJ11">
            <v>-19.725999999999988</v>
          </cell>
          <cell r="BK11">
            <v>111.13551987126066</v>
          </cell>
          <cell r="BL11">
            <v>165.43731591866145</v>
          </cell>
          <cell r="BM11">
            <v>196.65267199437662</v>
          </cell>
          <cell r="BN11">
            <v>216.5251131769262</v>
          </cell>
          <cell r="BO11">
            <v>227.97574048191163</v>
          </cell>
          <cell r="BP11">
            <v>229.6279744820074</v>
          </cell>
          <cell r="BQ11">
            <v>245.20371192653238</v>
          </cell>
          <cell r="BR11">
            <v>258.60129883455858</v>
          </cell>
          <cell r="BS11">
            <v>263.95893705833851</v>
          </cell>
          <cell r="BU11" t="str">
            <v>mstag:netIncomeReported</v>
          </cell>
          <cell r="BV11">
            <v>6</v>
          </cell>
          <cell r="BW11" t="str">
            <v>ISO4217:USD</v>
          </cell>
          <cell r="BX11" t="b">
            <v>0</v>
          </cell>
          <cell r="BY11" t="b">
            <v>0</v>
          </cell>
        </row>
        <row r="12">
          <cell r="A12" t="str">
            <v xml:space="preserve">  Depreciation, Amorization and Accretion</v>
          </cell>
          <cell r="C12">
            <v>314.11</v>
          </cell>
          <cell r="D12">
            <v>332.286</v>
          </cell>
          <cell r="E12">
            <v>329.44899999999996</v>
          </cell>
          <cell r="F12">
            <v>411.25400000000002</v>
          </cell>
          <cell r="G12">
            <v>528.05099999999993</v>
          </cell>
          <cell r="H12">
            <v>522.928</v>
          </cell>
          <cell r="I12">
            <v>405.33199999999999</v>
          </cell>
          <cell r="J12">
            <v>414.61900000000003</v>
          </cell>
          <cell r="K12">
            <v>460.726</v>
          </cell>
          <cell r="L12">
            <v>547.75882625000008</v>
          </cell>
          <cell r="M12">
            <v>594.75337906825234</v>
          </cell>
          <cell r="N12">
            <v>606.8734629797018</v>
          </cell>
          <cell r="O12">
            <v>578.48581668173165</v>
          </cell>
          <cell r="P12">
            <v>577.67173501355853</v>
          </cell>
          <cell r="Q12">
            <v>583.85939484553603</v>
          </cell>
          <cell r="R12">
            <v>593.05830258320475</v>
          </cell>
          <cell r="S12">
            <v>604.98233227858793</v>
          </cell>
          <cell r="T12">
            <v>619.37272067495758</v>
          </cell>
          <cell r="U12">
            <v>635.99543509633793</v>
          </cell>
          <cell r="V12">
            <v>654.63879586817382</v>
          </cell>
          <cell r="X12">
            <v>75.082999999999998</v>
          </cell>
          <cell r="Y12">
            <v>79.804000000000002</v>
          </cell>
          <cell r="Z12">
            <v>78.698999999999998</v>
          </cell>
          <cell r="AA12">
            <v>80.524000000000001</v>
          </cell>
          <cell r="AB12">
            <v>84.063000000000002</v>
          </cell>
          <cell r="AC12">
            <v>84.180999999999997</v>
          </cell>
          <cell r="AD12">
            <v>82.619</v>
          </cell>
          <cell r="AE12">
            <v>81.423000000000002</v>
          </cell>
          <cell r="AF12">
            <v>81.344999999999999</v>
          </cell>
          <cell r="AG12">
            <v>85.463999999999999</v>
          </cell>
          <cell r="AH12">
            <v>81.569000000000003</v>
          </cell>
          <cell r="AI12">
            <v>81.070999999999998</v>
          </cell>
          <cell r="AJ12">
            <v>81.971000000000004</v>
          </cell>
          <cell r="AK12">
            <v>84.784000000000006</v>
          </cell>
          <cell r="AL12">
            <v>116.752</v>
          </cell>
          <cell r="AM12">
            <v>127.747</v>
          </cell>
          <cell r="AN12">
            <v>133.261</v>
          </cell>
          <cell r="AO12">
            <v>132.81100000000001</v>
          </cell>
          <cell r="AP12">
            <v>131.357</v>
          </cell>
          <cell r="AQ12">
            <v>130.62200000000001</v>
          </cell>
          <cell r="AR12">
            <v>130.19399999999999</v>
          </cell>
          <cell r="AS12">
            <v>131.637</v>
          </cell>
          <cell r="AT12">
            <v>131.48400000000001</v>
          </cell>
          <cell r="AU12">
            <v>129.61299999999997</v>
          </cell>
          <cell r="AV12">
            <v>97.072000000000003</v>
          </cell>
          <cell r="AW12">
            <v>99.697000000000003</v>
          </cell>
          <cell r="AX12">
            <v>104.389</v>
          </cell>
          <cell r="AY12">
            <v>104.17400000000001</v>
          </cell>
          <cell r="AZ12">
            <v>99.867999999999995</v>
          </cell>
          <cell r="BA12">
            <v>102.46299999999999</v>
          </cell>
          <cell r="BB12">
            <v>105.54300000000001</v>
          </cell>
          <cell r="BC12">
            <v>106.745</v>
          </cell>
          <cell r="BD12">
            <v>110.83499999999999</v>
          </cell>
          <cell r="BE12">
            <v>110.40300000000001</v>
          </cell>
          <cell r="BF12">
            <v>115.383</v>
          </cell>
          <cell r="BG12">
            <v>124.105</v>
          </cell>
          <cell r="BH12">
            <v>131.23099999999999</v>
          </cell>
          <cell r="BI12">
            <v>138.55799999999999</v>
          </cell>
          <cell r="BJ12">
            <v>142.113</v>
          </cell>
          <cell r="BK12">
            <v>135.85682625000004</v>
          </cell>
          <cell r="BL12">
            <v>147.71822684374999</v>
          </cell>
          <cell r="BM12">
            <v>148.33397117265625</v>
          </cell>
          <cell r="BN12">
            <v>148.99650939333984</v>
          </cell>
          <cell r="BO12">
            <v>149.70467165850633</v>
          </cell>
          <cell r="BP12">
            <v>150.46356736704365</v>
          </cell>
          <cell r="BQ12">
            <v>151.27208443286756</v>
          </cell>
          <cell r="BR12">
            <v>152.12288857204587</v>
          </cell>
          <cell r="BS12">
            <v>153.01492260774472</v>
          </cell>
          <cell r="BU12" t="str">
            <v>mstag:depreciation</v>
          </cell>
          <cell r="BV12">
            <v>6</v>
          </cell>
          <cell r="BW12" t="str">
            <v>ISO4217:USD</v>
          </cell>
          <cell r="BX12" t="b">
            <v>0</v>
          </cell>
          <cell r="BY12" t="b">
            <v>0</v>
          </cell>
        </row>
        <row r="13">
          <cell r="A13" t="str">
            <v xml:space="preserve">  Losses (gains) on Purchases &amp; Redemption of Long-Term Debt</v>
          </cell>
          <cell r="C13">
            <v>0</v>
          </cell>
          <cell r="D13">
            <v>0</v>
          </cell>
          <cell r="E13">
            <v>0</v>
          </cell>
          <cell r="F13">
            <v>67.11</v>
          </cell>
          <cell r="G13">
            <v>27.222999999999999</v>
          </cell>
          <cell r="H13">
            <v>34.826000000000001</v>
          </cell>
          <cell r="I13">
            <v>2.5999999999999999E-2</v>
          </cell>
          <cell r="J13">
            <v>0</v>
          </cell>
          <cell r="K13">
            <v>0</v>
          </cell>
          <cell r="L13">
            <v>0</v>
          </cell>
          <cell r="M13">
            <v>0</v>
          </cell>
          <cell r="N13">
            <v>0</v>
          </cell>
          <cell r="AM13">
            <v>67.11</v>
          </cell>
          <cell r="AQ13">
            <v>27.222999999999999</v>
          </cell>
          <cell r="AU13">
            <v>34.826000000000001</v>
          </cell>
          <cell r="AY13">
            <v>2.5999999999999999E-2</v>
          </cell>
          <cell r="BU13" t="str">
            <v>mstag:otherProvisionsOneTimeCashFlowStatement</v>
          </cell>
          <cell r="BV13">
            <v>6</v>
          </cell>
          <cell r="BW13" t="str">
            <v>ISO4217:USD</v>
          </cell>
          <cell r="BX13" t="b">
            <v>0</v>
          </cell>
          <cell r="BY13" t="b">
            <v>0</v>
          </cell>
        </row>
        <row r="14">
          <cell r="A14" t="str">
            <v xml:space="preserve">  Amortization of Deferred Financing Costs, Discounts on LTD &amp; Dividends on Preferred Stock</v>
          </cell>
          <cell r="C14">
            <v>0</v>
          </cell>
          <cell r="D14">
            <v>0</v>
          </cell>
          <cell r="E14">
            <v>0</v>
          </cell>
          <cell r="F14">
            <v>45.213999999999999</v>
          </cell>
          <cell r="G14">
            <v>9.7189999999999994</v>
          </cell>
          <cell r="H14">
            <v>7.7889999999999997</v>
          </cell>
          <cell r="I14">
            <v>9.4260000000000002</v>
          </cell>
          <cell r="J14">
            <v>0</v>
          </cell>
          <cell r="K14">
            <v>0</v>
          </cell>
          <cell r="L14">
            <v>0</v>
          </cell>
          <cell r="M14">
            <v>0</v>
          </cell>
          <cell r="N14">
            <v>0</v>
          </cell>
          <cell r="AM14">
            <v>45.213999999999999</v>
          </cell>
          <cell r="AQ14">
            <v>9.7189999999999994</v>
          </cell>
          <cell r="AU14">
            <v>7.7889999999999997</v>
          </cell>
          <cell r="AY14">
            <v>9.4260000000000002</v>
          </cell>
          <cell r="BU14" t="str">
            <v>mstag:amortizationOfDiscountPremiumOnDebtCashFlowStatement</v>
          </cell>
          <cell r="BV14">
            <v>6</v>
          </cell>
          <cell r="BW14" t="str">
            <v>ISO4217:USD</v>
          </cell>
          <cell r="BX14" t="b">
            <v>0</v>
          </cell>
          <cell r="BY14" t="b">
            <v>0</v>
          </cell>
        </row>
        <row r="15">
          <cell r="A15" t="str">
            <v xml:space="preserve">  Losses on Purchases &amp; Redemption of Preferred Stock</v>
          </cell>
          <cell r="J15">
            <v>0</v>
          </cell>
          <cell r="K15">
            <v>0</v>
          </cell>
          <cell r="L15">
            <v>0</v>
          </cell>
          <cell r="M15">
            <v>0</v>
          </cell>
          <cell r="N15">
            <v>0</v>
          </cell>
        </row>
        <row r="16">
          <cell r="A16" t="str">
            <v xml:space="preserve">  Non-cash General &amp; Administrative Compensation Charges</v>
          </cell>
          <cell r="C16">
            <v>0</v>
          </cell>
          <cell r="D16">
            <v>0</v>
          </cell>
          <cell r="E16">
            <v>0</v>
          </cell>
          <cell r="F16">
            <v>0</v>
          </cell>
          <cell r="G16">
            <v>39.502000000000002</v>
          </cell>
          <cell r="H16">
            <v>54.603000000000002</v>
          </cell>
          <cell r="I16">
            <v>54.807000000000002</v>
          </cell>
          <cell r="J16">
            <v>60.67</v>
          </cell>
          <cell r="K16">
            <v>52.555</v>
          </cell>
          <cell r="L16">
            <v>49.594999999999999</v>
          </cell>
          <cell r="M16">
            <v>51.832000000000008</v>
          </cell>
          <cell r="N16">
            <v>55.832000000000008</v>
          </cell>
          <cell r="O16">
            <v>0</v>
          </cell>
          <cell r="P16">
            <v>0</v>
          </cell>
          <cell r="Q16">
            <v>0</v>
          </cell>
          <cell r="R16">
            <v>0</v>
          </cell>
          <cell r="S16">
            <v>0</v>
          </cell>
          <cell r="T16">
            <v>0</v>
          </cell>
          <cell r="U16">
            <v>0</v>
          </cell>
          <cell r="V16">
            <v>0</v>
          </cell>
          <cell r="AN16">
            <v>9.5109999999999992</v>
          </cell>
          <cell r="AO16">
            <v>9.3470000000000013</v>
          </cell>
          <cell r="AP16">
            <v>10.683</v>
          </cell>
          <cell r="AQ16">
            <v>9.9610000000000021</v>
          </cell>
          <cell r="AR16">
            <v>16.667000000000002</v>
          </cell>
          <cell r="AS16">
            <v>11.546999999999997</v>
          </cell>
          <cell r="AT16">
            <v>15.265999999999998</v>
          </cell>
          <cell r="AU16">
            <v>11.123000000000005</v>
          </cell>
          <cell r="AV16">
            <v>16.263999999999999</v>
          </cell>
          <cell r="AW16">
            <v>13.597999999999999</v>
          </cell>
          <cell r="AX16">
            <v>13.248999999999999</v>
          </cell>
          <cell r="AY16">
            <v>11.696000000000009</v>
          </cell>
          <cell r="AZ16">
            <v>24.338000000000001</v>
          </cell>
          <cell r="BA16">
            <v>12.835999999999999</v>
          </cell>
          <cell r="BB16">
            <v>12.950000000000003</v>
          </cell>
          <cell r="BC16">
            <v>10.545999999999999</v>
          </cell>
          <cell r="BD16">
            <v>13.565</v>
          </cell>
          <cell r="BE16">
            <v>13.227000000000002</v>
          </cell>
          <cell r="BF16">
            <v>13.353999999999997</v>
          </cell>
          <cell r="BG16">
            <v>12.408999999999997</v>
          </cell>
          <cell r="BH16">
            <v>12.358000000000001</v>
          </cell>
          <cell r="BI16">
            <v>11.687000000000001</v>
          </cell>
          <cell r="BJ16">
            <v>12.14</v>
          </cell>
          <cell r="BK16">
            <v>13.41</v>
          </cell>
          <cell r="BL16">
            <v>13.358000000000001</v>
          </cell>
          <cell r="BM16">
            <v>12.686999999999999</v>
          </cell>
          <cell r="BN16">
            <v>11.377000000000001</v>
          </cell>
          <cell r="BO16">
            <v>14.41</v>
          </cell>
          <cell r="BP16">
            <v>14.358000000000001</v>
          </cell>
          <cell r="BQ16">
            <v>13.686999999999999</v>
          </cell>
          <cell r="BR16">
            <v>12.377000000000001</v>
          </cell>
          <cell r="BS16">
            <v>15.41</v>
          </cell>
          <cell r="BU16" t="str">
            <v>mstag:otherProvisionsOneTimeCashFlowStatement</v>
          </cell>
          <cell r="BV16">
            <v>6</v>
          </cell>
          <cell r="BW16" t="str">
            <v>ISO4217:USD</v>
          </cell>
          <cell r="BX16" t="b">
            <v>0</v>
          </cell>
          <cell r="BY16" t="b">
            <v>0</v>
          </cell>
        </row>
        <row r="17">
          <cell r="A17" t="str">
            <v xml:space="preserve">  Asset Write-Down Charges</v>
          </cell>
          <cell r="C17">
            <v>0</v>
          </cell>
          <cell r="D17">
            <v>0</v>
          </cell>
          <cell r="E17">
            <v>0</v>
          </cell>
          <cell r="F17">
            <v>0</v>
          </cell>
          <cell r="G17">
            <v>2.9580000000000002</v>
          </cell>
          <cell r="H17">
            <v>9.2140000000000004</v>
          </cell>
          <cell r="I17">
            <v>0</v>
          </cell>
          <cell r="J17">
            <v>0</v>
          </cell>
          <cell r="K17">
            <v>0</v>
          </cell>
          <cell r="L17">
            <v>0</v>
          </cell>
          <cell r="M17">
            <v>0</v>
          </cell>
          <cell r="N17">
            <v>0</v>
          </cell>
          <cell r="AQ17">
            <v>2.9580000000000002</v>
          </cell>
          <cell r="AU17">
            <v>9.2140000000000004</v>
          </cell>
          <cell r="BU17" t="str">
            <v>mstag:assetImpairmentNonGoodwillOneTime</v>
          </cell>
          <cell r="BV17">
            <v>6</v>
          </cell>
          <cell r="BW17" t="str">
            <v>ISO4217:USD</v>
          </cell>
          <cell r="BX17" t="b">
            <v>0</v>
          </cell>
          <cell r="BY17" t="b">
            <v>0</v>
          </cell>
        </row>
        <row r="18">
          <cell r="A18" t="str">
            <v xml:space="preserve">  Cumulative Effect of Change in Accounting Principle</v>
          </cell>
          <cell r="C18">
            <v>562.61700000000008</v>
          </cell>
          <cell r="D18">
            <v>0</v>
          </cell>
          <cell r="E18">
            <v>0</v>
          </cell>
          <cell r="F18">
            <v>35.524999999999999</v>
          </cell>
          <cell r="G18">
            <v>0</v>
          </cell>
          <cell r="H18">
            <v>0</v>
          </cell>
          <cell r="I18">
            <v>0</v>
          </cell>
          <cell r="J18">
            <v>0</v>
          </cell>
          <cell r="K18">
            <v>0</v>
          </cell>
          <cell r="L18">
            <v>0</v>
          </cell>
          <cell r="M18">
            <v>0</v>
          </cell>
          <cell r="N18">
            <v>0</v>
          </cell>
          <cell r="X18">
            <v>562.61800000000005</v>
          </cell>
          <cell r="Y18">
            <v>-1E-3</v>
          </cell>
          <cell r="AJ18">
            <v>0</v>
          </cell>
          <cell r="AK18">
            <v>0</v>
          </cell>
          <cell r="AL18">
            <v>0</v>
          </cell>
          <cell r="AM18">
            <v>35.524999999999999</v>
          </cell>
          <cell r="AN18">
            <v>0</v>
          </cell>
          <cell r="AO18">
            <v>0</v>
          </cell>
          <cell r="AP18">
            <v>0</v>
          </cell>
          <cell r="AQ18">
            <v>0</v>
          </cell>
          <cell r="AR18">
            <v>0</v>
          </cell>
          <cell r="AS18">
            <v>0</v>
          </cell>
          <cell r="AT18">
            <v>0</v>
          </cell>
          <cell r="AU18">
            <v>0</v>
          </cell>
          <cell r="BU18" t="str">
            <v>mstag:otherProvisionsOneTimeCashFlowStatement</v>
          </cell>
          <cell r="BV18">
            <v>6</v>
          </cell>
          <cell r="BW18" t="str">
            <v>ISO4217:USD</v>
          </cell>
          <cell r="BX18" t="b">
            <v>0</v>
          </cell>
          <cell r="BY18" t="b">
            <v>0</v>
          </cell>
        </row>
        <row r="19">
          <cell r="A19" t="str">
            <v xml:space="preserve">  Other Non-Cash Items reflected in Statements of Operations</v>
          </cell>
          <cell r="C19">
            <v>346.26499999999999</v>
          </cell>
          <cell r="D19">
            <v>170.73499999999996</v>
          </cell>
          <cell r="E19">
            <v>169.38600000000002</v>
          </cell>
          <cell r="F19">
            <v>0</v>
          </cell>
          <cell r="G19">
            <v>-5.453000000000003</v>
          </cell>
          <cell r="H19">
            <v>-9.4699999999999989</v>
          </cell>
          <cell r="I19">
            <v>0</v>
          </cell>
          <cell r="J19">
            <v>186.245</v>
          </cell>
          <cell r="K19">
            <v>223.64100000000002</v>
          </cell>
          <cell r="L19">
            <v>307.04669999999999</v>
          </cell>
          <cell r="M19">
            <v>37.199999999999996</v>
          </cell>
          <cell r="N19">
            <v>51.959999999999994</v>
          </cell>
          <cell r="O19">
            <v>30.839999999999993</v>
          </cell>
          <cell r="P19">
            <v>0</v>
          </cell>
          <cell r="Q19">
            <v>0</v>
          </cell>
          <cell r="R19">
            <v>0</v>
          </cell>
          <cell r="S19">
            <v>0</v>
          </cell>
          <cell r="T19">
            <v>0</v>
          </cell>
          <cell r="U19">
            <v>0</v>
          </cell>
          <cell r="V19">
            <v>0</v>
          </cell>
          <cell r="X19">
            <v>10.572000000000003</v>
          </cell>
          <cell r="Y19">
            <v>22.311999999999998</v>
          </cell>
          <cell r="Z19">
            <v>284.83099999999996</v>
          </cell>
          <cell r="AA19">
            <v>28.549999999999997</v>
          </cell>
          <cell r="AB19">
            <v>29.823999999999998</v>
          </cell>
          <cell r="AC19">
            <v>70.376000000000019</v>
          </cell>
          <cell r="AD19">
            <v>22.652999999999977</v>
          </cell>
          <cell r="AE19">
            <v>47.881999999999948</v>
          </cell>
          <cell r="AF19">
            <v>21.375</v>
          </cell>
          <cell r="AG19">
            <v>39.884999999999991</v>
          </cell>
          <cell r="AH19">
            <v>46.605000000000004</v>
          </cell>
          <cell r="AI19">
            <v>61.521000000000015</v>
          </cell>
          <cell r="AJ19">
            <v>27.265000000000001</v>
          </cell>
          <cell r="AK19">
            <v>27.196000000000012</v>
          </cell>
          <cell r="AL19">
            <v>18.351000000000013</v>
          </cell>
          <cell r="AM19">
            <v>-72.812000000000012</v>
          </cell>
          <cell r="AN19">
            <v>25.355999999999995</v>
          </cell>
          <cell r="AO19">
            <v>16.644000000000005</v>
          </cell>
          <cell r="AP19">
            <v>21.990999999999985</v>
          </cell>
          <cell r="AQ19">
            <v>-69.443999999999988</v>
          </cell>
          <cell r="AR19">
            <v>22.150000000000006</v>
          </cell>
          <cell r="AS19">
            <v>75.487999999999971</v>
          </cell>
          <cell r="AT19">
            <v>-13.214999999999975</v>
          </cell>
          <cell r="AU19">
            <v>-93.893000000000001</v>
          </cell>
          <cell r="AV19">
            <v>33.701999999999998</v>
          </cell>
          <cell r="AW19">
            <v>36.872</v>
          </cell>
          <cell r="AX19">
            <v>41.725000000000009</v>
          </cell>
          <cell r="AY19">
            <v>-112.29900000000001</v>
          </cell>
          <cell r="AZ19">
            <v>38.683</v>
          </cell>
          <cell r="BA19">
            <v>50.401000000000003</v>
          </cell>
          <cell r="BB19">
            <v>58.061999999999976</v>
          </cell>
          <cell r="BC19">
            <v>39.099000000000018</v>
          </cell>
          <cell r="BD19">
            <v>34.625</v>
          </cell>
          <cell r="BE19">
            <v>40.218000000000004</v>
          </cell>
          <cell r="BF19">
            <v>69.831000000000003</v>
          </cell>
          <cell r="BG19">
            <v>78.966999999999999</v>
          </cell>
          <cell r="BH19">
            <v>53.335000000000001</v>
          </cell>
          <cell r="BI19">
            <v>48.448</v>
          </cell>
          <cell r="BJ19">
            <v>185.50299999999999</v>
          </cell>
          <cell r="BK19">
            <v>19.7607</v>
          </cell>
          <cell r="BL19">
            <v>6</v>
          </cell>
          <cell r="BM19">
            <v>8.76</v>
          </cell>
          <cell r="BN19">
            <v>10.799999999999999</v>
          </cell>
          <cell r="BO19">
            <v>11.639999999999999</v>
          </cell>
          <cell r="BP19">
            <v>11.16</v>
          </cell>
          <cell r="BQ19">
            <v>12.6</v>
          </cell>
          <cell r="BR19">
            <v>13.799999999999999</v>
          </cell>
          <cell r="BS19">
            <v>14.399999999999999</v>
          </cell>
          <cell r="BU19" t="str">
            <v>mstag:otherCashFlow</v>
          </cell>
          <cell r="BV19">
            <v>6</v>
          </cell>
          <cell r="BW19" t="str">
            <v>ISO4217:USD</v>
          </cell>
          <cell r="BX19" t="b">
            <v>0</v>
          </cell>
        </row>
        <row r="20">
          <cell r="A20" t="str">
            <v xml:space="preserve">  Minority Interests</v>
          </cell>
          <cell r="C20">
            <v>0</v>
          </cell>
          <cell r="D20">
            <v>0</v>
          </cell>
          <cell r="E20">
            <v>0</v>
          </cell>
          <cell r="F20">
            <v>0.57499999999999996</v>
          </cell>
          <cell r="G20">
            <v>0.78400000000000003</v>
          </cell>
          <cell r="H20">
            <v>0.33800000000000002</v>
          </cell>
          <cell r="I20">
            <v>0</v>
          </cell>
          <cell r="J20">
            <v>0</v>
          </cell>
          <cell r="K20">
            <v>0</v>
          </cell>
          <cell r="L20">
            <v>0</v>
          </cell>
          <cell r="M20">
            <v>0</v>
          </cell>
          <cell r="N20">
            <v>0</v>
          </cell>
          <cell r="AM20">
            <v>0.57499999999999996</v>
          </cell>
          <cell r="AQ20">
            <v>0.78400000000000003</v>
          </cell>
          <cell r="AU20">
            <v>0.33800000000000002</v>
          </cell>
          <cell r="BU20" t="str">
            <v>mstag:netIncreaseInMinorityInterestsInShareholdersEquity</v>
          </cell>
          <cell r="BV20">
            <v>6</v>
          </cell>
          <cell r="BW20" t="str">
            <v>ISO4217:USD</v>
          </cell>
          <cell r="BX20" t="b">
            <v>0</v>
          </cell>
          <cell r="BY20" t="b">
            <v>0</v>
          </cell>
        </row>
        <row r="21">
          <cell r="A21" t="str">
            <v xml:space="preserve">  Reorganization Items, Net</v>
          </cell>
          <cell r="J21">
            <v>0</v>
          </cell>
          <cell r="K21">
            <v>0</v>
          </cell>
          <cell r="L21">
            <v>0</v>
          </cell>
          <cell r="M21">
            <v>0</v>
          </cell>
          <cell r="N21">
            <v>0</v>
          </cell>
        </row>
        <row r="22">
          <cell r="A22" t="str">
            <v xml:space="preserve">  Non-Cash Items Reported in Discontinued Operations</v>
          </cell>
          <cell r="C22">
            <v>0</v>
          </cell>
          <cell r="D22">
            <v>0</v>
          </cell>
          <cell r="E22">
            <v>0</v>
          </cell>
          <cell r="F22">
            <v>-2.145</v>
          </cell>
          <cell r="G22">
            <v>-0.44400000000000001</v>
          </cell>
          <cell r="H22">
            <v>6.1920000000000002</v>
          </cell>
          <cell r="I22">
            <v>0</v>
          </cell>
          <cell r="J22">
            <v>0</v>
          </cell>
          <cell r="K22">
            <v>0</v>
          </cell>
          <cell r="L22">
            <v>0</v>
          </cell>
          <cell r="M22">
            <v>0</v>
          </cell>
          <cell r="N22">
            <v>0</v>
          </cell>
          <cell r="AM22">
            <v>-2.145</v>
          </cell>
          <cell r="AQ22">
            <v>-0.44400000000000001</v>
          </cell>
          <cell r="AU22">
            <v>6.1920000000000002</v>
          </cell>
          <cell r="BU22" t="str">
            <v>mstag:otherCashFlow</v>
          </cell>
          <cell r="BV22">
            <v>6</v>
          </cell>
          <cell r="BW22" t="str">
            <v>ISO4217:USD</v>
          </cell>
          <cell r="BX22" t="b">
            <v>0</v>
          </cell>
          <cell r="BY22" t="b">
            <v>0</v>
          </cell>
        </row>
        <row r="23">
          <cell r="A23" t="str">
            <v xml:space="preserve">  Change in Value of Derivative Financial  Instruments</v>
          </cell>
          <cell r="J23">
            <v>0</v>
          </cell>
          <cell r="K23">
            <v>0</v>
          </cell>
          <cell r="L23">
            <v>0</v>
          </cell>
          <cell r="M23">
            <v>0</v>
          </cell>
          <cell r="N23">
            <v>0</v>
          </cell>
        </row>
        <row r="24">
          <cell r="A24" t="str">
            <v xml:space="preserve">  Other Items</v>
          </cell>
          <cell r="C24">
            <v>0</v>
          </cell>
          <cell r="D24">
            <v>0</v>
          </cell>
          <cell r="E24">
            <v>0</v>
          </cell>
          <cell r="F24">
            <v>37.103999999999999</v>
          </cell>
          <cell r="G24">
            <v>0</v>
          </cell>
          <cell r="H24">
            <v>-49.817999999999998</v>
          </cell>
          <cell r="I24">
            <v>-3.38900000000001</v>
          </cell>
          <cell r="J24">
            <v>-5.2439999999999998</v>
          </cell>
          <cell r="K24">
            <v>-87.897999999999996</v>
          </cell>
          <cell r="L24">
            <v>-69.873999999999995</v>
          </cell>
          <cell r="M24">
            <v>0</v>
          </cell>
          <cell r="N24">
            <v>0</v>
          </cell>
          <cell r="AJ24">
            <v>0.96599999999999997</v>
          </cell>
          <cell r="AK24">
            <v>2.3239999999999998</v>
          </cell>
          <cell r="AL24">
            <v>3.6369999999999996</v>
          </cell>
          <cell r="AM24">
            <v>30.177</v>
          </cell>
          <cell r="AU24">
            <v>-49.817999999999998</v>
          </cell>
          <cell r="AW24">
            <v>-119.262</v>
          </cell>
          <cell r="AX24">
            <v>13.288000000000011</v>
          </cell>
          <cell r="AY24">
            <v>102.58499999999998</v>
          </cell>
          <cell r="AZ24">
            <v>-12.326000000000001</v>
          </cell>
          <cell r="BA24">
            <v>5.6500000000000012</v>
          </cell>
          <cell r="BB24">
            <v>-0.59100000000000108</v>
          </cell>
          <cell r="BC24">
            <v>2.0230000000000006</v>
          </cell>
          <cell r="BD24">
            <v>-9.3389999999999986</v>
          </cell>
          <cell r="BE24">
            <v>-9.9370000000000012</v>
          </cell>
          <cell r="BF24">
            <v>-33.122</v>
          </cell>
          <cell r="BG24">
            <v>-35.5</v>
          </cell>
          <cell r="BH24">
            <v>-22.704000000000001</v>
          </cell>
          <cell r="BI24">
            <v>-22.353000000000002</v>
          </cell>
          <cell r="BJ24">
            <v>-24.816999999999993</v>
          </cell>
          <cell r="BU24" t="str">
            <v>mstag:otherCashFlow</v>
          </cell>
          <cell r="BV24">
            <v>6</v>
          </cell>
          <cell r="BW24" t="str">
            <v>ISO4217:USD</v>
          </cell>
          <cell r="BX24" t="b">
            <v>0</v>
          </cell>
          <cell r="BY24" t="b">
            <v>0</v>
          </cell>
        </row>
        <row r="25">
          <cell r="J25">
            <v>0</v>
          </cell>
          <cell r="K25">
            <v>0</v>
          </cell>
          <cell r="L25">
            <v>0</v>
          </cell>
          <cell r="M25">
            <v>0</v>
          </cell>
          <cell r="N25">
            <v>0</v>
          </cell>
        </row>
        <row r="26">
          <cell r="A26" t="str">
            <v xml:space="preserve">  Changes in Working Capital</v>
          </cell>
          <cell r="J26">
            <v>0</v>
          </cell>
          <cell r="K26">
            <v>0</v>
          </cell>
          <cell r="L26">
            <v>0</v>
          </cell>
          <cell r="M26">
            <v>0</v>
          </cell>
          <cell r="N26">
            <v>0</v>
          </cell>
        </row>
        <row r="27">
          <cell r="A27" t="str">
            <v xml:space="preserve">     Accounts Receivables</v>
          </cell>
          <cell r="C27">
            <v>0</v>
          </cell>
          <cell r="D27">
            <v>0</v>
          </cell>
          <cell r="E27">
            <v>0</v>
          </cell>
          <cell r="F27">
            <v>7.57</v>
          </cell>
          <cell r="G27">
            <v>-0.182</v>
          </cell>
          <cell r="H27">
            <v>-13.417</v>
          </cell>
          <cell r="I27">
            <v>-13.55</v>
          </cell>
          <cell r="J27">
            <v>0</v>
          </cell>
          <cell r="K27">
            <v>0</v>
          </cell>
          <cell r="L27">
            <v>-15.875033896186366</v>
          </cell>
          <cell r="M27">
            <v>-22.161428494073306</v>
          </cell>
          <cell r="N27">
            <v>-10.344413337984093</v>
          </cell>
          <cell r="O27">
            <v>-7.3981901356764013</v>
          </cell>
          <cell r="P27">
            <v>-6.3544849940188897</v>
          </cell>
          <cell r="Q27">
            <v>-6.1153016431467222</v>
          </cell>
          <cell r="R27">
            <v>-5.4523523678790582</v>
          </cell>
          <cell r="S27">
            <v>-4.7357933944006447</v>
          </cell>
          <cell r="T27">
            <v>-4.0071960587206661</v>
          </cell>
          <cell r="U27">
            <v>-3.1694315255808476</v>
          </cell>
          <cell r="V27">
            <v>-2.4214028105113243</v>
          </cell>
          <cell r="AM27">
            <v>7.57</v>
          </cell>
          <cell r="AQ27">
            <v>-0.182</v>
          </cell>
          <cell r="AU27">
            <v>-13.417</v>
          </cell>
          <cell r="AY27">
            <v>-13.55</v>
          </cell>
          <cell r="BK27">
            <v>-15.875033896186366</v>
          </cell>
          <cell r="BL27">
            <v>-2.1866435341503774</v>
          </cell>
          <cell r="BM27">
            <v>-9.6098226716550528</v>
          </cell>
          <cell r="BN27">
            <v>-5.9004653025523197</v>
          </cell>
          <cell r="BO27">
            <v>-4.4644969857155559</v>
          </cell>
          <cell r="BP27">
            <v>0.70733001510515692</v>
          </cell>
          <cell r="BQ27">
            <v>-4.6805430285315026</v>
          </cell>
          <cell r="BR27">
            <v>-3.8281770580425132</v>
          </cell>
          <cell r="BS27">
            <v>-2.5430232665152346</v>
          </cell>
          <cell r="BU27" t="str">
            <v>mstag:netDecreaseInTradeReceivables</v>
          </cell>
          <cell r="BV27">
            <v>6</v>
          </cell>
          <cell r="BW27" t="str">
            <v>ISO4217:USD</v>
          </cell>
          <cell r="BX27" t="b">
            <v>0</v>
          </cell>
          <cell r="BY27" t="b">
            <v>0</v>
          </cell>
        </row>
        <row r="28">
          <cell r="A28" t="str">
            <v xml:space="preserve">     Inventories, Prepaid Expenses and Other Current Assets</v>
          </cell>
          <cell r="C28">
            <v>0</v>
          </cell>
          <cell r="D28">
            <v>0</v>
          </cell>
          <cell r="E28">
            <v>0</v>
          </cell>
          <cell r="F28">
            <v>0</v>
          </cell>
          <cell r="G28">
            <v>-67.814999999999998</v>
          </cell>
          <cell r="H28">
            <v>0</v>
          </cell>
          <cell r="I28">
            <v>0</v>
          </cell>
          <cell r="J28">
            <v>0</v>
          </cell>
          <cell r="K28">
            <v>0</v>
          </cell>
          <cell r="L28">
            <v>-7.8861871720978058</v>
          </cell>
          <cell r="M28">
            <v>-45.202164781042768</v>
          </cell>
          <cell r="N28">
            <v>-21.099266069054238</v>
          </cell>
          <cell r="O28">
            <v>-15.089921197262356</v>
          </cell>
          <cell r="P28">
            <v>-12.961099410858026</v>
          </cell>
          <cell r="Q28">
            <v>-12.473242536383623</v>
          </cell>
          <cell r="R28">
            <v>-11.121039884368827</v>
          </cell>
          <cell r="S28">
            <v>-9.6594907426622285</v>
          </cell>
          <cell r="T28">
            <v>-8.173387225678141</v>
          </cell>
          <cell r="U28">
            <v>-6.4646178435586421</v>
          </cell>
          <cell r="V28">
            <v>-4.9388805812443479</v>
          </cell>
          <cell r="AQ28">
            <v>-67.814999999999998</v>
          </cell>
          <cell r="BK28">
            <v>-7.8861871720978058</v>
          </cell>
          <cell r="BL28">
            <v>-4.4600473915524219</v>
          </cell>
          <cell r="BM28">
            <v>-19.600938091013433</v>
          </cell>
          <cell r="BN28">
            <v>-12.035045708453481</v>
          </cell>
          <cell r="BO28">
            <v>-9.1061335900234326</v>
          </cell>
          <cell r="BP28">
            <v>1.4427250439163686</v>
          </cell>
          <cell r="BQ28">
            <v>-9.5467978202318022</v>
          </cell>
          <cell r="BR28">
            <v>-7.8082462163899891</v>
          </cell>
          <cell r="BS28">
            <v>-5.1869470763488152</v>
          </cell>
          <cell r="BU28" t="str">
            <v>mstag:netDecreaseInPrepaidExpenses</v>
          </cell>
          <cell r="BV28">
            <v>6</v>
          </cell>
          <cell r="BW28" t="str">
            <v>ISO4217:USD</v>
          </cell>
          <cell r="BX28" t="b">
            <v>0</v>
          </cell>
          <cell r="BY28" t="b">
            <v>0</v>
          </cell>
        </row>
        <row r="29">
          <cell r="A29" t="str">
            <v xml:space="preserve">     Accounts Payable</v>
          </cell>
          <cell r="C29">
            <v>0</v>
          </cell>
          <cell r="D29">
            <v>0</v>
          </cell>
          <cell r="E29">
            <v>0</v>
          </cell>
          <cell r="F29">
            <v>-35.119999999999997</v>
          </cell>
          <cell r="G29">
            <v>-10.62</v>
          </cell>
          <cell r="H29">
            <v>-7.2370000000000001</v>
          </cell>
          <cell r="I29">
            <v>-27.373999999999999</v>
          </cell>
          <cell r="J29">
            <v>0</v>
          </cell>
          <cell r="K29">
            <v>0</v>
          </cell>
          <cell r="L29">
            <v>35.218285718161212</v>
          </cell>
          <cell r="M29">
            <v>55.581235521027168</v>
          </cell>
          <cell r="N29">
            <v>32.814339751749344</v>
          </cell>
          <cell r="O29">
            <v>23.362405955742247</v>
          </cell>
          <cell r="P29">
            <v>18.121362079513403</v>
          </cell>
          <cell r="Q29">
            <v>17.228300418127105</v>
          </cell>
          <cell r="R29">
            <v>15.036648952195947</v>
          </cell>
          <cell r="S29">
            <v>12.565602258090507</v>
          </cell>
          <cell r="T29">
            <v>10.219318853464983</v>
          </cell>
          <cell r="U29">
            <v>7.5675811111810845</v>
          </cell>
          <cell r="V29">
            <v>5.2197032025636645</v>
          </cell>
          <cell r="AM29">
            <v>-35.119999999999997</v>
          </cell>
          <cell r="AQ29">
            <v>-10.62</v>
          </cell>
          <cell r="AU29">
            <v>-7.2370000000000001</v>
          </cell>
          <cell r="AY29">
            <v>-27.373999999999999</v>
          </cell>
          <cell r="BK29">
            <v>35.218285718161212</v>
          </cell>
          <cell r="BL29">
            <v>-7.1934651150255604</v>
          </cell>
          <cell r="BM29">
            <v>30.14735788525536</v>
          </cell>
          <cell r="BN29">
            <v>18.556782727172731</v>
          </cell>
          <cell r="BO29">
            <v>14.070560023624637</v>
          </cell>
          <cell r="BP29">
            <v>-2.0902092845073525</v>
          </cell>
          <cell r="BQ29">
            <v>14.748095946984222</v>
          </cell>
          <cell r="BR29">
            <v>12.085666279034342</v>
          </cell>
          <cell r="BS29">
            <v>8.0707868102381326</v>
          </cell>
          <cell r="BU29" t="str">
            <v>mstag:netIncreaseInTradeAndOtherPayables</v>
          </cell>
          <cell r="BV29">
            <v>6</v>
          </cell>
          <cell r="BW29" t="str">
            <v>ISO4217:USD</v>
          </cell>
          <cell r="BX29" t="b">
            <v>0</v>
          </cell>
          <cell r="BY29" t="b">
            <v>0</v>
          </cell>
        </row>
        <row r="30">
          <cell r="A30" t="str">
            <v xml:space="preserve">     Accrued Interest</v>
          </cell>
          <cell r="C30">
            <v>0</v>
          </cell>
          <cell r="D30">
            <v>0</v>
          </cell>
          <cell r="E30">
            <v>0</v>
          </cell>
          <cell r="F30">
            <v>-5.641</v>
          </cell>
          <cell r="G30">
            <v>3.8439999999999999</v>
          </cell>
          <cell r="H30">
            <v>-7.617</v>
          </cell>
          <cell r="I30">
            <v>0</v>
          </cell>
          <cell r="J30">
            <v>0</v>
          </cell>
          <cell r="K30">
            <v>0</v>
          </cell>
          <cell r="L30">
            <v>0</v>
          </cell>
          <cell r="M30">
            <v>0</v>
          </cell>
          <cell r="N30">
            <v>0</v>
          </cell>
          <cell r="O30">
            <v>0</v>
          </cell>
          <cell r="P30">
            <v>0</v>
          </cell>
          <cell r="Q30">
            <v>0</v>
          </cell>
          <cell r="R30">
            <v>0</v>
          </cell>
          <cell r="S30">
            <v>0</v>
          </cell>
          <cell r="T30">
            <v>0</v>
          </cell>
          <cell r="U30">
            <v>0</v>
          </cell>
          <cell r="V30">
            <v>0</v>
          </cell>
          <cell r="AM30">
            <v>-5.641</v>
          </cell>
          <cell r="AQ30">
            <v>3.8439999999999999</v>
          </cell>
          <cell r="AU30">
            <v>-7.617</v>
          </cell>
          <cell r="BK30">
            <v>0</v>
          </cell>
          <cell r="BL30">
            <v>0</v>
          </cell>
          <cell r="BM30">
            <v>0</v>
          </cell>
          <cell r="BN30">
            <v>0</v>
          </cell>
          <cell r="BO30">
            <v>0</v>
          </cell>
          <cell r="BP30">
            <v>0</v>
          </cell>
          <cell r="BQ30">
            <v>0</v>
          </cell>
          <cell r="BR30">
            <v>0</v>
          </cell>
          <cell r="BS30">
            <v>0</v>
          </cell>
          <cell r="BU30" t="str">
            <v>mstag:netIncreaseInAccruedExpenses</v>
          </cell>
          <cell r="BV30">
            <v>6</v>
          </cell>
          <cell r="BW30" t="str">
            <v>ISO4217:USD</v>
          </cell>
          <cell r="BX30" t="b">
            <v>0</v>
          </cell>
          <cell r="BY30" t="b">
            <v>0</v>
          </cell>
        </row>
        <row r="31">
          <cell r="A31" t="str">
            <v xml:space="preserve">     Deferred Rental Revenue and Other Liabilities</v>
          </cell>
          <cell r="C31">
            <v>0</v>
          </cell>
          <cell r="D31">
            <v>0</v>
          </cell>
          <cell r="E31">
            <v>0</v>
          </cell>
          <cell r="F31">
            <v>0</v>
          </cell>
          <cell r="G31">
            <v>0</v>
          </cell>
          <cell r="H31">
            <v>0</v>
          </cell>
          <cell r="I31">
            <v>0</v>
          </cell>
          <cell r="J31">
            <v>0.53199999999999992</v>
          </cell>
          <cell r="K31">
            <v>0</v>
          </cell>
          <cell r="L31">
            <v>0</v>
          </cell>
          <cell r="M31">
            <v>0</v>
          </cell>
          <cell r="N31">
            <v>0</v>
          </cell>
          <cell r="BA31">
            <v>0.35599999999999998</v>
          </cell>
          <cell r="BB31">
            <v>0.224</v>
          </cell>
          <cell r="BC31">
            <v>-4.8000000000000001E-2</v>
          </cell>
          <cell r="BU31" t="str">
            <v>mstag:netIncreaseInOtherLiabilitiesOperating</v>
          </cell>
          <cell r="BV31">
            <v>6</v>
          </cell>
          <cell r="BW31" t="str">
            <v>ISO4217:USD</v>
          </cell>
          <cell r="BX31" t="b">
            <v>0</v>
          </cell>
          <cell r="BY31" t="b">
            <v>0</v>
          </cell>
        </row>
        <row r="32">
          <cell r="A32" t="str">
            <v>Other Assets/Liabilities</v>
          </cell>
          <cell r="C32">
            <v>24.035000000000004</v>
          </cell>
          <cell r="D32">
            <v>-21.314000000000007</v>
          </cell>
          <cell r="E32">
            <v>-34.548000000000002</v>
          </cell>
          <cell r="F32">
            <v>17.117000000000001</v>
          </cell>
          <cell r="G32">
            <v>65.686999999999998</v>
          </cell>
          <cell r="H32">
            <v>88.031999999999996</v>
          </cell>
          <cell r="I32">
            <v>0.56499999999999773</v>
          </cell>
          <cell r="J32">
            <v>-61.290999999999997</v>
          </cell>
          <cell r="K32">
            <v>-1.6530000000000058</v>
          </cell>
          <cell r="L32">
            <v>13.082900777457034</v>
          </cell>
          <cell r="M32">
            <v>80.187521093901708</v>
          </cell>
          <cell r="N32">
            <v>37.429575578373431</v>
          </cell>
          <cell r="O32">
            <v>26.769146570127447</v>
          </cell>
          <cell r="P32">
            <v>22.992669431712955</v>
          </cell>
          <cell r="Q32">
            <v>22.127223415969667</v>
          </cell>
          <cell r="R32">
            <v>19.728449392493474</v>
          </cell>
          <cell r="S32">
            <v>17.135697403776163</v>
          </cell>
          <cell r="T32">
            <v>14.499386561295069</v>
          </cell>
          <cell r="U32">
            <v>11.468071987379147</v>
          </cell>
          <cell r="V32">
            <v>8.7614518620332262</v>
          </cell>
          <cell r="X32">
            <v>-21.887000000000004</v>
          </cell>
          <cell r="Y32">
            <v>39.528000000000006</v>
          </cell>
          <cell r="Z32">
            <v>-6.9859999999999971</v>
          </cell>
          <cell r="AA32">
            <v>13.379999999999999</v>
          </cell>
          <cell r="AB32">
            <v>-9.8209999999999997</v>
          </cell>
          <cell r="AC32">
            <v>2.1020000000000003</v>
          </cell>
          <cell r="AD32">
            <v>-17.542999999999999</v>
          </cell>
          <cell r="AE32">
            <v>3.9479999999999951</v>
          </cell>
          <cell r="AF32">
            <v>-22.765999999999998</v>
          </cell>
          <cell r="AG32">
            <v>13.521999999999998</v>
          </cell>
          <cell r="AH32">
            <v>-24.278999999999996</v>
          </cell>
          <cell r="AI32">
            <v>-1.0250000000000057</v>
          </cell>
          <cell r="AJ32">
            <v>14.731999999999999</v>
          </cell>
          <cell r="AK32">
            <v>-5.6989999999999981</v>
          </cell>
          <cell r="AL32">
            <v>-21.465</v>
          </cell>
          <cell r="AM32">
            <v>29.548999999999999</v>
          </cell>
          <cell r="AN32">
            <v>-14.495000000000001</v>
          </cell>
          <cell r="AO32">
            <v>-25.520999999999997</v>
          </cell>
          <cell r="AP32">
            <v>15.024999999999999</v>
          </cell>
          <cell r="AQ32">
            <v>90.677999999999997</v>
          </cell>
          <cell r="AR32">
            <v>-19.852</v>
          </cell>
          <cell r="AS32">
            <v>12.096</v>
          </cell>
          <cell r="AT32">
            <v>-11.526</v>
          </cell>
          <cell r="AU32">
            <v>107.31399999999999</v>
          </cell>
          <cell r="AV32">
            <v>-6.8109999999999999</v>
          </cell>
          <cell r="AW32">
            <v>-12.940000000000001</v>
          </cell>
          <cell r="AX32">
            <v>-5.9239999999999995</v>
          </cell>
          <cell r="AY32">
            <v>26.24</v>
          </cell>
          <cell r="AZ32">
            <v>-3.4260000000000019</v>
          </cell>
          <cell r="BA32">
            <v>-24.387</v>
          </cell>
          <cell r="BB32">
            <v>-3.4899999999999949</v>
          </cell>
          <cell r="BC32">
            <v>-29.988</v>
          </cell>
          <cell r="BD32">
            <v>7.48</v>
          </cell>
          <cell r="BE32">
            <v>9.0169999999999924</v>
          </cell>
          <cell r="BF32">
            <v>-0.82399999999999807</v>
          </cell>
          <cell r="BG32">
            <v>-17.326000000000001</v>
          </cell>
          <cell r="BH32">
            <v>17.634999999999998</v>
          </cell>
          <cell r="BI32">
            <v>-13.989000000000001</v>
          </cell>
          <cell r="BJ32">
            <v>-4.5530000000000008</v>
          </cell>
          <cell r="BK32">
            <v>13.989900777457038</v>
          </cell>
          <cell r="BL32">
            <v>7.9120136396631864</v>
          </cell>
          <cell r="BM32">
            <v>34.771578844661434</v>
          </cell>
          <cell r="BN32">
            <v>21.349873093189018</v>
          </cell>
          <cell r="BO32">
            <v>16.15405551638807</v>
          </cell>
          <cell r="BP32">
            <v>-2.5593585053311756</v>
          </cell>
          <cell r="BQ32">
            <v>16.935782949716412</v>
          </cell>
          <cell r="BR32">
            <v>13.851635451887418</v>
          </cell>
          <cell r="BS32">
            <v>9.2015156821007764</v>
          </cell>
          <cell r="BU32" t="str">
            <v>mstag:netDecreaseInOtherAssets</v>
          </cell>
          <cell r="BV32">
            <v>6</v>
          </cell>
          <cell r="BW32" t="str">
            <v>ISO4217:USD</v>
          </cell>
          <cell r="BX32" t="b">
            <v>0</v>
          </cell>
          <cell r="BY32" t="b">
            <v>0</v>
          </cell>
        </row>
        <row r="33">
          <cell r="A33" t="str">
            <v>Cash From Operating Activities</v>
          </cell>
          <cell r="C33">
            <v>105.14899999999992</v>
          </cell>
          <cell r="D33">
            <v>156.38599999999991</v>
          </cell>
          <cell r="E33">
            <v>216.7</v>
          </cell>
          <cell r="F33">
            <v>397.20399999999995</v>
          </cell>
          <cell r="G33">
            <v>620.73800000000006</v>
          </cell>
          <cell r="H33">
            <v>692.67899999999997</v>
          </cell>
          <cell r="I33">
            <v>773.25800000000004</v>
          </cell>
          <cell r="J33">
            <v>842.12599999999998</v>
          </cell>
          <cell r="K33">
            <v>1020.977</v>
          </cell>
          <cell r="L33">
            <v>1155.6083115485951</v>
          </cell>
          <cell r="M33">
            <v>1558.7813839799412</v>
          </cell>
          <cell r="N33">
            <v>1750.8576212042233</v>
          </cell>
          <cell r="O33">
            <v>1742.6801540358827</v>
          </cell>
          <cell r="P33">
            <v>1792.455689109973</v>
          </cell>
          <cell r="Q33">
            <v>1873.0919864183602</v>
          </cell>
          <cell r="R33">
            <v>1944.3018812603405</v>
          </cell>
          <cell r="S33">
            <v>2006.7049836472306</v>
          </cell>
          <cell r="T33">
            <v>2060.4360485126226</v>
          </cell>
          <cell r="U33">
            <v>2103.4433555680262</v>
          </cell>
          <cell r="V33">
            <v>2137.7762563129386</v>
          </cell>
          <cell r="X33">
            <v>-8.0030000000001031</v>
          </cell>
          <cell r="Y33">
            <v>40.47499999999998</v>
          </cell>
          <cell r="Z33">
            <v>2.6670000000000229</v>
          </cell>
          <cell r="AA33">
            <v>70.009999999999977</v>
          </cell>
          <cell r="AB33">
            <v>7.0589999999999673</v>
          </cell>
          <cell r="AC33">
            <v>43.52800000000002</v>
          </cell>
          <cell r="AD33">
            <v>29.437999999999995</v>
          </cell>
          <cell r="AE33">
            <v>76.360999999999919</v>
          </cell>
          <cell r="AF33">
            <v>31.715999999999994</v>
          </cell>
          <cell r="AG33">
            <v>73.674000000000007</v>
          </cell>
          <cell r="AH33">
            <v>43.772999999999996</v>
          </cell>
          <cell r="AI33">
            <v>67.53700000000002</v>
          </cell>
          <cell r="AJ33">
            <v>92.554999999999978</v>
          </cell>
          <cell r="AK33">
            <v>72.454000000000022</v>
          </cell>
          <cell r="AL33">
            <v>95.195000000000007</v>
          </cell>
          <cell r="AM33">
            <v>136.99999999999997</v>
          </cell>
          <cell r="AN33">
            <v>151.696</v>
          </cell>
          <cell r="AO33">
            <v>140.94500000000002</v>
          </cell>
          <cell r="AP33">
            <v>182.52800000000002</v>
          </cell>
          <cell r="AQ33">
            <v>145.56900000000002</v>
          </cell>
          <cell r="AR33">
            <v>171.38699999999994</v>
          </cell>
          <cell r="AS33">
            <v>210.77699999999996</v>
          </cell>
          <cell r="AT33">
            <v>181.63699999999997</v>
          </cell>
          <cell r="AU33">
            <v>128.87799999999996</v>
          </cell>
          <cell r="AV33">
            <v>182.38200000000006</v>
          </cell>
          <cell r="AW33">
            <v>176.75100000000003</v>
          </cell>
          <cell r="AX33">
            <v>227.19300000000001</v>
          </cell>
          <cell r="AY33">
            <v>186.93199999999993</v>
          </cell>
          <cell r="AZ33">
            <v>205.738</v>
          </cell>
          <cell r="BA33">
            <v>203.60799999999998</v>
          </cell>
          <cell r="BB33">
            <v>240.05299999999988</v>
          </cell>
          <cell r="BC33">
            <v>192.727</v>
          </cell>
          <cell r="BD33">
            <v>253.64900000000003</v>
          </cell>
          <cell r="BE33">
            <v>262.74699999999996</v>
          </cell>
          <cell r="BF33">
            <v>258.22299999999996</v>
          </cell>
          <cell r="BG33">
            <v>246.35800000000003</v>
          </cell>
          <cell r="BH33">
            <v>283.81629999999996</v>
          </cell>
          <cell r="BI33">
            <v>275.52199999999999</v>
          </cell>
          <cell r="BJ33">
            <v>290.65999999999997</v>
          </cell>
          <cell r="BK33">
            <v>305.61001154859474</v>
          </cell>
          <cell r="BL33">
            <v>326.58540036134627</v>
          </cell>
          <cell r="BM33">
            <v>402.14181913428126</v>
          </cell>
          <cell r="BN33">
            <v>409.66976737962193</v>
          </cell>
          <cell r="BO33">
            <v>420.38439710469163</v>
          </cell>
          <cell r="BP33">
            <v>403.11002911823414</v>
          </cell>
          <cell r="BQ33">
            <v>440.21933440733733</v>
          </cell>
          <cell r="BR33">
            <v>451.20206586309371</v>
          </cell>
          <cell r="BS33">
            <v>456.3261918155581</v>
          </cell>
        </row>
        <row r="35">
          <cell r="A35" t="str">
            <v>Cash From Investing Activities</v>
          </cell>
        </row>
        <row r="36">
          <cell r="A36" t="str">
            <v xml:space="preserve">  Maturities of Investments</v>
          </cell>
        </row>
        <row r="37">
          <cell r="A37" t="str">
            <v xml:space="preserve">  Proceeds from Disposition of PP&amp;E</v>
          </cell>
          <cell r="C37">
            <v>0</v>
          </cell>
          <cell r="D37">
            <v>0</v>
          </cell>
          <cell r="E37">
            <v>0</v>
          </cell>
          <cell r="F37">
            <v>16.696000000000002</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AM37">
            <v>16.696000000000002</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U37" t="str">
            <v>mstag:netDisposalsAcquisitions</v>
          </cell>
          <cell r="BV37">
            <v>6</v>
          </cell>
          <cell r="BW37" t="str">
            <v>ISO4217:USD</v>
          </cell>
          <cell r="BX37" t="b">
            <v>0</v>
          </cell>
          <cell r="BY37" t="b">
            <v>0</v>
          </cell>
        </row>
        <row r="38">
          <cell r="A38" t="str">
            <v xml:space="preserve">  Capital Expenditures</v>
          </cell>
          <cell r="C38">
            <v>-180.49700000000001</v>
          </cell>
          <cell r="D38">
            <v>-61.608000000000004</v>
          </cell>
          <cell r="E38">
            <v>-42.180999999999997</v>
          </cell>
          <cell r="F38">
            <v>-88.637</v>
          </cell>
          <cell r="G38">
            <v>-127.098</v>
          </cell>
          <cell r="H38">
            <v>-154.381</v>
          </cell>
          <cell r="I38">
            <v>-243.48399999999998</v>
          </cell>
          <cell r="J38">
            <v>-250.262</v>
          </cell>
          <cell r="K38">
            <v>-346.66399999999999</v>
          </cell>
          <cell r="L38">
            <v>-819.08799999999997</v>
          </cell>
          <cell r="M38">
            <v>-398</v>
          </cell>
          <cell r="N38">
            <v>-400</v>
          </cell>
          <cell r="O38">
            <v>-381</v>
          </cell>
          <cell r="P38">
            <v>-381</v>
          </cell>
          <cell r="Q38">
            <v>-381</v>
          </cell>
          <cell r="R38">
            <v>-381</v>
          </cell>
          <cell r="S38">
            <v>-381</v>
          </cell>
          <cell r="T38">
            <v>-381</v>
          </cell>
          <cell r="U38">
            <v>-381</v>
          </cell>
          <cell r="V38">
            <v>-381</v>
          </cell>
          <cell r="X38">
            <v>-83.251000000000005</v>
          </cell>
          <cell r="Y38">
            <v>-48.013999999999982</v>
          </cell>
          <cell r="Z38">
            <v>-24.591000000000008</v>
          </cell>
          <cell r="AA38">
            <v>-24.64100000000002</v>
          </cell>
          <cell r="AB38">
            <v>-18.821000000000002</v>
          </cell>
          <cell r="AC38">
            <v>-13.870000000000001</v>
          </cell>
          <cell r="AD38">
            <v>-13.242999999999991</v>
          </cell>
          <cell r="AE38">
            <v>-15.674000000000003</v>
          </cell>
          <cell r="AF38">
            <v>-10.832000000000001</v>
          </cell>
          <cell r="AG38">
            <v>-7.8339999999999996</v>
          </cell>
          <cell r="AH38">
            <v>-9.945999999999998</v>
          </cell>
          <cell r="AI38">
            <v>-13.568999999999999</v>
          </cell>
          <cell r="AJ38">
            <v>-15.881</v>
          </cell>
          <cell r="AK38">
            <v>-20.645000000000003</v>
          </cell>
          <cell r="AL38">
            <v>-22.701999999999998</v>
          </cell>
          <cell r="AM38">
            <v>-29.408999999999999</v>
          </cell>
          <cell r="AN38">
            <v>-28.376000000000001</v>
          </cell>
          <cell r="AO38">
            <v>-28.667999999999996</v>
          </cell>
          <cell r="AP38">
            <v>-33.618000000000009</v>
          </cell>
          <cell r="AQ38">
            <v>-36.435999999999993</v>
          </cell>
          <cell r="AR38">
            <v>-31.445</v>
          </cell>
          <cell r="AS38">
            <v>-36.140999999999998</v>
          </cell>
          <cell r="AT38">
            <v>-39.379999999999988</v>
          </cell>
          <cell r="AU38">
            <v>-47.415000000000013</v>
          </cell>
          <cell r="AV38">
            <v>-44.625</v>
          </cell>
          <cell r="AW38">
            <v>-52.692999999999998</v>
          </cell>
          <cell r="AX38">
            <v>-67.875999999999991</v>
          </cell>
          <cell r="AY38">
            <v>-78.290000000000006</v>
          </cell>
          <cell r="AZ38">
            <v>-49.627000000000002</v>
          </cell>
          <cell r="BA38">
            <v>-64.227000000000004</v>
          </cell>
          <cell r="BB38">
            <v>-68.572999999999979</v>
          </cell>
          <cell r="BC38">
            <v>-67.835000000000008</v>
          </cell>
          <cell r="BD38">
            <v>-55.057000000000002</v>
          </cell>
          <cell r="BE38">
            <v>-77.452999999999989</v>
          </cell>
          <cell r="BF38">
            <v>-95.969999999999985</v>
          </cell>
          <cell r="BG38">
            <v>-118.18400000000004</v>
          </cell>
          <cell r="BH38">
            <v>-97.900999999999996</v>
          </cell>
          <cell r="BI38">
            <v>-138.67900000000003</v>
          </cell>
          <cell r="BJ38">
            <v>-160.50799999999998</v>
          </cell>
          <cell r="BK38">
            <v>-422</v>
          </cell>
          <cell r="BL38">
            <v>-99.5</v>
          </cell>
          <cell r="BM38">
            <v>-99.5</v>
          </cell>
          <cell r="BN38">
            <v>-99.5</v>
          </cell>
          <cell r="BO38">
            <v>-99.5</v>
          </cell>
          <cell r="BP38">
            <v>-100</v>
          </cell>
          <cell r="BQ38">
            <v>-100</v>
          </cell>
          <cell r="BR38">
            <v>-100</v>
          </cell>
          <cell r="BS38">
            <v>-100</v>
          </cell>
          <cell r="BU38" t="str">
            <v>mstag:capitalExpenditures</v>
          </cell>
          <cell r="BV38">
            <v>6</v>
          </cell>
          <cell r="BW38" t="str">
            <v>ISO4217:USD</v>
          </cell>
          <cell r="BX38" t="b">
            <v>1</v>
          </cell>
          <cell r="BY38" t="b">
            <v>0</v>
          </cell>
        </row>
        <row r="39">
          <cell r="A39" t="str">
            <v xml:space="preserve">  Payments for Acquisitions, net of Cash Acquired</v>
          </cell>
          <cell r="C39">
            <v>-56.361000000000004</v>
          </cell>
          <cell r="D39">
            <v>-95.076999999999998</v>
          </cell>
          <cell r="E39">
            <v>-33.402999999999999</v>
          </cell>
          <cell r="F39">
            <v>-14.748999999999999</v>
          </cell>
          <cell r="G39">
            <v>-14.337</v>
          </cell>
          <cell r="H39">
            <v>-43.962000000000003</v>
          </cell>
          <cell r="I39">
            <v>-42.816999999999993</v>
          </cell>
          <cell r="J39">
            <v>-295.60300000000001</v>
          </cell>
          <cell r="K39">
            <v>-899.60599999999999</v>
          </cell>
          <cell r="L39">
            <v>-1897.8046528140776</v>
          </cell>
          <cell r="M39">
            <v>-430.46184825202045</v>
          </cell>
          <cell r="N39">
            <v>-49.812667733433365</v>
          </cell>
          <cell r="O39">
            <v>-41.2</v>
          </cell>
          <cell r="P39">
            <v>-51.5</v>
          </cell>
          <cell r="Q39">
            <v>-45</v>
          </cell>
          <cell r="R39">
            <v>-52.5</v>
          </cell>
          <cell r="S39">
            <v>-40</v>
          </cell>
          <cell r="T39">
            <v>-44.999999999999993</v>
          </cell>
          <cell r="U39">
            <v>-24.999999999999996</v>
          </cell>
          <cell r="V39">
            <v>-27.499999999999996</v>
          </cell>
          <cell r="X39">
            <v>-15.513999999999999</v>
          </cell>
          <cell r="Y39">
            <v>-6.1370000000000005</v>
          </cell>
          <cell r="Z39">
            <v>0</v>
          </cell>
          <cell r="AA39">
            <v>-34.71</v>
          </cell>
          <cell r="AB39">
            <v>-30.521000000000001</v>
          </cell>
          <cell r="AC39">
            <v>-10.574999999999996</v>
          </cell>
          <cell r="AD39">
            <v>-34.893999999999991</v>
          </cell>
          <cell r="AE39">
            <v>-19.08700000000001</v>
          </cell>
          <cell r="AF39">
            <v>-13.372999999999999</v>
          </cell>
          <cell r="AG39">
            <v>-4.9800000000000022</v>
          </cell>
          <cell r="AH39">
            <v>-9.49</v>
          </cell>
          <cell r="AI39">
            <v>-5.5599999999999952</v>
          </cell>
          <cell r="AJ39">
            <v>-8.202</v>
          </cell>
          <cell r="AK39">
            <v>-3.2520000000000007</v>
          </cell>
          <cell r="AL39">
            <v>-1.4839999999999982</v>
          </cell>
          <cell r="AM39">
            <v>-1.8109999999999999</v>
          </cell>
          <cell r="AN39">
            <v>-0.72399999999999998</v>
          </cell>
          <cell r="AO39">
            <v>-2.1059999999999999</v>
          </cell>
          <cell r="AP39">
            <v>-7.2729999999999997</v>
          </cell>
          <cell r="AQ39">
            <v>-4.234</v>
          </cell>
          <cell r="AR39">
            <v>-10.061</v>
          </cell>
          <cell r="AS39">
            <v>-3.9350000000000005</v>
          </cell>
          <cell r="AT39">
            <v>-6.6980000000000004</v>
          </cell>
          <cell r="AU39">
            <v>-23.268000000000001</v>
          </cell>
          <cell r="AV39">
            <v>-28.312000000000001</v>
          </cell>
          <cell r="AW39">
            <v>-3.8229999999999968</v>
          </cell>
          <cell r="AX39">
            <v>-0.49800000000000466</v>
          </cell>
          <cell r="AY39">
            <v>-10.183999999999994</v>
          </cell>
          <cell r="AZ39">
            <v>-1.145</v>
          </cell>
          <cell r="BA39">
            <v>-92.121000000000009</v>
          </cell>
          <cell r="BB39">
            <v>-67.909000000000006</v>
          </cell>
          <cell r="BC39">
            <v>-134.428</v>
          </cell>
          <cell r="BD39">
            <v>-88.486999999999995</v>
          </cell>
          <cell r="BE39">
            <v>-43.985000000000014</v>
          </cell>
          <cell r="BF39">
            <v>-451.798</v>
          </cell>
          <cell r="BG39">
            <v>-315.33600000000001</v>
          </cell>
          <cell r="BH39">
            <v>-617.34799999999996</v>
          </cell>
          <cell r="BI39">
            <v>-275.20600000000002</v>
          </cell>
          <cell r="BJ39">
            <v>-328.01799999999992</v>
          </cell>
          <cell r="BK39">
            <v>-677.23265281407771</v>
          </cell>
          <cell r="BL39">
            <v>-126.46328367636352</v>
          </cell>
          <cell r="BM39">
            <v>-126.46328367636352</v>
          </cell>
          <cell r="BN39">
            <v>-88.767640449646677</v>
          </cell>
          <cell r="BO39">
            <v>-88.767640449646677</v>
          </cell>
          <cell r="BP39">
            <v>-12.453166933358341</v>
          </cell>
          <cell r="BQ39">
            <v>-12.453166933358341</v>
          </cell>
          <cell r="BR39">
            <v>-12.453166933358341</v>
          </cell>
          <cell r="BS39">
            <v>-12.453166933358341</v>
          </cell>
          <cell r="BU39" t="str">
            <v>mstag:netDisposalsAcquisitions</v>
          </cell>
          <cell r="BV39">
            <v>6</v>
          </cell>
          <cell r="BW39" t="str">
            <v>ISO4217:USD</v>
          </cell>
          <cell r="BX39" t="b">
            <v>0</v>
          </cell>
          <cell r="BY39" t="b">
            <v>0</v>
          </cell>
        </row>
        <row r="40">
          <cell r="A40" t="str">
            <v xml:space="preserve">  Proceeds from Sales of Businesses and Other Long-Term Assets</v>
          </cell>
          <cell r="C40">
            <v>109.35299999999999</v>
          </cell>
          <cell r="D40">
            <v>117.699</v>
          </cell>
          <cell r="E40">
            <v>31.986999999999998</v>
          </cell>
          <cell r="F40">
            <v>6.8810000000000002</v>
          </cell>
          <cell r="G40">
            <v>35.387</v>
          </cell>
          <cell r="H40">
            <v>22.163</v>
          </cell>
          <cell r="I40">
            <v>5.3730000000000002</v>
          </cell>
          <cell r="J40">
            <v>9.1029999999999998</v>
          </cell>
          <cell r="K40">
            <v>21.722000000000001</v>
          </cell>
          <cell r="L40">
            <v>65.222999999999999</v>
          </cell>
          <cell r="M40">
            <v>0</v>
          </cell>
          <cell r="N40">
            <v>0</v>
          </cell>
          <cell r="O40">
            <v>0</v>
          </cell>
          <cell r="P40">
            <v>0</v>
          </cell>
          <cell r="Q40">
            <v>0</v>
          </cell>
          <cell r="R40">
            <v>0</v>
          </cell>
          <cell r="S40">
            <v>0</v>
          </cell>
          <cell r="T40">
            <v>0</v>
          </cell>
          <cell r="U40">
            <v>0</v>
          </cell>
          <cell r="V40">
            <v>0</v>
          </cell>
          <cell r="X40">
            <v>17.568000000000001</v>
          </cell>
          <cell r="Y40">
            <v>2.4609999999999985</v>
          </cell>
          <cell r="Z40">
            <v>19.696999999999999</v>
          </cell>
          <cell r="AA40">
            <v>69.626999999999995</v>
          </cell>
          <cell r="AB40">
            <v>72.153999999999996</v>
          </cell>
          <cell r="AC40">
            <v>5.1629999999999967</v>
          </cell>
          <cell r="AD40">
            <v>-3.0209999999999866</v>
          </cell>
          <cell r="AE40">
            <v>43.402999999999992</v>
          </cell>
          <cell r="AF40">
            <v>20.818000000000001</v>
          </cell>
          <cell r="AG40">
            <v>0.46999999999999886</v>
          </cell>
          <cell r="AH40">
            <v>2.2109999999999985</v>
          </cell>
          <cell r="AI40">
            <v>8.4879999999999995</v>
          </cell>
          <cell r="AJ40">
            <v>0.91</v>
          </cell>
          <cell r="AK40">
            <v>2.7149999999999999</v>
          </cell>
          <cell r="AL40">
            <v>0.17499999999999993</v>
          </cell>
          <cell r="AM40">
            <v>3.0810000000000004</v>
          </cell>
          <cell r="AN40">
            <v>1.6359999999999999</v>
          </cell>
          <cell r="AO40">
            <v>13.104000000000001</v>
          </cell>
          <cell r="AP40">
            <v>11.947999999999999</v>
          </cell>
          <cell r="AQ40">
            <v>8.6989999999999998</v>
          </cell>
          <cell r="AR40">
            <v>9.0950000000000006</v>
          </cell>
          <cell r="AS40">
            <v>7.1859999999999982</v>
          </cell>
          <cell r="AT40">
            <v>3.7870000000000026</v>
          </cell>
          <cell r="AU40">
            <v>2.0949999999999989</v>
          </cell>
          <cell r="AV40">
            <v>2.1360000000000001</v>
          </cell>
          <cell r="AW40">
            <v>0.21799999999999997</v>
          </cell>
          <cell r="AX40">
            <v>2.1630000000000003</v>
          </cell>
          <cell r="AY40">
            <v>0.85599999999999987</v>
          </cell>
          <cell r="AZ40">
            <v>1.1439999999999999</v>
          </cell>
          <cell r="BA40">
            <v>1.2510000000000001</v>
          </cell>
          <cell r="BB40">
            <v>1.1549999999999996</v>
          </cell>
          <cell r="BC40">
            <v>5.5529999999999999</v>
          </cell>
          <cell r="BD40">
            <v>1.075</v>
          </cell>
          <cell r="BE40">
            <v>1.0559999999999998</v>
          </cell>
          <cell r="BF40">
            <v>1.1740000000000006</v>
          </cell>
          <cell r="BG40">
            <v>18.417000000000002</v>
          </cell>
          <cell r="BH40">
            <v>49.189</v>
          </cell>
          <cell r="BI40">
            <v>11.692999999999998</v>
          </cell>
          <cell r="BJ40">
            <v>4.3410000000000011</v>
          </cell>
          <cell r="BU40" t="str">
            <v>mstag:gainsLossesFromSaleOfOperatingAssetsRecurring</v>
          </cell>
          <cell r="BV40">
            <v>6</v>
          </cell>
          <cell r="BW40" t="str">
            <v>ISO4217:USD</v>
          </cell>
          <cell r="BX40" t="b">
            <v>1</v>
          </cell>
          <cell r="BY40" t="b">
            <v>0</v>
          </cell>
        </row>
        <row r="41">
          <cell r="A41" t="str">
            <v xml:space="preserve">  Deposits, Investments and Other Long-Term Assets</v>
          </cell>
          <cell r="C41">
            <v>12.247999999999998</v>
          </cell>
          <cell r="D41">
            <v>-17.024000000000001</v>
          </cell>
          <cell r="E41">
            <v>-1.6190000000000007</v>
          </cell>
          <cell r="F41">
            <v>-0.72500000000000142</v>
          </cell>
          <cell r="G41">
            <v>-23.064</v>
          </cell>
          <cell r="H41">
            <v>-9.9999999999999982</v>
          </cell>
          <cell r="I41">
            <v>5.9879999999999995</v>
          </cell>
          <cell r="J41">
            <v>-6.3040000000000003</v>
          </cell>
          <cell r="K41">
            <v>-76.353999999999999</v>
          </cell>
          <cell r="L41">
            <v>-7.1939999999999973</v>
          </cell>
          <cell r="M41">
            <v>0</v>
          </cell>
          <cell r="N41">
            <v>0</v>
          </cell>
          <cell r="O41">
            <v>0</v>
          </cell>
          <cell r="P41">
            <v>0</v>
          </cell>
          <cell r="Q41">
            <v>0</v>
          </cell>
          <cell r="R41">
            <v>0</v>
          </cell>
          <cell r="S41">
            <v>0</v>
          </cell>
          <cell r="T41">
            <v>0</v>
          </cell>
          <cell r="U41">
            <v>0</v>
          </cell>
          <cell r="V41">
            <v>0</v>
          </cell>
          <cell r="X41">
            <v>-9.6519999999999992</v>
          </cell>
          <cell r="Y41">
            <v>-1.0830000000000002</v>
          </cell>
          <cell r="Z41">
            <v>-6.0300000000000011</v>
          </cell>
          <cell r="AA41">
            <v>29.012999999999998</v>
          </cell>
          <cell r="AB41">
            <v>1.2050000000000001</v>
          </cell>
          <cell r="AC41">
            <v>-0.57000000000000006</v>
          </cell>
          <cell r="AD41">
            <v>-10.683</v>
          </cell>
          <cell r="AE41">
            <v>-6.9760000000000009</v>
          </cell>
          <cell r="AF41">
            <v>-2.5859999999999999</v>
          </cell>
          <cell r="AG41">
            <v>-0.81300000000000017</v>
          </cell>
          <cell r="AH41">
            <v>-0.22299999999999986</v>
          </cell>
          <cell r="AI41">
            <v>2.0029999999999992</v>
          </cell>
          <cell r="AJ41">
            <v>-0.31</v>
          </cell>
          <cell r="AK41">
            <v>-0.27699999999999997</v>
          </cell>
          <cell r="AL41">
            <v>33.56900000000001</v>
          </cell>
          <cell r="AM41">
            <v>-33.707000000000008</v>
          </cell>
          <cell r="AN41">
            <v>-0.05</v>
          </cell>
          <cell r="AO41">
            <v>-23.227999999999998</v>
          </cell>
          <cell r="AP41">
            <v>8.8000000000000259E-2</v>
          </cell>
          <cell r="AQ41">
            <v>0.12599999999999695</v>
          </cell>
          <cell r="AR41">
            <v>6.5000000000000002E-2</v>
          </cell>
          <cell r="AS41">
            <v>-26.301000000000002</v>
          </cell>
          <cell r="AT41">
            <v>16.462</v>
          </cell>
          <cell r="AU41">
            <v>-0.22599999999999781</v>
          </cell>
          <cell r="AV41">
            <v>2.0699999999999998</v>
          </cell>
          <cell r="AW41">
            <v>-3.9189999999999996</v>
          </cell>
          <cell r="AX41">
            <v>3.6919999999999997</v>
          </cell>
          <cell r="AY41">
            <v>4.1449999999999996</v>
          </cell>
          <cell r="AZ41">
            <v>1.1200000000000001</v>
          </cell>
          <cell r="BA41">
            <v>-8.1760000000000002</v>
          </cell>
          <cell r="BB41">
            <v>2.7270000000000003</v>
          </cell>
          <cell r="BC41">
            <v>-1.9750000000000005</v>
          </cell>
          <cell r="BD41">
            <v>-8.2110000000000003</v>
          </cell>
          <cell r="BE41">
            <v>-15.848000000000001</v>
          </cell>
          <cell r="BF41">
            <v>-25.656000000000006</v>
          </cell>
          <cell r="BG41">
            <v>-26.638999999999996</v>
          </cell>
          <cell r="BH41">
            <v>-8.4700000000000006</v>
          </cell>
          <cell r="BI41">
            <v>19.435000000000002</v>
          </cell>
          <cell r="BJ41">
            <v>-18.158999999999999</v>
          </cell>
          <cell r="BU41" t="str">
            <v>mstag:otherCashFlow</v>
          </cell>
          <cell r="BV41">
            <v>6</v>
          </cell>
          <cell r="BW41" t="str">
            <v>ISO4217:USD</v>
          </cell>
          <cell r="BX41" t="b">
            <v>0</v>
          </cell>
          <cell r="BY41" t="b">
            <v>0</v>
          </cell>
        </row>
        <row r="42">
          <cell r="A42" t="str">
            <v>Cash Provided by (used in) Investing Activities</v>
          </cell>
          <cell r="C42">
            <v>-115.25700000000001</v>
          </cell>
          <cell r="D42">
            <v>-56.010000000000005</v>
          </cell>
          <cell r="E42">
            <v>-45.216000000000008</v>
          </cell>
          <cell r="F42">
            <v>-80.533999999999992</v>
          </cell>
          <cell r="G42">
            <v>-129.11199999999999</v>
          </cell>
          <cell r="H42">
            <v>-186.18</v>
          </cell>
          <cell r="I42">
            <v>-274.94</v>
          </cell>
          <cell r="J42">
            <v>-543.06600000000003</v>
          </cell>
          <cell r="K42">
            <v>-1300.902</v>
          </cell>
          <cell r="L42">
            <v>-2658.8636528140773</v>
          </cell>
          <cell r="M42">
            <v>-828.46184825202045</v>
          </cell>
          <cell r="N42">
            <v>-449.81266773343339</v>
          </cell>
          <cell r="O42">
            <v>-422.2</v>
          </cell>
          <cell r="P42">
            <v>-432.5</v>
          </cell>
          <cell r="Q42">
            <v>-426</v>
          </cell>
          <cell r="R42">
            <v>-433.5</v>
          </cell>
          <cell r="S42">
            <v>-421</v>
          </cell>
          <cell r="T42">
            <v>-426</v>
          </cell>
          <cell r="U42">
            <v>-406</v>
          </cell>
          <cell r="V42">
            <v>-408.5</v>
          </cell>
          <cell r="X42">
            <v>-90.849000000000004</v>
          </cell>
          <cell r="Y42">
            <v>-52.772999999999982</v>
          </cell>
          <cell r="Z42">
            <v>-10.92400000000001</v>
          </cell>
          <cell r="AA42">
            <v>39.288999999999973</v>
          </cell>
          <cell r="AB42">
            <v>24.016999999999996</v>
          </cell>
          <cell r="AC42">
            <v>-19.852</v>
          </cell>
          <cell r="AD42">
            <v>-61.840999999999973</v>
          </cell>
          <cell r="AE42">
            <v>1.6659999999999808</v>
          </cell>
          <cell r="AF42">
            <v>-5.9729999999999972</v>
          </cell>
          <cell r="AG42">
            <v>-13.157000000000004</v>
          </cell>
          <cell r="AH42">
            <v>-17.448</v>
          </cell>
          <cell r="AI42">
            <v>-8.6379999999999946</v>
          </cell>
          <cell r="AJ42">
            <v>-23.482999999999997</v>
          </cell>
          <cell r="AK42">
            <v>-21.459000000000007</v>
          </cell>
          <cell r="AL42">
            <v>9.558000000000014</v>
          </cell>
          <cell r="AM42">
            <v>-45.150000000000006</v>
          </cell>
          <cell r="AN42">
            <v>-27.514000000000003</v>
          </cell>
          <cell r="AO42">
            <v>-40.897999999999996</v>
          </cell>
          <cell r="AP42">
            <v>-28.855000000000004</v>
          </cell>
          <cell r="AQ42">
            <v>-31.844999999999999</v>
          </cell>
          <cell r="AR42">
            <v>-32.346000000000004</v>
          </cell>
          <cell r="AS42">
            <v>-59.191000000000003</v>
          </cell>
          <cell r="AT42">
            <v>-25.828999999999983</v>
          </cell>
          <cell r="AU42">
            <v>-68.814000000000021</v>
          </cell>
          <cell r="AV42">
            <v>-68.731000000000009</v>
          </cell>
          <cell r="AW42">
            <v>-60.216999999999985</v>
          </cell>
          <cell r="AX42">
            <v>-62.518999999999998</v>
          </cell>
          <cell r="AY42">
            <v>-83.473000000000013</v>
          </cell>
          <cell r="AZ42">
            <v>-48.50800000000001</v>
          </cell>
          <cell r="BA42">
            <v>-163.273</v>
          </cell>
          <cell r="BB42">
            <v>-132.59999999999997</v>
          </cell>
          <cell r="BC42">
            <v>-198.685</v>
          </cell>
          <cell r="BD42">
            <v>-150.68</v>
          </cell>
          <cell r="BE42">
            <v>-136.23000000000002</v>
          </cell>
          <cell r="BF42">
            <v>-572.25</v>
          </cell>
          <cell r="BG42">
            <v>-441.74200000000008</v>
          </cell>
          <cell r="BH42">
            <v>-674.53</v>
          </cell>
          <cell r="BI42">
            <v>-382.75700000000006</v>
          </cell>
          <cell r="BJ42">
            <v>-502.34399999999988</v>
          </cell>
          <cell r="BK42">
            <v>-1099.2326528140777</v>
          </cell>
          <cell r="BL42">
            <v>-225.96328367636352</v>
          </cell>
          <cell r="BM42">
            <v>-225.96328367636352</v>
          </cell>
          <cell r="BN42">
            <v>-188.26764044964668</v>
          </cell>
          <cell r="BO42">
            <v>-188.26764044964668</v>
          </cell>
          <cell r="BP42">
            <v>-112.45316693335835</v>
          </cell>
          <cell r="BQ42">
            <v>-112.45316693335835</v>
          </cell>
          <cell r="BR42">
            <v>-112.45316693335835</v>
          </cell>
          <cell r="BS42">
            <v>-112.45316693335835</v>
          </cell>
        </row>
        <row r="44">
          <cell r="A44" t="str">
            <v>Cash From Financing Activities</v>
          </cell>
        </row>
        <row r="45">
          <cell r="A45" t="str">
            <v xml:space="preserve">  Borrowings under Credit Facilities</v>
          </cell>
          <cell r="C45">
            <v>160</v>
          </cell>
          <cell r="D45">
            <v>0</v>
          </cell>
          <cell r="E45">
            <v>700</v>
          </cell>
          <cell r="F45">
            <v>1543</v>
          </cell>
          <cell r="G45">
            <v>242</v>
          </cell>
          <cell r="H45">
            <v>2175</v>
          </cell>
          <cell r="I45">
            <v>575</v>
          </cell>
          <cell r="J45">
            <v>0</v>
          </cell>
          <cell r="K45">
            <v>500.56200000000001</v>
          </cell>
          <cell r="L45">
            <v>381.142</v>
          </cell>
          <cell r="M45">
            <v>0</v>
          </cell>
          <cell r="N45">
            <v>0</v>
          </cell>
          <cell r="X45">
            <v>145</v>
          </cell>
          <cell r="Y45">
            <v>15</v>
          </cell>
          <cell r="Z45">
            <v>0</v>
          </cell>
          <cell r="AA45">
            <v>0</v>
          </cell>
          <cell r="AG45">
            <v>700</v>
          </cell>
          <cell r="AH45">
            <v>0</v>
          </cell>
          <cell r="AJ45">
            <v>0</v>
          </cell>
          <cell r="AK45">
            <v>0</v>
          </cell>
          <cell r="AL45">
            <v>50</v>
          </cell>
          <cell r="AM45">
            <v>1493</v>
          </cell>
          <cell r="AN45">
            <v>179</v>
          </cell>
          <cell r="AO45">
            <v>63</v>
          </cell>
          <cell r="AP45">
            <v>0</v>
          </cell>
          <cell r="AQ45">
            <v>0</v>
          </cell>
          <cell r="AR45">
            <v>310</v>
          </cell>
          <cell r="AS45">
            <v>1040</v>
          </cell>
          <cell r="AT45">
            <v>550</v>
          </cell>
          <cell r="AU45">
            <v>275</v>
          </cell>
          <cell r="AV45">
            <v>475</v>
          </cell>
          <cell r="AW45">
            <v>0</v>
          </cell>
          <cell r="AX45">
            <v>50</v>
          </cell>
          <cell r="AY45">
            <v>50</v>
          </cell>
          <cell r="AZ45">
            <v>0</v>
          </cell>
          <cell r="BA45">
            <v>0</v>
          </cell>
          <cell r="BB45">
            <v>0</v>
          </cell>
          <cell r="BC45">
            <v>0</v>
          </cell>
          <cell r="BD45">
            <v>75</v>
          </cell>
          <cell r="BE45">
            <v>0</v>
          </cell>
          <cell r="BF45">
            <v>382.15300000000002</v>
          </cell>
          <cell r="BG45">
            <v>43.408999999999992</v>
          </cell>
          <cell r="BH45">
            <v>101.129</v>
          </cell>
          <cell r="BI45">
            <v>100.00000000000001</v>
          </cell>
          <cell r="BJ45">
            <v>180.01299999999998</v>
          </cell>
          <cell r="BU45" t="str">
            <v>mstag:proceedsFromIssuanceAndCashUsedToRepayShortTermBorrowings</v>
          </cell>
          <cell r="BV45">
            <v>6</v>
          </cell>
          <cell r="BW45" t="str">
            <v>ISO4217:USD</v>
          </cell>
          <cell r="BX45" t="b">
            <v>0</v>
          </cell>
          <cell r="BY45" t="b">
            <v>0</v>
          </cell>
        </row>
        <row r="46">
          <cell r="A46" t="str">
            <v xml:space="preserve">  Repayment of Credit Facilities and Other Long-Term Obligations</v>
          </cell>
          <cell r="C46">
            <v>-148.27000000000001</v>
          </cell>
          <cell r="D46">
            <v>-1071.9559999999999</v>
          </cell>
          <cell r="E46">
            <v>-2003.4010000000001</v>
          </cell>
          <cell r="F46">
            <v>-1949.444</v>
          </cell>
          <cell r="G46">
            <v>-295.76</v>
          </cell>
          <cell r="H46">
            <v>-3612.24</v>
          </cell>
          <cell r="I46">
            <v>-327.45299999999997</v>
          </cell>
          <cell r="J46">
            <v>-31.198999999999955</v>
          </cell>
          <cell r="K46">
            <v>-983.73699999999985</v>
          </cell>
          <cell r="L46">
            <v>-207.12</v>
          </cell>
          <cell r="M46">
            <v>0</v>
          </cell>
          <cell r="N46">
            <v>0</v>
          </cell>
          <cell r="X46">
            <v>-99.114000000000004</v>
          </cell>
          <cell r="Y46">
            <v>-3.7339999999999947</v>
          </cell>
          <cell r="Z46">
            <v>-3.8239999999999981</v>
          </cell>
          <cell r="AA46">
            <v>-41.598000000000013</v>
          </cell>
          <cell r="AB46">
            <v>-240.595</v>
          </cell>
          <cell r="AC46">
            <v>-41.203999999999979</v>
          </cell>
          <cell r="AD46">
            <v>-246.94600000000005</v>
          </cell>
          <cell r="AE46">
            <v>-543.2109999999999</v>
          </cell>
          <cell r="AF46">
            <v>-307.70400000000001</v>
          </cell>
          <cell r="AG46">
            <v>-769.27400000000011</v>
          </cell>
          <cell r="AH46">
            <v>-446.85699999999991</v>
          </cell>
          <cell r="AI46">
            <v>-479.56600000000003</v>
          </cell>
          <cell r="AJ46">
            <v>-169.08600000000001</v>
          </cell>
          <cell r="AK46">
            <v>-91.101999999999975</v>
          </cell>
          <cell r="AL46">
            <v>-166.262</v>
          </cell>
          <cell r="AM46">
            <v>-1522.9939999999999</v>
          </cell>
          <cell r="AN46">
            <v>-182.024</v>
          </cell>
          <cell r="AO46">
            <v>-50.317000000000007</v>
          </cell>
          <cell r="AP46">
            <v>-40.086000000000013</v>
          </cell>
          <cell r="AQ46">
            <v>-23.33299999999997</v>
          </cell>
          <cell r="AR46">
            <v>-225.84899999999999</v>
          </cell>
          <cell r="AS46">
            <v>-2385.837</v>
          </cell>
          <cell r="AT46">
            <v>-500.0800000000001</v>
          </cell>
          <cell r="AU46">
            <v>-500.47399999999988</v>
          </cell>
          <cell r="AV46">
            <v>-325.64</v>
          </cell>
          <cell r="AW46">
            <v>-0.68600000000003547</v>
          </cell>
          <cell r="AX46">
            <v>-0.6029999999999518</v>
          </cell>
          <cell r="AY46">
            <v>-0.52400000000000091</v>
          </cell>
          <cell r="AZ46">
            <v>-1.155</v>
          </cell>
          <cell r="BA46">
            <v>43.671000000000021</v>
          </cell>
          <cell r="BB46">
            <v>-97.160000000000025</v>
          </cell>
          <cell r="BC46">
            <v>23.44500000000005</v>
          </cell>
          <cell r="BD46">
            <v>-60.709000000000003</v>
          </cell>
          <cell r="BE46">
            <v>-78.350999999999999</v>
          </cell>
          <cell r="BF46">
            <v>-582.971</v>
          </cell>
          <cell r="BG46">
            <v>-261.70599999999996</v>
          </cell>
          <cell r="BH46">
            <v>-126.669</v>
          </cell>
          <cell r="BI46">
            <v>-0.89000000000000057</v>
          </cell>
          <cell r="BJ46">
            <v>-79.561000000000021</v>
          </cell>
          <cell r="BU46" t="str">
            <v>mstag:proceedsFromIssuanceAndCashUsedToRepayLongTermDebt</v>
          </cell>
          <cell r="BV46">
            <v>6</v>
          </cell>
          <cell r="BW46" t="str">
            <v>ISO4217:USD</v>
          </cell>
          <cell r="BX46" t="b">
            <v>0</v>
          </cell>
          <cell r="BY46" t="b">
            <v>0</v>
          </cell>
        </row>
        <row r="47">
          <cell r="A47" t="str">
            <v xml:space="preserve">  Proceeds from Issuance of Debt Securities</v>
          </cell>
          <cell r="C47">
            <v>0</v>
          </cell>
          <cell r="D47">
            <v>1032.384</v>
          </cell>
          <cell r="E47">
            <v>1072.5</v>
          </cell>
          <cell r="F47">
            <v>0</v>
          </cell>
          <cell r="G47">
            <v>0</v>
          </cell>
          <cell r="H47">
            <v>2250.422</v>
          </cell>
          <cell r="I47">
            <v>0</v>
          </cell>
          <cell r="J47">
            <v>0</v>
          </cell>
          <cell r="K47">
            <v>1698.37</v>
          </cell>
          <cell r="L47">
            <v>80.813999999999993</v>
          </cell>
          <cell r="M47">
            <v>0</v>
          </cell>
          <cell r="N47">
            <v>0</v>
          </cell>
          <cell r="AB47">
            <v>419.88400000000001</v>
          </cell>
          <cell r="AC47">
            <v>0</v>
          </cell>
          <cell r="AD47">
            <v>212.5</v>
          </cell>
          <cell r="AE47">
            <v>400</v>
          </cell>
          <cell r="AF47">
            <v>225</v>
          </cell>
          <cell r="AG47">
            <v>0</v>
          </cell>
          <cell r="AH47">
            <v>345</v>
          </cell>
          <cell r="AI47">
            <v>502.5</v>
          </cell>
          <cell r="AN47">
            <v>0</v>
          </cell>
          <cell r="AO47">
            <v>0</v>
          </cell>
          <cell r="AP47">
            <v>0</v>
          </cell>
          <cell r="AQ47">
            <v>0</v>
          </cell>
          <cell r="AR47">
            <v>0</v>
          </cell>
          <cell r="AS47">
            <v>1750</v>
          </cell>
          <cell r="AT47">
            <v>0</v>
          </cell>
          <cell r="AU47">
            <v>500.42200000000003</v>
          </cell>
          <cell r="BE47">
            <v>0</v>
          </cell>
          <cell r="BF47">
            <v>699.16</v>
          </cell>
          <cell r="BG47">
            <v>999.20999999999992</v>
          </cell>
          <cell r="BI47">
            <v>30.241</v>
          </cell>
          <cell r="BJ47">
            <v>50.572999999999993</v>
          </cell>
          <cell r="BU47" t="str">
            <v>mstag:proceedsFromIssuanceAndCashUsedToRepayLongTermDebt</v>
          </cell>
          <cell r="BV47">
            <v>6</v>
          </cell>
          <cell r="BW47" t="str">
            <v>ISO4217:USD</v>
          </cell>
          <cell r="BX47" t="b">
            <v>0</v>
          </cell>
          <cell r="BY47" t="b">
            <v>0</v>
          </cell>
        </row>
        <row r="48">
          <cell r="A48" t="str">
            <v xml:space="preserve">  Principal Payments on Long-term Debt</v>
          </cell>
          <cell r="C48">
            <v>0</v>
          </cell>
          <cell r="D48">
            <v>0</v>
          </cell>
          <cell r="E48">
            <v>0</v>
          </cell>
          <cell r="F48">
            <v>0</v>
          </cell>
          <cell r="G48">
            <v>0</v>
          </cell>
          <cell r="H48">
            <v>0</v>
          </cell>
          <cell r="I48">
            <v>0</v>
          </cell>
          <cell r="J48">
            <v>0</v>
          </cell>
          <cell r="K48">
            <v>0</v>
          </cell>
          <cell r="L48">
            <v>836.36575077749876</v>
          </cell>
          <cell r="M48">
            <v>1.0584864293341525</v>
          </cell>
          <cell r="N48">
            <v>1.1259491130749666</v>
          </cell>
          <cell r="O48">
            <v>1.1710904965666487</v>
          </cell>
          <cell r="P48">
            <v>1.2442263931416164</v>
          </cell>
          <cell r="Q48">
            <v>1.3220762369392105</v>
          </cell>
          <cell r="R48">
            <v>1.4049523951107403</v>
          </cell>
          <cell r="S48">
            <v>1.4931884257894126</v>
          </cell>
          <cell r="T48">
            <v>1.4659310265587919</v>
          </cell>
          <cell r="U48">
            <v>1.5605106993189111</v>
          </cell>
          <cell r="V48">
            <v>1.6613464854808626</v>
          </cell>
          <cell r="BK48">
            <v>836.36575077749876</v>
          </cell>
          <cell r="BL48">
            <v>0.25852954334186506</v>
          </cell>
          <cell r="BM48">
            <v>0.26254759785024362</v>
          </cell>
          <cell r="BN48">
            <v>0.26663044061660912</v>
          </cell>
          <cell r="BO48">
            <v>0.27077884752543468</v>
          </cell>
          <cell r="BP48">
            <v>0.27499390539560409</v>
          </cell>
          <cell r="BQ48">
            <v>0.27927671570887469</v>
          </cell>
          <cell r="BR48">
            <v>0.28362839863893896</v>
          </cell>
          <cell r="BS48">
            <v>0.28805009333154885</v>
          </cell>
          <cell r="BU48" t="str">
            <v>mstag:proceedsFromIssuanceAndCashUsedToRepayLongTermDebt</v>
          </cell>
          <cell r="BV48">
            <v>6</v>
          </cell>
          <cell r="BW48" t="str">
            <v>ISO4217:USD</v>
          </cell>
          <cell r="BX48" t="b">
            <v>0</v>
          </cell>
          <cell r="BY48" t="b">
            <v>0</v>
          </cell>
        </row>
        <row r="49">
          <cell r="A49" t="str">
            <v xml:space="preserve">  Net Proceeds from Equity Offering, Stock</v>
          </cell>
          <cell r="C49">
            <v>1.3050000000000002</v>
          </cell>
          <cell r="D49">
            <v>126.84699999999999</v>
          </cell>
          <cell r="E49">
            <v>40.555999999999997</v>
          </cell>
          <cell r="F49">
            <v>65.356999999999999</v>
          </cell>
          <cell r="G49">
            <v>40.94</v>
          </cell>
          <cell r="H49">
            <v>124.087</v>
          </cell>
          <cell r="I49">
            <v>82.927999999999997</v>
          </cell>
          <cell r="J49">
            <v>65.972999999999999</v>
          </cell>
          <cell r="K49">
            <v>138.50799999999998</v>
          </cell>
          <cell r="L49">
            <v>60.926000000000002</v>
          </cell>
          <cell r="M49">
            <v>0</v>
          </cell>
          <cell r="N49">
            <v>0</v>
          </cell>
          <cell r="Y49">
            <v>0.91</v>
          </cell>
          <cell r="Z49">
            <v>0</v>
          </cell>
          <cell r="AA49">
            <v>0.39500000000000002</v>
          </cell>
          <cell r="AD49">
            <v>125.205</v>
          </cell>
          <cell r="AE49">
            <v>1.6419999999999959</v>
          </cell>
          <cell r="AF49">
            <v>4.2709999999999999</v>
          </cell>
          <cell r="AG49">
            <v>4.5089999999999995</v>
          </cell>
          <cell r="AH49">
            <v>14.68</v>
          </cell>
          <cell r="AI49">
            <v>17.095999999999997</v>
          </cell>
          <cell r="AJ49">
            <v>7.5</v>
          </cell>
          <cell r="AK49">
            <v>3.2669999999999995</v>
          </cell>
          <cell r="AL49">
            <v>35.269999999999996</v>
          </cell>
          <cell r="AM49">
            <v>19.320000000000004</v>
          </cell>
          <cell r="AN49">
            <v>16.178999999999998</v>
          </cell>
          <cell r="AO49">
            <v>19.183000000000003</v>
          </cell>
          <cell r="AP49">
            <v>3.4179999999999993</v>
          </cell>
          <cell r="AQ49">
            <v>2.1599999999999966</v>
          </cell>
          <cell r="AR49">
            <v>46.844999999999999</v>
          </cell>
          <cell r="AS49">
            <v>55.018000000000001</v>
          </cell>
          <cell r="AT49">
            <v>8.5520000000000067</v>
          </cell>
          <cell r="AU49">
            <v>13.671999999999997</v>
          </cell>
          <cell r="AV49">
            <v>11.644</v>
          </cell>
          <cell r="AW49">
            <v>28.731999999999999</v>
          </cell>
          <cell r="AX49">
            <v>35.533999999999999</v>
          </cell>
          <cell r="AY49">
            <v>7.0179999999999989</v>
          </cell>
          <cell r="AZ49">
            <v>8.8979999999999997</v>
          </cell>
          <cell r="BA49">
            <v>7.2029999999999994</v>
          </cell>
          <cell r="BB49">
            <v>19.886000000000003</v>
          </cell>
          <cell r="BC49">
            <v>29.985999999999997</v>
          </cell>
          <cell r="BD49">
            <v>47.469000000000001</v>
          </cell>
          <cell r="BE49">
            <v>42.609999999999992</v>
          </cell>
          <cell r="BF49">
            <v>32.262999999999998</v>
          </cell>
          <cell r="BG49">
            <v>16.166000000000011</v>
          </cell>
          <cell r="BH49">
            <v>10.173</v>
          </cell>
          <cell r="BI49">
            <v>30.055</v>
          </cell>
          <cell r="BJ49">
            <v>20.698</v>
          </cell>
          <cell r="BU49" t="str">
            <v>mstag:proceedsFromIssuanceFundsUsedToRepurchaseCommonStock</v>
          </cell>
          <cell r="BV49">
            <v>6</v>
          </cell>
          <cell r="BW49" t="str">
            <v>ISO4217:USD</v>
          </cell>
          <cell r="BX49" t="b">
            <v>0</v>
          </cell>
          <cell r="BY49" t="b">
            <v>0</v>
          </cell>
        </row>
        <row r="50">
          <cell r="A50" t="str">
            <v xml:space="preserve">  Purchases and Redemption of Common Stock</v>
          </cell>
          <cell r="C50">
            <v>0</v>
          </cell>
          <cell r="D50">
            <v>0</v>
          </cell>
          <cell r="E50">
            <v>0</v>
          </cell>
          <cell r="F50">
            <v>-68.927000000000007</v>
          </cell>
          <cell r="G50">
            <v>-306.85599999999999</v>
          </cell>
          <cell r="H50">
            <v>-1642.8209999999999</v>
          </cell>
          <cell r="I50">
            <v>-714.65499999999997</v>
          </cell>
          <cell r="J50">
            <v>-213.28800000000001</v>
          </cell>
          <cell r="K50">
            <v>-430.61799999999999</v>
          </cell>
          <cell r="L50">
            <v>-423.91260060634795</v>
          </cell>
          <cell r="M50">
            <v>26.714180152987865</v>
          </cell>
          <cell r="N50">
            <v>23.511379768772713</v>
          </cell>
          <cell r="O50">
            <v>8.4196594167187868</v>
          </cell>
          <cell r="P50">
            <v>2.6837848158220368</v>
          </cell>
          <cell r="Q50">
            <v>-1.0040550886433266</v>
          </cell>
          <cell r="R50">
            <v>-2.506564800477463</v>
          </cell>
          <cell r="S50">
            <v>-13.058290002823014</v>
          </cell>
          <cell r="T50">
            <v>-23.614939821587541</v>
          </cell>
          <cell r="U50">
            <v>-34.319384281797284</v>
          </cell>
          <cell r="V50">
            <v>-45.314167199158874</v>
          </cell>
          <cell r="AJ50">
            <v>0</v>
          </cell>
          <cell r="AK50">
            <v>0</v>
          </cell>
          <cell r="AL50">
            <v>0</v>
          </cell>
          <cell r="AM50">
            <v>-68.927000000000007</v>
          </cell>
          <cell r="AN50">
            <v>-162.68</v>
          </cell>
          <cell r="AO50">
            <v>-126.779</v>
          </cell>
          <cell r="AP50">
            <v>0</v>
          </cell>
          <cell r="AQ50">
            <v>-17.396999999999991</v>
          </cell>
          <cell r="AR50">
            <v>-499.01299999999998</v>
          </cell>
          <cell r="AS50">
            <v>-414.22399999999999</v>
          </cell>
          <cell r="AT50">
            <v>-339.46500000000009</v>
          </cell>
          <cell r="AU50">
            <v>-390.11899999999986</v>
          </cell>
          <cell r="AV50">
            <v>-182.75</v>
          </cell>
          <cell r="AW50">
            <v>-113.81599999999997</v>
          </cell>
          <cell r="AX50">
            <v>-335.33500000000004</v>
          </cell>
          <cell r="AY50">
            <v>-82.753999999999962</v>
          </cell>
          <cell r="AZ50">
            <v>-4.6609999999999996</v>
          </cell>
          <cell r="BA50">
            <v>-61.084000000000003</v>
          </cell>
          <cell r="BB50">
            <v>-123.92499999999998</v>
          </cell>
          <cell r="BC50">
            <v>-23.618000000000023</v>
          </cell>
          <cell r="BD50">
            <v>-58.835999999999999</v>
          </cell>
          <cell r="BE50">
            <v>-141.69499999999999</v>
          </cell>
          <cell r="BF50">
            <v>-149.92099999999999</v>
          </cell>
          <cell r="BG50">
            <v>-80.166000000000011</v>
          </cell>
          <cell r="BH50">
            <v>-127.723</v>
          </cell>
          <cell r="BI50">
            <v>-103.86</v>
          </cell>
          <cell r="BJ50">
            <v>-159.51499999999999</v>
          </cell>
          <cell r="BK50">
            <v>-32.814600606347994</v>
          </cell>
          <cell r="BL50">
            <v>7.5433924954986651</v>
          </cell>
          <cell r="BM50">
            <v>7.9618329564536907</v>
          </cell>
          <cell r="BN50">
            <v>5.3908072060085033</v>
          </cell>
          <cell r="BO50">
            <v>5.8181474950270058</v>
          </cell>
          <cell r="BP50">
            <v>6.5727865706994635</v>
          </cell>
          <cell r="BQ50">
            <v>7.104926673366208</v>
          </cell>
          <cell r="BR50">
            <v>4.6469328177408897</v>
          </cell>
          <cell r="BS50">
            <v>5.1867337069661517</v>
          </cell>
          <cell r="BU50" t="str">
            <v>mstag:proceedsFromIssuanceFundsUsedToRepurchaseCommonStock</v>
          </cell>
          <cell r="BV50">
            <v>6</v>
          </cell>
          <cell r="BW50" t="str">
            <v>ISO4217:USD</v>
          </cell>
          <cell r="BX50" t="b">
            <v>0</v>
          </cell>
          <cell r="BY50" t="b">
            <v>0</v>
          </cell>
        </row>
        <row r="51">
          <cell r="A51" t="str">
            <v xml:space="preserve">  Dividend Payment</v>
          </cell>
          <cell r="C51">
            <v>0</v>
          </cell>
          <cell r="D51">
            <v>0</v>
          </cell>
          <cell r="E51">
            <v>0</v>
          </cell>
          <cell r="F51">
            <v>0</v>
          </cell>
          <cell r="G51">
            <v>0</v>
          </cell>
          <cell r="H51">
            <v>0</v>
          </cell>
          <cell r="I51">
            <v>0</v>
          </cell>
          <cell r="J51">
            <v>0</v>
          </cell>
          <cell r="K51">
            <v>0</v>
          </cell>
          <cell r="L51">
            <v>-138</v>
          </cell>
          <cell r="M51">
            <v>-331.60635125035571</v>
          </cell>
          <cell r="N51">
            <v>-360.37993819432472</v>
          </cell>
          <cell r="O51">
            <v>-622.54275831006134</v>
          </cell>
          <cell r="P51">
            <v>-948.9657441966425</v>
          </cell>
          <cell r="Q51">
            <v>-1009.0067367531593</v>
          </cell>
          <cell r="R51">
            <v>-1060.3821713741884</v>
          </cell>
          <cell r="S51">
            <v>-1102.8314148757806</v>
          </cell>
          <cell r="T51">
            <v>-1136.326868176264</v>
          </cell>
          <cell r="U51">
            <v>-1159.8095701358948</v>
          </cell>
          <cell r="V51">
            <v>-1174.5018319776661</v>
          </cell>
          <cell r="BK51">
            <v>-138</v>
          </cell>
          <cell r="BL51">
            <v>-81.597864935298873</v>
          </cell>
          <cell r="BM51">
            <v>-83.428261813708644</v>
          </cell>
          <cell r="BN51">
            <v>-82.235885481645823</v>
          </cell>
          <cell r="BO51">
            <v>-84.344339019702403</v>
          </cell>
          <cell r="BP51">
            <v>-89.658616065233161</v>
          </cell>
          <cell r="BQ51">
            <v>-90.048407214287124</v>
          </cell>
          <cell r="BR51">
            <v>-90.705578618398846</v>
          </cell>
          <cell r="BS51">
            <v>-89.967336296405648</v>
          </cell>
          <cell r="BU51" t="str">
            <v>mstag:cashDividendsPaid</v>
          </cell>
          <cell r="BV51">
            <v>6</v>
          </cell>
          <cell r="BW51" t="str">
            <v>ISO4217:USD</v>
          </cell>
          <cell r="BX51" t="b">
            <v>1</v>
          </cell>
          <cell r="BY51" t="b">
            <v>0</v>
          </cell>
        </row>
        <row r="52">
          <cell r="A52" t="str">
            <v xml:space="preserve">  Restricted cash and investments</v>
          </cell>
          <cell r="C52">
            <v>94.070999999999998</v>
          </cell>
          <cell r="D52">
            <v>-170.03600000000003</v>
          </cell>
          <cell r="E52">
            <v>170.036</v>
          </cell>
          <cell r="F52">
            <v>0</v>
          </cell>
          <cell r="G52">
            <v>0</v>
          </cell>
          <cell r="H52">
            <v>0</v>
          </cell>
          <cell r="I52">
            <v>0</v>
          </cell>
          <cell r="J52">
            <v>0</v>
          </cell>
          <cell r="K52">
            <v>0</v>
          </cell>
          <cell r="L52">
            <v>0</v>
          </cell>
          <cell r="M52">
            <v>0</v>
          </cell>
          <cell r="N52">
            <v>0</v>
          </cell>
          <cell r="X52">
            <v>46.572000000000003</v>
          </cell>
          <cell r="Y52">
            <v>2.8999999999996362E-2</v>
          </cell>
          <cell r="Z52">
            <v>47.47</v>
          </cell>
          <cell r="AA52">
            <v>0</v>
          </cell>
          <cell r="AB52">
            <v>-217.059</v>
          </cell>
          <cell r="AC52">
            <v>24.174000000000007</v>
          </cell>
          <cell r="AD52">
            <v>-90.836999999999961</v>
          </cell>
          <cell r="AE52">
            <v>113.68599999999995</v>
          </cell>
          <cell r="AF52">
            <v>50.899000000000001</v>
          </cell>
          <cell r="AG52">
            <v>119.137</v>
          </cell>
          <cell r="AH52">
            <v>0</v>
          </cell>
          <cell r="BU52" t="str">
            <v>mstag:otherCashFlow</v>
          </cell>
          <cell r="BV52">
            <v>6</v>
          </cell>
          <cell r="BW52" t="str">
            <v>ISO4217:USD</v>
          </cell>
          <cell r="BX52" t="b">
            <v>0</v>
          </cell>
          <cell r="BY52" t="b">
            <v>0</v>
          </cell>
        </row>
        <row r="53">
          <cell r="A53" t="str">
            <v xml:space="preserve">  Deferred Financing Costs and Other</v>
          </cell>
          <cell r="C53">
            <v>-5.6639999999999997</v>
          </cell>
          <cell r="D53">
            <v>-39.442</v>
          </cell>
          <cell r="E53">
            <v>-41.082999999999998</v>
          </cell>
          <cell r="F53">
            <v>-9.5119999999999987</v>
          </cell>
          <cell r="G53">
            <v>-3.3869999999999996</v>
          </cell>
          <cell r="H53">
            <v>-49.088000000000001</v>
          </cell>
          <cell r="I53">
            <v>-3.992</v>
          </cell>
          <cell r="J53">
            <v>-16.428000000000001</v>
          </cell>
          <cell r="K53">
            <v>-12.755000000000001</v>
          </cell>
          <cell r="L53">
            <v>79.600999999999999</v>
          </cell>
          <cell r="M53">
            <v>0</v>
          </cell>
          <cell r="N53">
            <v>0</v>
          </cell>
          <cell r="AA53">
            <v>-5.6639999999999997</v>
          </cell>
          <cell r="AB53">
            <v>-19.187000000000001</v>
          </cell>
          <cell r="AC53">
            <v>-0.4599999999999973</v>
          </cell>
          <cell r="AD53">
            <v>-8.985000000000003</v>
          </cell>
          <cell r="AE53">
            <v>-10.809999999999999</v>
          </cell>
          <cell r="AF53">
            <v>-4.976</v>
          </cell>
          <cell r="AG53">
            <v>-15.731000000000002</v>
          </cell>
          <cell r="AH53">
            <v>-10.170999999999999</v>
          </cell>
          <cell r="AI53">
            <v>-10.204999999999998</v>
          </cell>
          <cell r="AJ53">
            <v>-0.246</v>
          </cell>
          <cell r="AK53">
            <v>-0.33499999999999996</v>
          </cell>
          <cell r="AL53">
            <v>-0.22400000000000009</v>
          </cell>
          <cell r="AM53">
            <v>-8.706999999999999</v>
          </cell>
          <cell r="AN53">
            <v>-1.7849999999999999</v>
          </cell>
          <cell r="AO53">
            <v>-0.25299999999999989</v>
          </cell>
          <cell r="AP53">
            <v>-0.2569999999999999</v>
          </cell>
          <cell r="AQ53">
            <v>-1.0919999999999999</v>
          </cell>
          <cell r="AR53">
            <v>-5.1369999999999996</v>
          </cell>
          <cell r="AS53">
            <v>-30.673000000000002</v>
          </cell>
          <cell r="AT53">
            <v>-5.101</v>
          </cell>
          <cell r="AU53">
            <v>-8.1769999999999996</v>
          </cell>
          <cell r="AV53">
            <v>-3.395</v>
          </cell>
          <cell r="AW53">
            <v>-0.2669999999999999</v>
          </cell>
          <cell r="AX53">
            <v>-0.16500000000000004</v>
          </cell>
          <cell r="AY53">
            <v>-0.16500000000000004</v>
          </cell>
          <cell r="AZ53">
            <v>-9.9000000000000005E-2</v>
          </cell>
          <cell r="BA53">
            <v>-9.6199999999999992</v>
          </cell>
          <cell r="BB53">
            <v>-0.40900000000000092</v>
          </cell>
          <cell r="BC53">
            <v>-6.3000000000000007</v>
          </cell>
          <cell r="BD53">
            <v>-0.27400000000000002</v>
          </cell>
          <cell r="BE53">
            <v>-7.6999999999999957E-2</v>
          </cell>
          <cell r="BF53">
            <v>-5.8630000000000004</v>
          </cell>
          <cell r="BG53">
            <v>-6.5410000000000004</v>
          </cell>
          <cell r="BH53">
            <v>5.5640000000000001</v>
          </cell>
          <cell r="BI53">
            <v>24.6</v>
          </cell>
          <cell r="BJ53">
            <v>49.436999999999998</v>
          </cell>
          <cell r="BU53" t="str">
            <v>mstag:otherCashFlow</v>
          </cell>
          <cell r="BV53">
            <v>6</v>
          </cell>
          <cell r="BW53" t="str">
            <v>ISO4217:USD</v>
          </cell>
          <cell r="BX53" t="b">
            <v>0</v>
          </cell>
          <cell r="BY53" t="b">
            <v>0</v>
          </cell>
        </row>
        <row r="54">
          <cell r="A54" t="str">
            <v>Cash From Financing Activities</v>
          </cell>
          <cell r="C54">
            <v>101.44199999999999</v>
          </cell>
          <cell r="D54">
            <v>-122.20299999999992</v>
          </cell>
          <cell r="E54">
            <v>-61.392000000000081</v>
          </cell>
          <cell r="F54">
            <v>-419.52600000000001</v>
          </cell>
          <cell r="G54">
            <v>-323.06299999999999</v>
          </cell>
          <cell r="H54">
            <v>-754.63999999999965</v>
          </cell>
          <cell r="I54">
            <v>-388.17199999999997</v>
          </cell>
          <cell r="J54">
            <v>-194.94199999999995</v>
          </cell>
          <cell r="K54">
            <v>910.33000000000027</v>
          </cell>
          <cell r="L54">
            <v>669.81615017115075</v>
          </cell>
          <cell r="M54">
            <v>-303.8336846680337</v>
          </cell>
          <cell r="N54">
            <v>-335.74260931247704</v>
          </cell>
          <cell r="O54">
            <v>-612.95200839677591</v>
          </cell>
          <cell r="P54">
            <v>-945.03773298767885</v>
          </cell>
          <cell r="Q54">
            <v>-1008.6887156048634</v>
          </cell>
          <cell r="R54">
            <v>-1061.4837837795551</v>
          </cell>
          <cell r="S54">
            <v>-1114.3965164528142</v>
          </cell>
          <cell r="T54">
            <v>-1158.4758769712928</v>
          </cell>
          <cell r="U54">
            <v>-1192.5684437183731</v>
          </cell>
          <cell r="V54">
            <v>-1218.1546526913442</v>
          </cell>
          <cell r="X54">
            <v>92.457999999999998</v>
          </cell>
          <cell r="Y54">
            <v>12.205000000000002</v>
          </cell>
          <cell r="Z54">
            <v>43.646000000000001</v>
          </cell>
          <cell r="AA54">
            <v>-46.867000000000012</v>
          </cell>
          <cell r="AB54">
            <v>-56.956999999999979</v>
          </cell>
          <cell r="AC54">
            <v>-17.48999999999997</v>
          </cell>
          <cell r="AD54">
            <v>-9.0630000000000202</v>
          </cell>
          <cell r="AE54">
            <v>-38.692999999999955</v>
          </cell>
          <cell r="AF54">
            <v>-32.510000000000005</v>
          </cell>
          <cell r="AG54">
            <v>38.640999999999885</v>
          </cell>
          <cell r="AH54">
            <v>-97.3479999999999</v>
          </cell>
          <cell r="AI54">
            <v>29.824999999999967</v>
          </cell>
          <cell r="AJ54">
            <v>-161.83200000000002</v>
          </cell>
          <cell r="AK54">
            <v>-88.169999999999973</v>
          </cell>
          <cell r="AL54">
            <v>-81.216000000000008</v>
          </cell>
          <cell r="AM54">
            <v>-88.307999999999907</v>
          </cell>
          <cell r="AN54">
            <v>-151.31</v>
          </cell>
          <cell r="AO54">
            <v>-95.165999999999997</v>
          </cell>
          <cell r="AP54">
            <v>-36.925000000000011</v>
          </cell>
          <cell r="AQ54">
            <v>-39.661999999999964</v>
          </cell>
          <cell r="AR54">
            <v>-373.15399999999994</v>
          </cell>
          <cell r="AS54">
            <v>14.284000000000049</v>
          </cell>
          <cell r="AT54">
            <v>-286.09400000000016</v>
          </cell>
          <cell r="AU54">
            <v>-109.67599999999973</v>
          </cell>
          <cell r="AV54">
            <v>-25.14099999999998</v>
          </cell>
          <cell r="AW54">
            <v>-86.037000000000006</v>
          </cell>
          <cell r="AX54">
            <v>-250.56899999999999</v>
          </cell>
          <cell r="AY54">
            <v>-26.424999999999962</v>
          </cell>
          <cell r="AZ54">
            <v>2.9829999999999997</v>
          </cell>
          <cell r="BA54">
            <v>-19.829999999999977</v>
          </cell>
          <cell r="BB54">
            <v>-201.608</v>
          </cell>
          <cell r="BC54">
            <v>23.513000000000023</v>
          </cell>
          <cell r="BD54">
            <v>2.6499999999999995</v>
          </cell>
          <cell r="BE54">
            <v>-177.51300000000001</v>
          </cell>
          <cell r="BF54">
            <v>374.82100000000003</v>
          </cell>
          <cell r="BG54">
            <v>710.37199999999996</v>
          </cell>
          <cell r="BH54">
            <v>-137.52600000000001</v>
          </cell>
          <cell r="BI54">
            <v>80.146000000000015</v>
          </cell>
          <cell r="BJ54">
            <v>61.644999999999968</v>
          </cell>
          <cell r="BK54">
            <v>665.55115017115077</v>
          </cell>
          <cell r="BL54">
            <v>-73.795942896458342</v>
          </cell>
          <cell r="BM54">
            <v>-75.20388125940471</v>
          </cell>
          <cell r="BN54">
            <v>-76.578447835020711</v>
          </cell>
          <cell r="BO54">
            <v>-78.255412677149963</v>
          </cell>
          <cell r="BP54">
            <v>-82.810835589138094</v>
          </cell>
          <cell r="BQ54">
            <v>-82.664203825212041</v>
          </cell>
          <cell r="BR54">
            <v>-85.775017402019017</v>
          </cell>
          <cell r="BS54">
            <v>-84.492552496107947</v>
          </cell>
        </row>
        <row r="56">
          <cell r="A56" t="str">
            <v>Effect of Exchange Rate Changes on Cash</v>
          </cell>
          <cell r="C56">
            <v>0</v>
          </cell>
          <cell r="D56">
            <v>0</v>
          </cell>
          <cell r="E56">
            <v>0</v>
          </cell>
          <cell r="F56">
            <v>0</v>
          </cell>
          <cell r="G56">
            <v>0</v>
          </cell>
          <cell r="H56">
            <v>0</v>
          </cell>
          <cell r="I56">
            <v>-0.192</v>
          </cell>
          <cell r="J56">
            <v>9.8000000000000004E-2</v>
          </cell>
          <cell r="K56">
            <v>6.2650000000000006</v>
          </cell>
          <cell r="L56">
            <v>-1.089</v>
          </cell>
          <cell r="M56">
            <v>0</v>
          </cell>
          <cell r="N56">
            <v>0</v>
          </cell>
          <cell r="AV56">
            <v>0</v>
          </cell>
          <cell r="AW56">
            <v>0</v>
          </cell>
          <cell r="AX56">
            <v>0</v>
          </cell>
          <cell r="AY56">
            <v>-0.192</v>
          </cell>
          <cell r="AZ56">
            <v>-0.252</v>
          </cell>
          <cell r="BA56">
            <v>9.4E-2</v>
          </cell>
          <cell r="BB56">
            <v>0.192</v>
          </cell>
          <cell r="BC56">
            <v>6.4000000000000001E-2</v>
          </cell>
          <cell r="BD56">
            <v>-2.5000000000000001E-2</v>
          </cell>
          <cell r="BE56">
            <v>1.002</v>
          </cell>
          <cell r="BF56">
            <v>8.1909999999999989</v>
          </cell>
          <cell r="BG56">
            <v>-2.9029999999999991</v>
          </cell>
          <cell r="BH56">
            <v>7.1</v>
          </cell>
          <cell r="BI56">
            <v>-3.1919999999999997</v>
          </cell>
          <cell r="BJ56">
            <v>-4.9969999999999999</v>
          </cell>
          <cell r="BU56" t="str">
            <v>mstag:effectOfForeignExchangeRatesOnCash</v>
          </cell>
          <cell r="BV56">
            <v>6</v>
          </cell>
          <cell r="BW56" t="str">
            <v>ISO4217:USD</v>
          </cell>
          <cell r="BX56" t="b">
            <v>0</v>
          </cell>
        </row>
        <row r="58">
          <cell r="A58" t="str">
            <v>Net Cash from Cont. Ops.</v>
          </cell>
          <cell r="C58">
            <v>91.333999999999904</v>
          </cell>
          <cell r="D58">
            <v>-21.827000000000012</v>
          </cell>
          <cell r="E58">
            <v>110.0919999999999</v>
          </cell>
          <cell r="F58">
            <v>-102.85600000000005</v>
          </cell>
          <cell r="G58">
            <v>168.5630000000001</v>
          </cell>
          <cell r="H58">
            <v>-248.14099999999968</v>
          </cell>
          <cell r="I58">
            <v>109.95400000000008</v>
          </cell>
          <cell r="J58">
            <v>104.21599999999999</v>
          </cell>
          <cell r="K58">
            <v>636.67000000000019</v>
          </cell>
          <cell r="L58">
            <v>-834.52819109433153</v>
          </cell>
          <cell r="M58">
            <v>426.48585105988707</v>
          </cell>
          <cell r="N58">
            <v>965.30234415831296</v>
          </cell>
          <cell r="O58">
            <v>707.5281456391067</v>
          </cell>
          <cell r="P58">
            <v>414.91795612229419</v>
          </cell>
          <cell r="Q58">
            <v>438.40327081349676</v>
          </cell>
          <cell r="R58">
            <v>449.31809748078535</v>
          </cell>
          <cell r="S58">
            <v>471.30846719441638</v>
          </cell>
          <cell r="T58">
            <v>475.96017154132983</v>
          </cell>
          <cell r="U58">
            <v>504.87491184965302</v>
          </cell>
          <cell r="V58">
            <v>511.12160362159443</v>
          </cell>
          <cell r="X58">
            <v>-6.3940000000001049</v>
          </cell>
          <cell r="Y58">
            <v>-9.2999999999999972E-2</v>
          </cell>
          <cell r="Z58">
            <v>35.38900000000001</v>
          </cell>
          <cell r="AA58">
            <v>62.431999999999938</v>
          </cell>
          <cell r="AB58">
            <v>-25.881000000000014</v>
          </cell>
          <cell r="AC58">
            <v>6.1860000000000497</v>
          </cell>
          <cell r="AD58">
            <v>-41.465999999999994</v>
          </cell>
          <cell r="AE58">
            <v>39.333999999999946</v>
          </cell>
          <cell r="AF58">
            <v>-6.7670000000000101</v>
          </cell>
          <cell r="AG58">
            <v>99.157999999999888</v>
          </cell>
          <cell r="AH58">
            <v>-71.022999999999911</v>
          </cell>
          <cell r="AI58">
            <v>88.72399999999999</v>
          </cell>
          <cell r="AJ58">
            <v>-92.760000000000048</v>
          </cell>
          <cell r="AK58">
            <v>-37.174999999999955</v>
          </cell>
          <cell r="AL58">
            <v>23.537000000000006</v>
          </cell>
          <cell r="AM58">
            <v>3.5420000000000584</v>
          </cell>
          <cell r="AN58">
            <v>-27.128000000000014</v>
          </cell>
          <cell r="AO58">
            <v>4.8810000000000286</v>
          </cell>
          <cell r="AP58">
            <v>116.74799999999999</v>
          </cell>
          <cell r="AQ58">
            <v>74.062000000000054</v>
          </cell>
          <cell r="AR58">
            <v>-234.113</v>
          </cell>
          <cell r="AS58">
            <v>165.87</v>
          </cell>
          <cell r="AT58">
            <v>-130.28600000000017</v>
          </cell>
          <cell r="AU58">
            <v>-49.611999999999796</v>
          </cell>
          <cell r="AV58">
            <v>88.510000000000076</v>
          </cell>
          <cell r="AW58">
            <v>30.497000000000043</v>
          </cell>
          <cell r="AX58">
            <v>-85.894999999999982</v>
          </cell>
          <cell r="AY58">
            <v>76.84199999999997</v>
          </cell>
          <cell r="AZ58">
            <v>159.96099999999998</v>
          </cell>
          <cell r="BA58">
            <v>20.599000000000004</v>
          </cell>
          <cell r="BB58">
            <v>-93.963000000000093</v>
          </cell>
          <cell r="BC58">
            <v>17.619000000000025</v>
          </cell>
          <cell r="BD58">
            <v>105.59400000000002</v>
          </cell>
          <cell r="BE58">
            <v>-49.994000000000064</v>
          </cell>
          <cell r="BF58">
            <v>68.984999999999985</v>
          </cell>
          <cell r="BG58">
            <v>512.08499999999992</v>
          </cell>
          <cell r="BH58">
            <v>-521.13970000000006</v>
          </cell>
          <cell r="BI58">
            <v>-30.281000000000056</v>
          </cell>
          <cell r="BJ58">
            <v>-155.03599999999994</v>
          </cell>
          <cell r="BK58">
            <v>-128.07149109433226</v>
          </cell>
          <cell r="BL58">
            <v>26.826173788524414</v>
          </cell>
          <cell r="BM58">
            <v>100.97465419851304</v>
          </cell>
          <cell r="BN58">
            <v>144.82367909495454</v>
          </cell>
          <cell r="BO58">
            <v>153.86134397789499</v>
          </cell>
          <cell r="BP58">
            <v>207.84602659573767</v>
          </cell>
          <cell r="BQ58">
            <v>245.10196364876691</v>
          </cell>
          <cell r="BR58">
            <v>252.97388152771632</v>
          </cell>
          <cell r="BS58">
            <v>259.38047238609181</v>
          </cell>
        </row>
        <row r="59">
          <cell r="A59" t="str">
            <v>Cash &amp; Equivalents - Beginning</v>
          </cell>
          <cell r="C59">
            <v>35.957999999999998</v>
          </cell>
          <cell r="D59">
            <v>127.2919999999999</v>
          </cell>
          <cell r="E59">
            <v>105.46499999999989</v>
          </cell>
          <cell r="F59">
            <v>215.55699999999979</v>
          </cell>
          <cell r="G59">
            <v>112.70099999999974</v>
          </cell>
          <cell r="H59">
            <v>281.26399999999984</v>
          </cell>
          <cell r="I59">
            <v>33.123000000000161</v>
          </cell>
          <cell r="J59">
            <v>143.07700000000023</v>
          </cell>
          <cell r="K59">
            <v>247.29300000000023</v>
          </cell>
          <cell r="L59">
            <v>883.96300000000042</v>
          </cell>
          <cell r="M59">
            <v>49.434808905668888</v>
          </cell>
          <cell r="N59">
            <v>475.92065996555596</v>
          </cell>
          <cell r="O59">
            <v>1441.223004123869</v>
          </cell>
          <cell r="P59">
            <v>2148.7511497629757</v>
          </cell>
          <cell r="Q59">
            <v>2563.6691058852698</v>
          </cell>
          <cell r="R59">
            <v>3002.0723766987667</v>
          </cell>
          <cell r="S59">
            <v>3451.3904741795523</v>
          </cell>
          <cell r="T59">
            <v>3922.6989413739684</v>
          </cell>
          <cell r="U59">
            <v>4398.6591129152985</v>
          </cell>
          <cell r="V59">
            <v>4903.534024764951</v>
          </cell>
          <cell r="X59">
            <v>35.957999999999998</v>
          </cell>
          <cell r="Y59">
            <v>29.563999999999893</v>
          </cell>
          <cell r="Z59">
            <v>29.470999999999894</v>
          </cell>
          <cell r="AA59">
            <v>64.8599999999999</v>
          </cell>
          <cell r="AB59">
            <v>127.29199999999983</v>
          </cell>
          <cell r="AC59">
            <v>101.41099999999982</v>
          </cell>
          <cell r="AD59">
            <v>107.59699999999987</v>
          </cell>
          <cell r="AE59">
            <v>66.130999999999872</v>
          </cell>
          <cell r="AF59">
            <v>105.46499999999982</v>
          </cell>
          <cell r="AG59">
            <v>98.697999999999809</v>
          </cell>
          <cell r="AH59">
            <v>197.85599999999971</v>
          </cell>
          <cell r="AI59">
            <v>126.8329999999998</v>
          </cell>
          <cell r="AJ59">
            <v>215.55699999999979</v>
          </cell>
          <cell r="AK59">
            <v>122.79699999999974</v>
          </cell>
          <cell r="AL59">
            <v>85.621999999999787</v>
          </cell>
          <cell r="AM59">
            <v>109.15899999999979</v>
          </cell>
          <cell r="AN59">
            <v>112.70099999999985</v>
          </cell>
          <cell r="AO59">
            <v>85.572999999999837</v>
          </cell>
          <cell r="AP59">
            <v>90.453999999999866</v>
          </cell>
          <cell r="AQ59">
            <v>207.20199999999986</v>
          </cell>
          <cell r="AR59">
            <v>281.2639999999999</v>
          </cell>
          <cell r="AS59">
            <v>47.150999999999897</v>
          </cell>
          <cell r="AT59">
            <v>213.0209999999999</v>
          </cell>
          <cell r="AU59">
            <v>82.734999999999729</v>
          </cell>
          <cell r="AV59">
            <v>33.122999999999934</v>
          </cell>
          <cell r="AW59">
            <v>121.63300000000001</v>
          </cell>
          <cell r="AX59">
            <v>152.13000000000005</v>
          </cell>
          <cell r="AY59">
            <v>66.23500000000007</v>
          </cell>
          <cell r="AZ59">
            <v>143.07700000000006</v>
          </cell>
          <cell r="BA59">
            <v>303.03800000000001</v>
          </cell>
          <cell r="BB59">
            <v>323.637</v>
          </cell>
          <cell r="BC59">
            <v>229.67399999999992</v>
          </cell>
          <cell r="BD59">
            <v>247.29299999999995</v>
          </cell>
          <cell r="BE59">
            <v>352.88699999999994</v>
          </cell>
          <cell r="BF59">
            <v>302.89299999999986</v>
          </cell>
          <cell r="BG59">
            <v>371.87799999999982</v>
          </cell>
          <cell r="BH59">
            <v>883.96299999999974</v>
          </cell>
          <cell r="BI59">
            <v>362.82329999999968</v>
          </cell>
          <cell r="BJ59">
            <v>332.54229999999961</v>
          </cell>
          <cell r="BK59">
            <v>177.50629999999967</v>
          </cell>
          <cell r="BL59">
            <v>49.43480890566741</v>
          </cell>
          <cell r="BM59">
            <v>76.260982694191824</v>
          </cell>
          <cell r="BN59">
            <v>177.23563689270486</v>
          </cell>
          <cell r="BO59">
            <v>322.05931598765937</v>
          </cell>
          <cell r="BP59">
            <v>475.92065996555436</v>
          </cell>
          <cell r="BQ59">
            <v>683.76668656129209</v>
          </cell>
          <cell r="BR59">
            <v>928.86865021005906</v>
          </cell>
          <cell r="BS59">
            <v>1181.8425317377753</v>
          </cell>
        </row>
        <row r="60">
          <cell r="A60" t="str">
            <v>Cash &amp; Equivalents - Ending</v>
          </cell>
          <cell r="C60">
            <v>127.2919999999999</v>
          </cell>
          <cell r="D60">
            <v>105.46499999999989</v>
          </cell>
          <cell r="E60">
            <v>215.55699999999979</v>
          </cell>
          <cell r="F60">
            <v>112.70099999999974</v>
          </cell>
          <cell r="G60">
            <v>281.26399999999984</v>
          </cell>
          <cell r="H60">
            <v>33.123000000000161</v>
          </cell>
          <cell r="I60">
            <v>143.07700000000023</v>
          </cell>
          <cell r="J60">
            <v>247.29300000000023</v>
          </cell>
          <cell r="K60">
            <v>883.96300000000042</v>
          </cell>
          <cell r="L60">
            <v>49.434808905668888</v>
          </cell>
          <cell r="M60">
            <v>475.92065996555596</v>
          </cell>
          <cell r="N60">
            <v>1441.223004123869</v>
          </cell>
          <cell r="O60">
            <v>2148.7511497629757</v>
          </cell>
          <cell r="P60">
            <v>2563.6691058852698</v>
          </cell>
          <cell r="Q60">
            <v>3002.0723766987667</v>
          </cell>
          <cell r="R60">
            <v>3451.3904741795523</v>
          </cell>
          <cell r="S60">
            <v>3922.6989413739684</v>
          </cell>
          <cell r="T60">
            <v>4398.6591129152985</v>
          </cell>
          <cell r="U60">
            <v>4903.534024764951</v>
          </cell>
          <cell r="V60">
            <v>5414.6556283865457</v>
          </cell>
          <cell r="X60">
            <v>29.563999999999893</v>
          </cell>
          <cell r="Y60">
            <v>29.470999999999894</v>
          </cell>
          <cell r="Z60">
            <v>64.8599999999999</v>
          </cell>
          <cell r="AA60">
            <v>127.29199999999983</v>
          </cell>
          <cell r="AB60">
            <v>101.41099999999982</v>
          </cell>
          <cell r="AC60">
            <v>107.59699999999987</v>
          </cell>
          <cell r="AD60">
            <v>66.130999999999872</v>
          </cell>
          <cell r="AE60">
            <v>105.46499999999982</v>
          </cell>
          <cell r="AF60">
            <v>98.697999999999809</v>
          </cell>
          <cell r="AG60">
            <v>197.85599999999971</v>
          </cell>
          <cell r="AH60">
            <v>126.8329999999998</v>
          </cell>
          <cell r="AI60">
            <v>215.55699999999979</v>
          </cell>
          <cell r="AJ60">
            <v>122.79699999999974</v>
          </cell>
          <cell r="AK60">
            <v>85.621999999999787</v>
          </cell>
          <cell r="AL60">
            <v>109.15899999999979</v>
          </cell>
          <cell r="AM60">
            <v>112.70099999999985</v>
          </cell>
          <cell r="AN60">
            <v>85.572999999999837</v>
          </cell>
          <cell r="AO60">
            <v>90.453999999999866</v>
          </cell>
          <cell r="AP60">
            <v>207.20199999999986</v>
          </cell>
          <cell r="AQ60">
            <v>281.2639999999999</v>
          </cell>
          <cell r="AR60">
            <v>47.150999999999897</v>
          </cell>
          <cell r="AS60">
            <v>213.0209999999999</v>
          </cell>
          <cell r="AT60">
            <v>82.734999999999729</v>
          </cell>
          <cell r="AU60">
            <v>33.122999999999934</v>
          </cell>
          <cell r="AV60">
            <v>121.63300000000001</v>
          </cell>
          <cell r="AW60">
            <v>152.13000000000005</v>
          </cell>
          <cell r="AX60">
            <v>66.23500000000007</v>
          </cell>
          <cell r="AY60">
            <v>143.07700000000006</v>
          </cell>
          <cell r="AZ60">
            <v>303.03800000000001</v>
          </cell>
          <cell r="BA60">
            <v>323.637</v>
          </cell>
          <cell r="BB60">
            <v>229.67399999999992</v>
          </cell>
          <cell r="BC60">
            <v>247.29299999999995</v>
          </cell>
          <cell r="BD60">
            <v>352.88699999999994</v>
          </cell>
          <cell r="BE60">
            <v>302.89299999999986</v>
          </cell>
          <cell r="BF60">
            <v>371.87799999999982</v>
          </cell>
          <cell r="BG60">
            <v>883.96299999999974</v>
          </cell>
          <cell r="BH60">
            <v>362.82329999999968</v>
          </cell>
          <cell r="BI60">
            <v>332.54229999999961</v>
          </cell>
          <cell r="BJ60">
            <v>177.50629999999967</v>
          </cell>
          <cell r="BK60">
            <v>49.43480890566741</v>
          </cell>
          <cell r="BL60">
            <v>76.260982694191824</v>
          </cell>
          <cell r="BM60">
            <v>177.23563689270486</v>
          </cell>
          <cell r="BN60">
            <v>322.05931598765937</v>
          </cell>
          <cell r="BO60">
            <v>475.92065996555436</v>
          </cell>
          <cell r="BP60">
            <v>683.76668656129209</v>
          </cell>
          <cell r="BQ60">
            <v>928.86865021005906</v>
          </cell>
          <cell r="BR60">
            <v>1181.8425317377753</v>
          </cell>
          <cell r="BS60">
            <v>1441.2230041238672</v>
          </cell>
        </row>
        <row r="61">
          <cell r="C61" t="str">
            <v/>
          </cell>
          <cell r="D61" t="str">
            <v/>
          </cell>
          <cell r="E61" t="str">
            <v/>
          </cell>
          <cell r="F61" t="str">
            <v/>
          </cell>
          <cell r="G61" t="str">
            <v/>
          </cell>
          <cell r="H61" t="str">
            <v/>
          </cell>
          <cell r="I61" t="str">
            <v/>
          </cell>
          <cell r="J61" t="str">
            <v/>
          </cell>
          <cell r="K61" t="str">
            <v/>
          </cell>
          <cell r="L61" t="str">
            <v/>
          </cell>
          <cell r="Q61" t="str">
            <v/>
          </cell>
          <cell r="R61" t="str">
            <v/>
          </cell>
          <cell r="S61" t="str">
            <v/>
          </cell>
          <cell r="T61" t="str">
            <v/>
          </cell>
          <cell r="U61" t="str">
            <v/>
          </cell>
          <cell r="V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
          </cell>
          <cell r="BG61" t="str">
            <v/>
          </cell>
          <cell r="BH61" t="str">
            <v/>
          </cell>
          <cell r="BI61" t="str">
            <v/>
          </cell>
          <cell r="BJ61" t="str">
            <v/>
          </cell>
        </row>
        <row r="63">
          <cell r="A63" t="str">
            <v>Free Cash Flow (FCF) Calculation</v>
          </cell>
        </row>
        <row r="64">
          <cell r="A64" t="str">
            <v xml:space="preserve"> EBITDA</v>
          </cell>
          <cell r="D64">
            <v>375.99999999999994</v>
          </cell>
          <cell r="E64">
            <v>437.39500000000004</v>
          </cell>
          <cell r="F64">
            <v>600.66799999999989</v>
          </cell>
          <cell r="G64">
            <v>868.23399999999992</v>
          </cell>
          <cell r="H64">
            <v>978.89499999999975</v>
          </cell>
          <cell r="I64">
            <v>1092.3339999999998</v>
          </cell>
          <cell r="J64">
            <v>1180.9250000000002</v>
          </cell>
          <cell r="K64">
            <v>1347.748</v>
          </cell>
          <cell r="L64">
            <v>1584.1703752296016</v>
          </cell>
          <cell r="M64">
            <v>1899.6846804226077</v>
          </cell>
          <cell r="N64">
            <v>2122.0781174777685</v>
          </cell>
          <cell r="O64">
            <v>2244.7461118657193</v>
          </cell>
          <cell r="P64">
            <v>2336.1055787614168</v>
          </cell>
          <cell r="Q64">
            <v>2423.9947553852789</v>
          </cell>
          <cell r="R64">
            <v>2502.285984603026</v>
          </cell>
          <cell r="S64">
            <v>2570.4468457851262</v>
          </cell>
          <cell r="T64">
            <v>2628.0687491998037</v>
          </cell>
          <cell r="U64">
            <v>2673.5731586637175</v>
          </cell>
          <cell r="V64">
            <v>2708.2575515914632</v>
          </cell>
          <cell r="AB64">
            <v>85.132999999999981</v>
          </cell>
          <cell r="AC64">
            <v>92.46</v>
          </cell>
          <cell r="AD64">
            <v>97.564000000000021</v>
          </cell>
          <cell r="AE64">
            <v>100.84299999999999</v>
          </cell>
          <cell r="AF64">
            <v>103.015</v>
          </cell>
          <cell r="AG64">
            <v>107.62800000000001</v>
          </cell>
          <cell r="AH64">
            <v>112.63199999999999</v>
          </cell>
          <cell r="AI64">
            <v>114.12</v>
          </cell>
          <cell r="AJ64">
            <v>117.29199999999999</v>
          </cell>
          <cell r="AK64">
            <v>122.35600000000001</v>
          </cell>
          <cell r="AL64">
            <v>165.709</v>
          </cell>
          <cell r="AM64">
            <v>195.31100000000001</v>
          </cell>
          <cell r="AN64">
            <v>215.49299999999999</v>
          </cell>
          <cell r="AO64">
            <v>216.447</v>
          </cell>
          <cell r="AP64">
            <v>217.78800000000004</v>
          </cell>
          <cell r="AQ64">
            <v>218.506</v>
          </cell>
          <cell r="AR64">
            <v>236.30999999999995</v>
          </cell>
          <cell r="AS64">
            <v>241.44799999999998</v>
          </cell>
          <cell r="AT64">
            <v>248.62799999999999</v>
          </cell>
          <cell r="AU64">
            <v>252.50899999999999</v>
          </cell>
          <cell r="AV64">
            <v>262.52200000000005</v>
          </cell>
          <cell r="AW64">
            <v>272.25100000000003</v>
          </cell>
          <cell r="AX64">
            <v>277.52700000000004</v>
          </cell>
          <cell r="AY64">
            <v>280.03399999999999</v>
          </cell>
          <cell r="AZ64">
            <v>281.17900000000003</v>
          </cell>
          <cell r="BA64">
            <v>287.34499999999997</v>
          </cell>
          <cell r="BB64">
            <v>304.18099999999993</v>
          </cell>
          <cell r="BC64">
            <v>308.22000000000003</v>
          </cell>
          <cell r="BD64">
            <v>311.50200000000001</v>
          </cell>
          <cell r="BE64">
            <v>320.96899999999999</v>
          </cell>
          <cell r="BF64">
            <v>349.99199999999996</v>
          </cell>
          <cell r="BG64">
            <v>365.28500000000008</v>
          </cell>
          <cell r="BH64">
            <v>377.09199999999998</v>
          </cell>
          <cell r="BI64">
            <v>389.11399999999998</v>
          </cell>
          <cell r="BJ64">
            <v>398.86900000000003</v>
          </cell>
          <cell r="BK64">
            <v>419.09537522960113</v>
          </cell>
          <cell r="BL64">
            <v>433.46381677239697</v>
          </cell>
          <cell r="BM64">
            <v>468.81750926192603</v>
          </cell>
          <cell r="BN64">
            <v>490.50401321550373</v>
          </cell>
          <cell r="BO64">
            <v>506.89934117278085</v>
          </cell>
          <cell r="BP64">
            <v>508.10333721571573</v>
          </cell>
          <cell r="BQ64">
            <v>525.42522366686853</v>
          </cell>
          <cell r="BR64">
            <v>539.58215515715813</v>
          </cell>
          <cell r="BS64">
            <v>548.96740143802583</v>
          </cell>
        </row>
        <row r="65">
          <cell r="A65" t="str">
            <v xml:space="preserve"> - Capex / Acquisitions</v>
          </cell>
          <cell r="D65">
            <v>156.685</v>
          </cell>
          <cell r="E65">
            <v>75.583999999999989</v>
          </cell>
          <cell r="F65">
            <v>103.386</v>
          </cell>
          <cell r="G65">
            <v>141.435</v>
          </cell>
          <cell r="H65">
            <v>198.34300000000002</v>
          </cell>
          <cell r="I65">
            <v>286.30099999999999</v>
          </cell>
          <cell r="J65">
            <v>545.86500000000001</v>
          </cell>
          <cell r="K65">
            <v>1246.27</v>
          </cell>
          <cell r="L65">
            <v>2716.8926528140773</v>
          </cell>
          <cell r="M65">
            <v>828.46184825202045</v>
          </cell>
          <cell r="N65">
            <v>449.81266773343339</v>
          </cell>
          <cell r="O65">
            <v>422.2</v>
          </cell>
          <cell r="P65">
            <v>432.5</v>
          </cell>
          <cell r="Q65">
            <v>426</v>
          </cell>
          <cell r="R65">
            <v>433.5</v>
          </cell>
          <cell r="S65">
            <v>421</v>
          </cell>
          <cell r="T65">
            <v>426</v>
          </cell>
          <cell r="U65">
            <v>406</v>
          </cell>
          <cell r="V65">
            <v>408.5</v>
          </cell>
          <cell r="AB65">
            <v>49.341999999999999</v>
          </cell>
          <cell r="AC65">
            <v>24.444999999999997</v>
          </cell>
          <cell r="AD65">
            <v>48.136999999999986</v>
          </cell>
          <cell r="AE65">
            <v>34.76100000000001</v>
          </cell>
          <cell r="AF65">
            <v>24.204999999999998</v>
          </cell>
          <cell r="AG65">
            <v>12.814000000000002</v>
          </cell>
          <cell r="AH65">
            <v>19.436</v>
          </cell>
          <cell r="AI65">
            <v>19.128999999999994</v>
          </cell>
          <cell r="AJ65">
            <v>24.082999999999998</v>
          </cell>
          <cell r="AK65">
            <v>23.897000000000006</v>
          </cell>
          <cell r="AL65">
            <v>24.185999999999996</v>
          </cell>
          <cell r="AM65">
            <v>31.22</v>
          </cell>
          <cell r="AN65">
            <v>29.1</v>
          </cell>
          <cell r="AO65">
            <v>30.773999999999994</v>
          </cell>
          <cell r="AP65">
            <v>40.891000000000005</v>
          </cell>
          <cell r="AQ65">
            <v>40.669999999999995</v>
          </cell>
          <cell r="AR65">
            <v>41.506</v>
          </cell>
          <cell r="AS65">
            <v>40.076000000000001</v>
          </cell>
          <cell r="AT65">
            <v>46.077999999999989</v>
          </cell>
          <cell r="AU65">
            <v>70.683000000000021</v>
          </cell>
          <cell r="AV65">
            <v>72.936999999999998</v>
          </cell>
          <cell r="AW65">
            <v>56.515999999999991</v>
          </cell>
          <cell r="AX65">
            <v>68.373999999999995</v>
          </cell>
          <cell r="AY65">
            <v>88.474000000000004</v>
          </cell>
          <cell r="AZ65">
            <v>50.772000000000006</v>
          </cell>
          <cell r="BA65">
            <v>156.34800000000001</v>
          </cell>
          <cell r="BB65">
            <v>136.48199999999997</v>
          </cell>
          <cell r="BC65">
            <v>202.26300000000001</v>
          </cell>
          <cell r="BD65">
            <v>143.54399999999998</v>
          </cell>
          <cell r="BE65">
            <v>121.438</v>
          </cell>
          <cell r="BF65">
            <v>547.76800000000003</v>
          </cell>
          <cell r="BG65">
            <v>433.52000000000004</v>
          </cell>
          <cell r="BH65">
            <v>715.24899999999991</v>
          </cell>
          <cell r="BI65">
            <v>413.88500000000005</v>
          </cell>
          <cell r="BJ65">
            <v>488.5259999999999</v>
          </cell>
          <cell r="BK65">
            <v>1099.2326528140777</v>
          </cell>
          <cell r="BL65">
            <v>225.96328367636352</v>
          </cell>
          <cell r="BM65">
            <v>225.96328367636352</v>
          </cell>
          <cell r="BN65">
            <v>188.26764044964668</v>
          </cell>
          <cell r="BO65">
            <v>188.26764044964668</v>
          </cell>
          <cell r="BP65">
            <v>112.45316693335835</v>
          </cell>
          <cell r="BQ65">
            <v>112.45316693335835</v>
          </cell>
          <cell r="BR65">
            <v>112.45316693335835</v>
          </cell>
          <cell r="BS65">
            <v>112.45316693335835</v>
          </cell>
        </row>
        <row r="66">
          <cell r="A66" t="str">
            <v xml:space="preserve"> - Net Interest Expense</v>
          </cell>
          <cell r="D66">
            <v>274.59999999999997</v>
          </cell>
          <cell r="E66">
            <v>257.39300000000003</v>
          </cell>
          <cell r="F66">
            <v>218.01700000000002</v>
          </cell>
          <cell r="G66">
            <v>206.64099999999999</v>
          </cell>
          <cell r="H66">
            <v>224.97600000000003</v>
          </cell>
          <cell r="I66">
            <v>250.17099999999999</v>
          </cell>
          <cell r="J66">
            <v>248.08100000000002</v>
          </cell>
          <cell r="K66">
            <v>240.99400000000003</v>
          </cell>
          <cell r="L66">
            <v>304.50068252750003</v>
          </cell>
          <cell r="M66">
            <v>336.51879956813258</v>
          </cell>
          <cell r="N66">
            <v>325.97274279188809</v>
          </cell>
          <cell r="O66">
            <v>353.93864045532843</v>
          </cell>
          <cell r="P66">
            <v>346.93649489551154</v>
          </cell>
          <cell r="Q66">
            <v>342.86516517808678</v>
          </cell>
          <cell r="R66">
            <v>338.56400862812342</v>
          </cell>
          <cell r="S66">
            <v>334.15906368399448</v>
          </cell>
          <cell r="T66">
            <v>329.53993113018271</v>
          </cell>
          <cell r="U66">
            <v>324.8749090875296</v>
          </cell>
          <cell r="V66">
            <v>319.92699575519453</v>
          </cell>
          <cell r="AB66">
            <v>70.816000000000003</v>
          </cell>
          <cell r="AC66">
            <v>69.270999999999987</v>
          </cell>
          <cell r="AD66">
            <v>67.728999999999999</v>
          </cell>
          <cell r="AE66">
            <v>66.784000000000006</v>
          </cell>
          <cell r="AF66">
            <v>68.042999999999992</v>
          </cell>
          <cell r="AG66">
            <v>66.899000000000001</v>
          </cell>
          <cell r="AH66">
            <v>64.465000000000003</v>
          </cell>
          <cell r="AI66">
            <v>57.985999999999997</v>
          </cell>
          <cell r="AJ66">
            <v>54.017000000000003</v>
          </cell>
          <cell r="AK66">
            <v>52.234999999999999</v>
          </cell>
          <cell r="AL66">
            <v>56.300000000000004</v>
          </cell>
          <cell r="AM66">
            <v>55.465000000000003</v>
          </cell>
          <cell r="AN66">
            <v>52.899000000000001</v>
          </cell>
          <cell r="AO66">
            <v>52.318999999999996</v>
          </cell>
          <cell r="AP66">
            <v>52.155999999999999</v>
          </cell>
          <cell r="AQ66">
            <v>49.266999999999996</v>
          </cell>
          <cell r="AR66">
            <v>49.657000000000004</v>
          </cell>
          <cell r="AS66">
            <v>55.16</v>
          </cell>
          <cell r="AT66">
            <v>57.573999999999998</v>
          </cell>
          <cell r="AU66">
            <v>62.585000000000001</v>
          </cell>
          <cell r="AV66">
            <v>64.551000000000002</v>
          </cell>
          <cell r="AW66">
            <v>61.529000000000003</v>
          </cell>
          <cell r="AX66">
            <v>62.528999999999996</v>
          </cell>
          <cell r="AY66">
            <v>61.561999999999998</v>
          </cell>
          <cell r="AZ66">
            <v>61.068999999999996</v>
          </cell>
          <cell r="BA66">
            <v>62.172000000000004</v>
          </cell>
          <cell r="BB66">
            <v>63.386000000000003</v>
          </cell>
          <cell r="BC66">
            <v>61.454000000000001</v>
          </cell>
          <cell r="BD66">
            <v>57.914999999999999</v>
          </cell>
          <cell r="BE66">
            <v>55.379999999999995</v>
          </cell>
          <cell r="BF66">
            <v>60.95</v>
          </cell>
          <cell r="BG66">
            <v>66.749000000000009</v>
          </cell>
          <cell r="BH66">
            <v>72.123000000000005</v>
          </cell>
          <cell r="BI66">
            <v>71.801000000000002</v>
          </cell>
          <cell r="BJ66">
            <v>75.974000000000004</v>
          </cell>
          <cell r="BK66">
            <v>84.602682527500008</v>
          </cell>
          <cell r="BL66">
            <v>84.390640021077076</v>
          </cell>
          <cell r="BM66">
            <v>84.327592641114549</v>
          </cell>
          <cell r="BN66">
            <v>84.079238848384165</v>
          </cell>
          <cell r="BO66">
            <v>83.721328057556789</v>
          </cell>
          <cell r="BP66">
            <v>82.340889755481854</v>
          </cell>
          <cell r="BQ66">
            <v>81.825557499305077</v>
          </cell>
          <cell r="BR66">
            <v>81.217154273113891</v>
          </cell>
          <cell r="BS66">
            <v>80.589141263987301</v>
          </cell>
        </row>
        <row r="67">
          <cell r="A67" t="str">
            <v xml:space="preserve"> - Working Capital</v>
          </cell>
          <cell r="D67">
            <v>21.314000000000007</v>
          </cell>
          <cell r="E67">
            <v>34.548000000000002</v>
          </cell>
          <cell r="F67">
            <v>16.073999999999995</v>
          </cell>
          <cell r="G67">
            <v>74.77300000000001</v>
          </cell>
          <cell r="H67">
            <v>28.271000000000001</v>
          </cell>
          <cell r="I67">
            <v>40.923999999999999</v>
          </cell>
          <cell r="J67">
            <v>0</v>
          </cell>
          <cell r="K67">
            <v>0</v>
          </cell>
          <cell r="L67">
            <v>-11.45706464987704</v>
          </cell>
          <cell r="M67">
            <v>11.782357754088906</v>
          </cell>
          <cell r="N67">
            <v>-1.3706603447110126</v>
          </cell>
          <cell r="O67">
            <v>-0.87429462280348957</v>
          </cell>
          <cell r="P67">
            <v>1.194222325363512</v>
          </cell>
          <cell r="Q67">
            <v>1.3602437614032397</v>
          </cell>
          <cell r="R67">
            <v>1.5367433000519384</v>
          </cell>
          <cell r="S67">
            <v>1.8296818789723659</v>
          </cell>
          <cell r="T67">
            <v>1.9612644309338236</v>
          </cell>
          <cell r="U67">
            <v>2.0664682579584053</v>
          </cell>
          <cell r="V67">
            <v>2.1405801891920078</v>
          </cell>
          <cell r="AB67">
            <v>0</v>
          </cell>
          <cell r="AC67">
            <v>0</v>
          </cell>
          <cell r="AD67">
            <v>0</v>
          </cell>
          <cell r="AE67">
            <v>0</v>
          </cell>
          <cell r="AF67">
            <v>0</v>
          </cell>
          <cell r="AG67">
            <v>0</v>
          </cell>
          <cell r="AH67">
            <v>0</v>
          </cell>
          <cell r="AI67">
            <v>0</v>
          </cell>
          <cell r="AJ67">
            <v>0</v>
          </cell>
          <cell r="AK67">
            <v>0</v>
          </cell>
          <cell r="AL67">
            <v>0</v>
          </cell>
          <cell r="AM67">
            <v>33.190999999999995</v>
          </cell>
          <cell r="AN67">
            <v>0</v>
          </cell>
          <cell r="AO67">
            <v>0</v>
          </cell>
          <cell r="AP67">
            <v>0</v>
          </cell>
          <cell r="AQ67">
            <v>74.77300000000001</v>
          </cell>
          <cell r="AR67">
            <v>0</v>
          </cell>
          <cell r="AS67">
            <v>0</v>
          </cell>
          <cell r="AT67">
            <v>0</v>
          </cell>
          <cell r="AU67">
            <v>28.271000000000001</v>
          </cell>
          <cell r="AV67">
            <v>0</v>
          </cell>
          <cell r="AW67">
            <v>0</v>
          </cell>
          <cell r="AX67">
            <v>0</v>
          </cell>
          <cell r="AY67">
            <v>40.923999999999999</v>
          </cell>
          <cell r="AZ67">
            <v>0</v>
          </cell>
          <cell r="BA67">
            <v>-0.35599999999999998</v>
          </cell>
          <cell r="BB67">
            <v>-0.224</v>
          </cell>
          <cell r="BC67">
            <v>4.8000000000000001E-2</v>
          </cell>
          <cell r="BD67">
            <v>0</v>
          </cell>
          <cell r="BE67">
            <v>0</v>
          </cell>
          <cell r="BF67">
            <v>0</v>
          </cell>
          <cell r="BG67">
            <v>0</v>
          </cell>
          <cell r="BH67">
            <v>0</v>
          </cell>
          <cell r="BI67">
            <v>0</v>
          </cell>
          <cell r="BJ67">
            <v>0</v>
          </cell>
          <cell r="BK67">
            <v>-11.45706464987704</v>
          </cell>
          <cell r="BL67">
            <v>13.84015604072836</v>
          </cell>
          <cell r="BM67">
            <v>-0.93659712258687478</v>
          </cell>
          <cell r="BN67">
            <v>-0.62127171616693033</v>
          </cell>
          <cell r="BO67">
            <v>-0.49992944788564841</v>
          </cell>
          <cell r="BP67">
            <v>-5.9845774514172945E-2</v>
          </cell>
          <cell r="BQ67">
            <v>-0.52075509822091703</v>
          </cell>
          <cell r="BR67">
            <v>-0.44924300460183986</v>
          </cell>
          <cell r="BS67">
            <v>-0.34081646737408278</v>
          </cell>
        </row>
        <row r="68">
          <cell r="A68" t="str">
            <v xml:space="preserve"> - Cash Taxes</v>
          </cell>
          <cell r="D68">
            <v>2.609</v>
          </cell>
          <cell r="E68">
            <v>4.2569999999999997</v>
          </cell>
          <cell r="F68">
            <v>18.518999999999998</v>
          </cell>
          <cell r="G68">
            <v>26.474000000000004</v>
          </cell>
          <cell r="H68">
            <v>35.313000000000002</v>
          </cell>
          <cell r="I68">
            <v>35.061999999999998</v>
          </cell>
          <cell r="J68">
            <v>40.213999999999999</v>
          </cell>
          <cell r="K68">
            <v>36.381</v>
          </cell>
          <cell r="L68">
            <v>63.807999999999993</v>
          </cell>
          <cell r="M68">
            <v>3.299689806430401</v>
          </cell>
          <cell r="N68">
            <v>4.080239682142242</v>
          </cell>
          <cell r="O68">
            <v>4.5233627570231718</v>
          </cell>
          <cell r="P68">
            <v>4.8803952558684456</v>
          </cell>
          <cell r="Q68">
            <v>5.1891775033019609</v>
          </cell>
          <cell r="R68">
            <v>5.4533940242101107</v>
          </cell>
          <cell r="S68">
            <v>5.6717044193611557</v>
          </cell>
          <cell r="T68">
            <v>5.8439667506207851</v>
          </cell>
          <cell r="U68">
            <v>5.964734932127457</v>
          </cell>
          <cell r="V68">
            <v>6.0402951358851382</v>
          </cell>
          <cell r="AB68">
            <v>0.27600000000000002</v>
          </cell>
          <cell r="AC68">
            <v>0.8819999999999999</v>
          </cell>
          <cell r="AD68">
            <v>0.45500000000000007</v>
          </cell>
          <cell r="AE68">
            <v>0.996</v>
          </cell>
          <cell r="AF68">
            <v>0.27900000000000003</v>
          </cell>
          <cell r="AG68">
            <v>0.71</v>
          </cell>
          <cell r="AH68">
            <v>0.91299999999999992</v>
          </cell>
          <cell r="AI68">
            <v>2.355</v>
          </cell>
          <cell r="AJ68">
            <v>0.95799999999999996</v>
          </cell>
          <cell r="AK68">
            <v>1.873</v>
          </cell>
          <cell r="AL68">
            <v>11.121</v>
          </cell>
          <cell r="AM68">
            <v>4.5669999999999975</v>
          </cell>
          <cell r="AN68">
            <v>7.3330000000000002</v>
          </cell>
          <cell r="AO68">
            <v>6.3019999999999996</v>
          </cell>
          <cell r="AP68">
            <v>5.9530000000000012</v>
          </cell>
          <cell r="AQ68">
            <v>6.886000000000001</v>
          </cell>
          <cell r="AR68">
            <v>4.5469999999999997</v>
          </cell>
          <cell r="AS68">
            <v>10.431999999999999</v>
          </cell>
          <cell r="AT68">
            <v>5.0630000000000033</v>
          </cell>
          <cell r="AU68">
            <v>15.271000000000001</v>
          </cell>
          <cell r="AV68">
            <v>11.72</v>
          </cell>
          <cell r="AW68">
            <v>10.086</v>
          </cell>
          <cell r="AX68">
            <v>5.636000000000001</v>
          </cell>
          <cell r="AY68">
            <v>7.6199999999999957</v>
          </cell>
          <cell r="AZ68">
            <v>7.4939999999999998</v>
          </cell>
          <cell r="BA68">
            <v>11.501999999999999</v>
          </cell>
          <cell r="BB68">
            <v>13.763999999999999</v>
          </cell>
          <cell r="BC68">
            <v>7.4539999999999997</v>
          </cell>
          <cell r="BD68">
            <v>7.899</v>
          </cell>
          <cell r="BE68">
            <v>3.3579999999999997</v>
          </cell>
          <cell r="BF68">
            <v>11.663999999999998</v>
          </cell>
          <cell r="BG68">
            <v>13.46</v>
          </cell>
          <cell r="BH68">
            <v>13.477</v>
          </cell>
          <cell r="BI68">
            <v>14.818000000000001</v>
          </cell>
          <cell r="BJ68">
            <v>20.512999999999995</v>
          </cell>
          <cell r="BK68">
            <v>15</v>
          </cell>
          <cell r="BL68">
            <v>0.67678901966725136</v>
          </cell>
          <cell r="BM68">
            <v>0.80448820361335882</v>
          </cell>
          <cell r="BN68">
            <v>0.88578455390560706</v>
          </cell>
          <cell r="BO68">
            <v>0.93262802924418386</v>
          </cell>
          <cell r="BP68">
            <v>0.93938716833548475</v>
          </cell>
          <cell r="BQ68">
            <v>1.0031060942449053</v>
          </cell>
          <cell r="BR68">
            <v>1.0579144043231941</v>
          </cell>
          <cell r="BS68">
            <v>1.0798320152386576</v>
          </cell>
        </row>
        <row r="69">
          <cell r="D69" t="str">
            <v xml:space="preserve">______ </v>
          </cell>
          <cell r="E69" t="str">
            <v xml:space="preserve">______ </v>
          </cell>
          <cell r="F69" t="str">
            <v xml:space="preserve">______ </v>
          </cell>
          <cell r="G69" t="str">
            <v xml:space="preserve">______ </v>
          </cell>
          <cell r="H69" t="str">
            <v xml:space="preserve">______ </v>
          </cell>
          <cell r="I69" t="str">
            <v xml:space="preserve">______ </v>
          </cell>
          <cell r="J69" t="str">
            <v xml:space="preserve">______ </v>
          </cell>
          <cell r="K69" t="str">
            <v xml:space="preserve">______ </v>
          </cell>
          <cell r="L69" t="str">
            <v xml:space="preserve">______ </v>
          </cell>
          <cell r="M69" t="str">
            <v xml:space="preserve">______ </v>
          </cell>
          <cell r="N69" t="str">
            <v xml:space="preserve">______ </v>
          </cell>
          <cell r="O69" t="str">
            <v xml:space="preserve">______ </v>
          </cell>
          <cell r="P69" t="str">
            <v xml:space="preserve">______ </v>
          </cell>
          <cell r="Q69" t="str">
            <v xml:space="preserve">______ </v>
          </cell>
          <cell r="R69" t="str">
            <v xml:space="preserve">______ </v>
          </cell>
          <cell r="S69" t="str">
            <v xml:space="preserve">______ </v>
          </cell>
          <cell r="T69" t="str">
            <v xml:space="preserve">______ </v>
          </cell>
          <cell r="U69" t="str">
            <v xml:space="preserve">______ </v>
          </cell>
          <cell r="V69" t="str">
            <v xml:space="preserve">______ </v>
          </cell>
          <cell r="AB69" t="str">
            <v xml:space="preserve">______ </v>
          </cell>
          <cell r="AC69" t="str">
            <v xml:space="preserve">______ </v>
          </cell>
          <cell r="AD69" t="str">
            <v xml:space="preserve">______ </v>
          </cell>
          <cell r="AE69" t="str">
            <v xml:space="preserve">______ </v>
          </cell>
          <cell r="AF69" t="str">
            <v xml:space="preserve">______ </v>
          </cell>
          <cell r="AG69" t="str">
            <v xml:space="preserve">______ </v>
          </cell>
          <cell r="AH69" t="str">
            <v xml:space="preserve">______ </v>
          </cell>
          <cell r="AI69" t="str">
            <v xml:space="preserve">______ </v>
          </cell>
          <cell r="AJ69" t="str">
            <v xml:space="preserve">______ </v>
          </cell>
          <cell r="AK69" t="str">
            <v xml:space="preserve">______ </v>
          </cell>
          <cell r="AL69" t="str">
            <v xml:space="preserve">______ </v>
          </cell>
          <cell r="AM69" t="str">
            <v xml:space="preserve">______ </v>
          </cell>
          <cell r="AN69" t="str">
            <v xml:space="preserve">______ </v>
          </cell>
          <cell r="AO69" t="str">
            <v xml:space="preserve">______ </v>
          </cell>
          <cell r="AP69" t="str">
            <v xml:space="preserve">______ </v>
          </cell>
          <cell r="AQ69" t="str">
            <v xml:space="preserve">______ </v>
          </cell>
          <cell r="AR69" t="str">
            <v xml:space="preserve">______ </v>
          </cell>
          <cell r="AS69" t="str">
            <v xml:space="preserve">______ </v>
          </cell>
          <cell r="AT69" t="str">
            <v xml:space="preserve">______ </v>
          </cell>
          <cell r="AU69" t="str">
            <v xml:space="preserve">______ </v>
          </cell>
          <cell r="AV69" t="str">
            <v xml:space="preserve">______ </v>
          </cell>
          <cell r="AW69" t="str">
            <v xml:space="preserve">______ </v>
          </cell>
          <cell r="AX69" t="str">
            <v xml:space="preserve">______ </v>
          </cell>
          <cell r="AY69" t="str">
            <v xml:space="preserve">______ </v>
          </cell>
          <cell r="AZ69" t="str">
            <v xml:space="preserve">______ </v>
          </cell>
          <cell r="BA69" t="str">
            <v xml:space="preserve">______ </v>
          </cell>
          <cell r="BB69" t="str">
            <v xml:space="preserve">______ </v>
          </cell>
          <cell r="BC69" t="str">
            <v xml:space="preserve">______ </v>
          </cell>
          <cell r="BD69" t="str">
            <v xml:space="preserve">______ </v>
          </cell>
          <cell r="BE69" t="str">
            <v xml:space="preserve">______ </v>
          </cell>
          <cell r="BF69" t="str">
            <v xml:space="preserve">______ </v>
          </cell>
          <cell r="BG69" t="str">
            <v xml:space="preserve">______ </v>
          </cell>
          <cell r="BH69" t="str">
            <v xml:space="preserve">______ </v>
          </cell>
          <cell r="BI69" t="str">
            <v xml:space="preserve">______ </v>
          </cell>
          <cell r="BJ69" t="str">
            <v xml:space="preserve">______ </v>
          </cell>
          <cell r="BK69" t="str">
            <v xml:space="preserve">______ </v>
          </cell>
          <cell r="BL69" t="str">
            <v xml:space="preserve">______ </v>
          </cell>
          <cell r="BM69" t="str">
            <v xml:space="preserve">______ </v>
          </cell>
          <cell r="BN69" t="str">
            <v xml:space="preserve">______ </v>
          </cell>
          <cell r="BO69" t="str">
            <v xml:space="preserve">______ </v>
          </cell>
          <cell r="BP69" t="str">
            <v xml:space="preserve">______ </v>
          </cell>
          <cell r="BQ69" t="str">
            <v xml:space="preserve">______ </v>
          </cell>
          <cell r="BR69" t="str">
            <v xml:space="preserve">______ </v>
          </cell>
          <cell r="BS69" t="str">
            <v xml:space="preserve">______ </v>
          </cell>
        </row>
        <row r="70">
          <cell r="A70" t="str">
            <v>Total Free Cash Flow</v>
          </cell>
          <cell r="D70">
            <v>-79.208000000000027</v>
          </cell>
          <cell r="E70">
            <v>65.613</v>
          </cell>
          <cell r="F70">
            <v>244.67199999999985</v>
          </cell>
          <cell r="G70">
            <v>418.911</v>
          </cell>
          <cell r="H70">
            <v>491.99199999999973</v>
          </cell>
          <cell r="I70">
            <v>479.87599999999986</v>
          </cell>
          <cell r="J70">
            <v>346.76500000000016</v>
          </cell>
          <cell r="K70">
            <v>-175.89699999999996</v>
          </cell>
          <cell r="L70">
            <v>-1489.5738954620986</v>
          </cell>
          <cell r="M70">
            <v>719.62198504193532</v>
          </cell>
          <cell r="N70">
            <v>1343.5831276150157</v>
          </cell>
          <cell r="O70">
            <v>1464.9584032761711</v>
          </cell>
          <cell r="P70">
            <v>1550.5944662846734</v>
          </cell>
          <cell r="Q70">
            <v>1648.5801689424868</v>
          </cell>
          <cell r="R70">
            <v>1723.2318386506404</v>
          </cell>
          <cell r="S70">
            <v>1807.7863958027983</v>
          </cell>
          <cell r="T70">
            <v>1864.7235868880664</v>
          </cell>
          <cell r="U70">
            <v>1934.6670463861021</v>
          </cell>
          <cell r="V70">
            <v>1971.6496805111915</v>
          </cell>
          <cell r="AB70">
            <v>-35.301000000000023</v>
          </cell>
          <cell r="AC70">
            <v>-2.1379999999999857</v>
          </cell>
          <cell r="AD70">
            <v>-18.756999999999962</v>
          </cell>
          <cell r="AE70">
            <v>-1.6980000000000266</v>
          </cell>
          <cell r="AF70">
            <v>10.48800000000001</v>
          </cell>
          <cell r="AG70">
            <v>27.205000000000005</v>
          </cell>
          <cell r="AH70">
            <v>27.817999999999994</v>
          </cell>
          <cell r="AI70">
            <v>34.65000000000002</v>
          </cell>
          <cell r="AJ70">
            <v>38.233999999999988</v>
          </cell>
          <cell r="AK70">
            <v>44.351000000000006</v>
          </cell>
          <cell r="AL70">
            <v>74.10199999999999</v>
          </cell>
          <cell r="AM70">
            <v>70.868000000000009</v>
          </cell>
          <cell r="AN70">
            <v>126.161</v>
          </cell>
          <cell r="AO70">
            <v>127.05200000000002</v>
          </cell>
          <cell r="AP70">
            <v>118.78800000000004</v>
          </cell>
          <cell r="AQ70">
            <v>46.910000000000004</v>
          </cell>
          <cell r="AR70">
            <v>140.59999999999994</v>
          </cell>
          <cell r="AS70">
            <v>135.78</v>
          </cell>
          <cell r="AT70">
            <v>139.91299999999998</v>
          </cell>
          <cell r="AU70">
            <v>75.698999999999955</v>
          </cell>
          <cell r="AV70">
            <v>113.31400000000004</v>
          </cell>
          <cell r="AW70">
            <v>144.12000000000003</v>
          </cell>
          <cell r="AX70">
            <v>140.98800000000006</v>
          </cell>
          <cell r="AY70">
            <v>81.453999999999994</v>
          </cell>
          <cell r="AZ70">
            <v>161.84400000000005</v>
          </cell>
          <cell r="BA70">
            <v>57.678999999999959</v>
          </cell>
          <cell r="BB70">
            <v>90.772999999999968</v>
          </cell>
          <cell r="BC70">
            <v>37.001000000000019</v>
          </cell>
          <cell r="BD70">
            <v>102.14400000000003</v>
          </cell>
          <cell r="BE70">
            <v>140.79300000000001</v>
          </cell>
          <cell r="BF70">
            <v>-270.39000000000004</v>
          </cell>
          <cell r="BG70">
            <v>-148.44399999999999</v>
          </cell>
          <cell r="BH70">
            <v>-423.75699999999989</v>
          </cell>
          <cell r="BI70">
            <v>-111.39000000000007</v>
          </cell>
          <cell r="BJ70">
            <v>-186.14399999999986</v>
          </cell>
          <cell r="BK70">
            <v>-768.28289546209965</v>
          </cell>
          <cell r="BL70">
            <v>108.59294801456076</v>
          </cell>
          <cell r="BM70">
            <v>158.65874186342148</v>
          </cell>
          <cell r="BN70">
            <v>217.8926210797342</v>
          </cell>
          <cell r="BO70">
            <v>234.47767408421885</v>
          </cell>
          <cell r="BP70">
            <v>312.42973913305428</v>
          </cell>
          <cell r="BQ70">
            <v>330.66414823818104</v>
          </cell>
          <cell r="BR70">
            <v>345.30316255096449</v>
          </cell>
          <cell r="BS70">
            <v>355.18607769281556</v>
          </cell>
        </row>
        <row r="72">
          <cell r="A72" t="str">
            <v>Calculated Recurring Free Cash Flow Calculation</v>
          </cell>
        </row>
        <row r="73">
          <cell r="A73" t="str">
            <v xml:space="preserve"> EBITDA</v>
          </cell>
          <cell r="D73">
            <v>375.99999999999994</v>
          </cell>
          <cell r="E73">
            <v>437.39500000000004</v>
          </cell>
          <cell r="F73">
            <v>600.66799999999989</v>
          </cell>
          <cell r="G73">
            <v>868.23399999999992</v>
          </cell>
          <cell r="H73">
            <v>978.89499999999975</v>
          </cell>
          <cell r="I73">
            <v>1092.3339999999998</v>
          </cell>
          <cell r="J73">
            <v>1180.9250000000002</v>
          </cell>
          <cell r="K73">
            <v>1347.748</v>
          </cell>
          <cell r="L73">
            <v>1584.1703752296009</v>
          </cell>
          <cell r="M73">
            <v>1899.6846804226077</v>
          </cell>
          <cell r="N73">
            <v>2122.078117477768</v>
          </cell>
          <cell r="O73">
            <v>2244.7461118657193</v>
          </cell>
          <cell r="P73">
            <v>2336.1055787614168</v>
          </cell>
          <cell r="Q73">
            <v>2423.9947553852789</v>
          </cell>
          <cell r="R73">
            <v>2502.285984603026</v>
          </cell>
          <cell r="S73">
            <v>2570.4468457851262</v>
          </cell>
          <cell r="T73">
            <v>2628.0687491998037</v>
          </cell>
          <cell r="U73">
            <v>2673.5731586637175</v>
          </cell>
          <cell r="V73">
            <v>2708.2575515914632</v>
          </cell>
          <cell r="AB73">
            <v>85.132999999999981</v>
          </cell>
          <cell r="AC73">
            <v>92.46</v>
          </cell>
          <cell r="AD73">
            <v>97.564000000000021</v>
          </cell>
          <cell r="AE73">
            <v>100.84299999999999</v>
          </cell>
          <cell r="AF73">
            <v>103.015</v>
          </cell>
          <cell r="AG73">
            <v>107.62800000000001</v>
          </cell>
          <cell r="AH73">
            <v>112.63199999999999</v>
          </cell>
          <cell r="AI73">
            <v>114.12</v>
          </cell>
          <cell r="AJ73">
            <v>117.29199999999999</v>
          </cell>
          <cell r="AK73">
            <v>122.35600000000001</v>
          </cell>
          <cell r="AL73">
            <v>165.709</v>
          </cell>
          <cell r="AM73">
            <v>195.31100000000001</v>
          </cell>
          <cell r="AN73">
            <v>215.49299999999999</v>
          </cell>
          <cell r="AO73">
            <v>216.447</v>
          </cell>
          <cell r="AP73">
            <v>217.78800000000004</v>
          </cell>
          <cell r="AQ73">
            <v>218.506</v>
          </cell>
          <cell r="AR73">
            <v>236.30999999999995</v>
          </cell>
          <cell r="AS73">
            <v>241.44799999999998</v>
          </cell>
          <cell r="AT73">
            <v>248.62799999999999</v>
          </cell>
          <cell r="AU73">
            <v>252.50899999999999</v>
          </cell>
          <cell r="AV73">
            <v>262.52200000000005</v>
          </cell>
          <cell r="AW73">
            <v>272.25100000000003</v>
          </cell>
          <cell r="AX73">
            <v>277.52700000000004</v>
          </cell>
          <cell r="AY73">
            <v>280.03399999999999</v>
          </cell>
          <cell r="AZ73">
            <v>281.17900000000003</v>
          </cell>
          <cell r="BA73">
            <v>287.34499999999997</v>
          </cell>
          <cell r="BB73">
            <v>304.18099999999993</v>
          </cell>
          <cell r="BC73">
            <v>308.22000000000003</v>
          </cell>
          <cell r="BD73">
            <v>311.50200000000001</v>
          </cell>
          <cell r="BE73">
            <v>320.96899999999999</v>
          </cell>
          <cell r="BF73">
            <v>349.99199999999996</v>
          </cell>
          <cell r="BG73">
            <v>365.28500000000008</v>
          </cell>
          <cell r="BH73">
            <v>377.09199999999998</v>
          </cell>
          <cell r="BI73">
            <v>389.11399999999998</v>
          </cell>
          <cell r="BJ73">
            <v>398.86900000000003</v>
          </cell>
          <cell r="BK73">
            <v>419.09537522960113</v>
          </cell>
          <cell r="BL73">
            <v>433.46381677239697</v>
          </cell>
          <cell r="BM73">
            <v>468.81750926192603</v>
          </cell>
          <cell r="BN73">
            <v>490.50401321550373</v>
          </cell>
          <cell r="BO73">
            <v>506.89934117278085</v>
          </cell>
          <cell r="BP73">
            <v>508.10333721571573</v>
          </cell>
          <cell r="BQ73">
            <v>525.42522366686853</v>
          </cell>
          <cell r="BR73">
            <v>539.58215515715813</v>
          </cell>
          <cell r="BS73">
            <v>548.96740143802583</v>
          </cell>
        </row>
        <row r="74">
          <cell r="A74" t="str">
            <v>- Sustaining Capex</v>
          </cell>
          <cell r="D74">
            <v>18</v>
          </cell>
          <cell r="E74">
            <v>12.1</v>
          </cell>
          <cell r="F74">
            <v>15.205</v>
          </cell>
          <cell r="G74">
            <v>38.597000000000001</v>
          </cell>
          <cell r="H74">
            <v>43.414000000000001</v>
          </cell>
          <cell r="I74">
            <v>38.119999999999997</v>
          </cell>
          <cell r="J74">
            <v>40.631</v>
          </cell>
          <cell r="K74">
            <v>43.008299999999991</v>
          </cell>
          <cell r="L74">
            <v>77.618000000000009</v>
          </cell>
          <cell r="M74">
            <v>54</v>
          </cell>
          <cell r="N74">
            <v>54</v>
          </cell>
          <cell r="O74">
            <v>54</v>
          </cell>
          <cell r="P74">
            <v>54</v>
          </cell>
          <cell r="Q74">
            <v>54</v>
          </cell>
          <cell r="R74">
            <v>0</v>
          </cell>
          <cell r="S74">
            <v>0</v>
          </cell>
          <cell r="T74">
            <v>0</v>
          </cell>
          <cell r="U74">
            <v>0</v>
          </cell>
          <cell r="V74">
            <v>6</v>
          </cell>
          <cell r="AB74">
            <v>6</v>
          </cell>
          <cell r="AC74">
            <v>4</v>
          </cell>
          <cell r="AD74">
            <v>4</v>
          </cell>
          <cell r="AE74">
            <v>4</v>
          </cell>
          <cell r="AF74">
            <v>3</v>
          </cell>
          <cell r="AG74">
            <v>3</v>
          </cell>
          <cell r="AH74">
            <v>3</v>
          </cell>
          <cell r="AI74">
            <v>3.1</v>
          </cell>
          <cell r="AJ74">
            <v>3</v>
          </cell>
          <cell r="AK74">
            <v>3</v>
          </cell>
          <cell r="AL74">
            <v>3.6</v>
          </cell>
          <cell r="AM74">
            <v>5.6050000000000004</v>
          </cell>
          <cell r="AN74">
            <v>7.9050000000000002</v>
          </cell>
          <cell r="AO74">
            <v>8.2289999999999992</v>
          </cell>
          <cell r="AP74">
            <v>10.648999999999999</v>
          </cell>
          <cell r="AQ74">
            <v>11.814</v>
          </cell>
          <cell r="AR74">
            <v>7.4880000000000004</v>
          </cell>
          <cell r="AS74">
            <v>12.58</v>
          </cell>
          <cell r="AT74">
            <v>11.501000000000001</v>
          </cell>
          <cell r="AU74">
            <v>11.844999999999999</v>
          </cell>
          <cell r="AV74">
            <v>7.9530000000000003</v>
          </cell>
          <cell r="AW74">
            <v>9.8130000000000006</v>
          </cell>
          <cell r="AX74">
            <v>10.484</v>
          </cell>
          <cell r="AY74">
            <v>9.870000000000001</v>
          </cell>
          <cell r="AZ74">
            <v>7.2509999999999994</v>
          </cell>
          <cell r="BA74">
            <v>10.991</v>
          </cell>
          <cell r="BB74">
            <v>11.974</v>
          </cell>
          <cell r="BC74">
            <v>10.414999999999999</v>
          </cell>
          <cell r="BD74">
            <v>8.452</v>
          </cell>
          <cell r="BE74">
            <v>7.7792999999999992</v>
          </cell>
          <cell r="BF74">
            <v>12.62</v>
          </cell>
          <cell r="BG74">
            <v>14.157</v>
          </cell>
          <cell r="BH74">
            <v>12.837</v>
          </cell>
          <cell r="BI74">
            <v>20.286000000000001</v>
          </cell>
          <cell r="BJ74">
            <v>24.495000000000001</v>
          </cell>
          <cell r="BK74">
            <v>20</v>
          </cell>
          <cell r="BL74">
            <v>13.5</v>
          </cell>
          <cell r="BM74">
            <v>13.5</v>
          </cell>
          <cell r="BN74">
            <v>13.5</v>
          </cell>
          <cell r="BO74">
            <v>13.5</v>
          </cell>
          <cell r="BP74">
            <v>13.5</v>
          </cell>
          <cell r="BQ74">
            <v>13.5</v>
          </cell>
          <cell r="BR74">
            <v>13.5</v>
          </cell>
          <cell r="BS74">
            <v>13.5</v>
          </cell>
        </row>
        <row r="75">
          <cell r="A75" t="str">
            <v>- Net Interest Expense</v>
          </cell>
          <cell r="D75">
            <v>274.59999999999997</v>
          </cell>
          <cell r="E75">
            <v>257.39300000000003</v>
          </cell>
          <cell r="F75">
            <v>218.01700000000002</v>
          </cell>
          <cell r="G75">
            <v>206.64099999999999</v>
          </cell>
          <cell r="H75">
            <v>224.97600000000003</v>
          </cell>
          <cell r="I75">
            <v>250.17099999999999</v>
          </cell>
          <cell r="J75">
            <v>248.08100000000002</v>
          </cell>
          <cell r="K75">
            <v>240.99400000000003</v>
          </cell>
          <cell r="L75">
            <v>304.50068252750003</v>
          </cell>
          <cell r="M75">
            <v>336.51879956813258</v>
          </cell>
          <cell r="N75">
            <v>325.97274279188809</v>
          </cell>
          <cell r="O75">
            <v>353.93864045532843</v>
          </cell>
          <cell r="P75">
            <v>346.93649489551154</v>
          </cell>
          <cell r="Q75">
            <v>342.86516517808678</v>
          </cell>
          <cell r="R75">
            <v>338.56400862812342</v>
          </cell>
          <cell r="S75">
            <v>334.15906368399448</v>
          </cell>
          <cell r="T75">
            <v>329.53993113018271</v>
          </cell>
          <cell r="U75">
            <v>324.8749090875296</v>
          </cell>
          <cell r="V75">
            <v>319.92699575519453</v>
          </cell>
          <cell r="AB75">
            <v>70.816000000000003</v>
          </cell>
          <cell r="AC75">
            <v>69.270999999999987</v>
          </cell>
          <cell r="AD75">
            <v>67.728999999999999</v>
          </cell>
          <cell r="AE75">
            <v>66.784000000000006</v>
          </cell>
          <cell r="AF75">
            <v>68.042999999999992</v>
          </cell>
          <cell r="AG75">
            <v>66.899000000000001</v>
          </cell>
          <cell r="AH75">
            <v>64.465000000000003</v>
          </cell>
          <cell r="AI75">
            <v>57.985999999999997</v>
          </cell>
          <cell r="AJ75">
            <v>54.017000000000003</v>
          </cell>
          <cell r="AK75">
            <v>52.234999999999999</v>
          </cell>
          <cell r="AL75">
            <v>56.300000000000004</v>
          </cell>
          <cell r="AM75">
            <v>55.465000000000003</v>
          </cell>
          <cell r="AN75">
            <v>52.899000000000001</v>
          </cell>
          <cell r="AO75">
            <v>52.318999999999996</v>
          </cell>
          <cell r="AP75">
            <v>52.155999999999999</v>
          </cell>
          <cell r="AQ75">
            <v>49.266999999999996</v>
          </cell>
          <cell r="AR75">
            <v>49.657000000000004</v>
          </cell>
          <cell r="AS75">
            <v>55.16</v>
          </cell>
          <cell r="AT75">
            <v>57.573999999999998</v>
          </cell>
          <cell r="AU75">
            <v>62.585000000000001</v>
          </cell>
          <cell r="AV75">
            <v>64.551000000000002</v>
          </cell>
          <cell r="AW75">
            <v>61.529000000000003</v>
          </cell>
          <cell r="AX75">
            <v>62.528999999999996</v>
          </cell>
          <cell r="AY75">
            <v>61.561999999999998</v>
          </cell>
          <cell r="AZ75">
            <v>61.068999999999996</v>
          </cell>
          <cell r="BA75">
            <v>62.172000000000004</v>
          </cell>
          <cell r="BB75">
            <v>63.386000000000003</v>
          </cell>
          <cell r="BC75">
            <v>61.454000000000001</v>
          </cell>
          <cell r="BD75">
            <v>57.914999999999999</v>
          </cell>
          <cell r="BE75">
            <v>55.379999999999995</v>
          </cell>
          <cell r="BF75">
            <v>60.95</v>
          </cell>
          <cell r="BG75">
            <v>66.749000000000009</v>
          </cell>
          <cell r="BH75">
            <v>72.123000000000005</v>
          </cell>
          <cell r="BI75">
            <v>71.801000000000002</v>
          </cell>
          <cell r="BJ75">
            <v>75.974000000000004</v>
          </cell>
          <cell r="BK75">
            <v>84.602682527500008</v>
          </cell>
          <cell r="BL75">
            <v>84.390640021077076</v>
          </cell>
          <cell r="BM75">
            <v>84.327592641114549</v>
          </cell>
          <cell r="BN75">
            <v>84.079238848384165</v>
          </cell>
          <cell r="BO75">
            <v>83.721328057556789</v>
          </cell>
          <cell r="BP75">
            <v>82.340889755481854</v>
          </cell>
          <cell r="BQ75">
            <v>81.825557499305077</v>
          </cell>
          <cell r="BR75">
            <v>81.217154273113891</v>
          </cell>
          <cell r="BS75">
            <v>80.589141263987301</v>
          </cell>
        </row>
        <row r="76">
          <cell r="A76" t="str">
            <v>- Cash Taxes</v>
          </cell>
          <cell r="D76">
            <v>2.609</v>
          </cell>
          <cell r="E76">
            <v>4.2569999999999997</v>
          </cell>
          <cell r="F76">
            <v>18.518999999999998</v>
          </cell>
          <cell r="G76">
            <v>26.474000000000004</v>
          </cell>
          <cell r="H76">
            <v>35.313000000000002</v>
          </cell>
          <cell r="I76">
            <v>35.061999999999998</v>
          </cell>
          <cell r="J76">
            <v>40.213999999999999</v>
          </cell>
          <cell r="K76">
            <v>36.381</v>
          </cell>
          <cell r="L76">
            <v>63.807999999999993</v>
          </cell>
          <cell r="M76">
            <v>3.299689806430401</v>
          </cell>
          <cell r="N76">
            <v>4.080239682142242</v>
          </cell>
          <cell r="O76">
            <v>4.5233627570231718</v>
          </cell>
          <cell r="P76">
            <v>4.8803952558684456</v>
          </cell>
          <cell r="Q76">
            <v>5.1891775033019609</v>
          </cell>
          <cell r="R76">
            <v>5.4533940242101107</v>
          </cell>
          <cell r="S76">
            <v>5.6717044193611557</v>
          </cell>
          <cell r="T76">
            <v>5.8439667506207851</v>
          </cell>
          <cell r="U76">
            <v>5.964734932127457</v>
          </cell>
          <cell r="V76">
            <v>6.0402951358851382</v>
          </cell>
          <cell r="AB76">
            <v>0.27600000000000002</v>
          </cell>
          <cell r="AC76">
            <v>0.8819999999999999</v>
          </cell>
          <cell r="AD76">
            <v>0.45500000000000007</v>
          </cell>
          <cell r="AE76">
            <v>0.996</v>
          </cell>
          <cell r="AF76">
            <v>0.27900000000000003</v>
          </cell>
          <cell r="AG76">
            <v>0.71</v>
          </cell>
          <cell r="AH76">
            <v>0.91299999999999992</v>
          </cell>
          <cell r="AI76">
            <v>2.355</v>
          </cell>
          <cell r="AJ76">
            <v>0.95799999999999996</v>
          </cell>
          <cell r="AK76">
            <v>1.873</v>
          </cell>
          <cell r="AL76">
            <v>11.121</v>
          </cell>
          <cell r="AM76">
            <v>4.5669999999999975</v>
          </cell>
          <cell r="AN76">
            <v>7.3330000000000002</v>
          </cell>
          <cell r="AO76">
            <v>6.3019999999999996</v>
          </cell>
          <cell r="AP76">
            <v>5.9530000000000012</v>
          </cell>
          <cell r="AQ76">
            <v>6.886000000000001</v>
          </cell>
          <cell r="AR76">
            <v>4.5469999999999997</v>
          </cell>
          <cell r="AS76">
            <v>10.431999999999999</v>
          </cell>
          <cell r="AT76">
            <v>5.0630000000000033</v>
          </cell>
          <cell r="AU76">
            <v>15.271000000000001</v>
          </cell>
          <cell r="AV76">
            <v>11.72</v>
          </cell>
          <cell r="AW76">
            <v>10.086</v>
          </cell>
          <cell r="AX76">
            <v>5.636000000000001</v>
          </cell>
          <cell r="AY76">
            <v>7.6199999999999957</v>
          </cell>
          <cell r="AZ76">
            <v>7.4939999999999998</v>
          </cell>
          <cell r="BA76">
            <v>11.501999999999999</v>
          </cell>
          <cell r="BB76">
            <v>13.763999999999999</v>
          </cell>
          <cell r="BC76">
            <v>7.4539999999999997</v>
          </cell>
          <cell r="BD76">
            <v>7.899</v>
          </cell>
          <cell r="BE76">
            <v>3.3579999999999997</v>
          </cell>
          <cell r="BF76">
            <v>11.663999999999998</v>
          </cell>
          <cell r="BG76">
            <v>13.46</v>
          </cell>
          <cell r="BH76">
            <v>13.477</v>
          </cell>
          <cell r="BI76">
            <v>14.818000000000001</v>
          </cell>
          <cell r="BJ76">
            <v>20.512999999999995</v>
          </cell>
          <cell r="BK76">
            <v>15</v>
          </cell>
          <cell r="BL76">
            <v>0.67678901966725136</v>
          </cell>
          <cell r="BM76">
            <v>0.80448820361335882</v>
          </cell>
          <cell r="BN76">
            <v>0.88578455390560706</v>
          </cell>
          <cell r="BO76">
            <v>0.93262802924418386</v>
          </cell>
          <cell r="BP76">
            <v>0.93938716833548475</v>
          </cell>
          <cell r="BQ76">
            <v>1.0031060942449053</v>
          </cell>
          <cell r="BR76">
            <v>1.0579144043231941</v>
          </cell>
          <cell r="BS76">
            <v>1.0798320152386576</v>
          </cell>
        </row>
        <row r="77">
          <cell r="D77" t="str">
            <v xml:space="preserve">______ </v>
          </cell>
          <cell r="E77" t="str">
            <v xml:space="preserve">______ </v>
          </cell>
          <cell r="F77" t="str">
            <v xml:space="preserve">______ </v>
          </cell>
          <cell r="G77" t="str">
            <v xml:space="preserve">______ </v>
          </cell>
          <cell r="H77" t="str">
            <v xml:space="preserve">______ </v>
          </cell>
          <cell r="I77" t="str">
            <v xml:space="preserve">______ </v>
          </cell>
          <cell r="J77" t="str">
            <v xml:space="preserve">______ </v>
          </cell>
          <cell r="K77" t="str">
            <v xml:space="preserve">______ </v>
          </cell>
          <cell r="L77" t="str">
            <v xml:space="preserve">______ </v>
          </cell>
          <cell r="M77" t="str">
            <v xml:space="preserve">______ </v>
          </cell>
          <cell r="N77" t="str">
            <v xml:space="preserve">______ </v>
          </cell>
          <cell r="O77" t="str">
            <v xml:space="preserve">______ </v>
          </cell>
          <cell r="P77" t="str">
            <v xml:space="preserve">______ </v>
          </cell>
          <cell r="Q77" t="str">
            <v xml:space="preserve">______ </v>
          </cell>
          <cell r="R77" t="str">
            <v xml:space="preserve">______ </v>
          </cell>
          <cell r="S77" t="str">
            <v xml:space="preserve">______ </v>
          </cell>
          <cell r="T77" t="str">
            <v xml:space="preserve">______ </v>
          </cell>
          <cell r="U77" t="str">
            <v xml:space="preserve">______ </v>
          </cell>
          <cell r="V77" t="str">
            <v xml:space="preserve">______ </v>
          </cell>
          <cell r="AB77" t="str">
            <v xml:space="preserve">______ </v>
          </cell>
          <cell r="AC77" t="str">
            <v xml:space="preserve">______ </v>
          </cell>
          <cell r="AD77" t="str">
            <v xml:space="preserve">______ </v>
          </cell>
          <cell r="AE77" t="str">
            <v xml:space="preserve">______ </v>
          </cell>
          <cell r="AF77" t="str">
            <v xml:space="preserve">______ </v>
          </cell>
          <cell r="AG77" t="str">
            <v xml:space="preserve">______ </v>
          </cell>
          <cell r="AH77" t="str">
            <v xml:space="preserve">______ </v>
          </cell>
          <cell r="AI77" t="str">
            <v xml:space="preserve">______ </v>
          </cell>
          <cell r="AJ77" t="str">
            <v xml:space="preserve">______ </v>
          </cell>
          <cell r="AK77" t="str">
            <v xml:space="preserve">______ </v>
          </cell>
          <cell r="AL77" t="str">
            <v xml:space="preserve">______ </v>
          </cell>
          <cell r="AM77" t="str">
            <v xml:space="preserve">______ </v>
          </cell>
          <cell r="AN77" t="str">
            <v xml:space="preserve">______ </v>
          </cell>
          <cell r="AO77" t="str">
            <v xml:space="preserve">______ </v>
          </cell>
          <cell r="AP77" t="str">
            <v xml:space="preserve">______ </v>
          </cell>
          <cell r="AQ77" t="str">
            <v xml:space="preserve">______ </v>
          </cell>
          <cell r="AR77" t="str">
            <v xml:space="preserve">______ </v>
          </cell>
          <cell r="AS77" t="str">
            <v xml:space="preserve">______ </v>
          </cell>
          <cell r="AT77" t="str">
            <v xml:space="preserve">______ </v>
          </cell>
          <cell r="AU77" t="str">
            <v xml:space="preserve">______ </v>
          </cell>
          <cell r="AV77" t="str">
            <v xml:space="preserve">______ </v>
          </cell>
          <cell r="AW77" t="str">
            <v xml:space="preserve">______ </v>
          </cell>
          <cell r="AX77" t="str">
            <v xml:space="preserve">______ </v>
          </cell>
          <cell r="AY77" t="str">
            <v xml:space="preserve">______ </v>
          </cell>
          <cell r="AZ77" t="str">
            <v xml:space="preserve">______ </v>
          </cell>
          <cell r="BA77" t="str">
            <v xml:space="preserve">______ </v>
          </cell>
          <cell r="BB77" t="str">
            <v xml:space="preserve">______ </v>
          </cell>
          <cell r="BC77" t="str">
            <v xml:space="preserve">______ </v>
          </cell>
          <cell r="BD77" t="str">
            <v xml:space="preserve">______ </v>
          </cell>
          <cell r="BE77" t="str">
            <v xml:space="preserve">______ </v>
          </cell>
          <cell r="BF77" t="str">
            <v xml:space="preserve">______ </v>
          </cell>
          <cell r="BG77" t="str">
            <v xml:space="preserve">______ </v>
          </cell>
          <cell r="BH77" t="str">
            <v xml:space="preserve">______ </v>
          </cell>
          <cell r="BI77" t="str">
            <v xml:space="preserve">______ </v>
          </cell>
          <cell r="BJ77" t="str">
            <v xml:space="preserve">______ </v>
          </cell>
          <cell r="BK77" t="str">
            <v xml:space="preserve">______ </v>
          </cell>
          <cell r="BL77" t="str">
            <v xml:space="preserve">______ </v>
          </cell>
          <cell r="BM77" t="str">
            <v xml:space="preserve">______ </v>
          </cell>
          <cell r="BN77" t="str">
            <v xml:space="preserve">______ </v>
          </cell>
          <cell r="BO77" t="str">
            <v xml:space="preserve">______ </v>
          </cell>
          <cell r="BP77" t="str">
            <v xml:space="preserve">______ </v>
          </cell>
          <cell r="BQ77" t="str">
            <v xml:space="preserve">______ </v>
          </cell>
          <cell r="BR77" t="str">
            <v xml:space="preserve">______ </v>
          </cell>
          <cell r="BS77" t="str">
            <v xml:space="preserve">______ </v>
          </cell>
        </row>
        <row r="78">
          <cell r="A78" t="str">
            <v>Recuring Free Cash Flow</v>
          </cell>
          <cell r="D78">
            <v>80.790999999999983</v>
          </cell>
          <cell r="E78">
            <v>163.64499999999998</v>
          </cell>
          <cell r="F78">
            <v>348.92699999999979</v>
          </cell>
          <cell r="G78">
            <v>596.52199999999993</v>
          </cell>
          <cell r="H78">
            <v>675.19199999999978</v>
          </cell>
          <cell r="I78">
            <v>768.98099999999988</v>
          </cell>
          <cell r="J78">
            <v>851.99900000000002</v>
          </cell>
          <cell r="K78">
            <v>1027.3646999999999</v>
          </cell>
          <cell r="L78">
            <v>1138.243692702101</v>
          </cell>
          <cell r="M78">
            <v>1505.8661910480446</v>
          </cell>
          <cell r="N78">
            <v>1738.0251350037377</v>
          </cell>
          <cell r="O78">
            <v>1832.2841086533676</v>
          </cell>
          <cell r="P78">
            <v>1930.2886886100368</v>
          </cell>
          <cell r="Q78">
            <v>2021.9404127038902</v>
          </cell>
          <cell r="R78">
            <v>2158.2685819506928</v>
          </cell>
          <cell r="S78">
            <v>2230.6160776817705</v>
          </cell>
          <cell r="T78">
            <v>2292.6848513190002</v>
          </cell>
          <cell r="U78">
            <v>2342.7335146440605</v>
          </cell>
          <cell r="V78">
            <v>2376.2902607003834</v>
          </cell>
          <cell r="AB78">
            <v>8.0409999999999791</v>
          </cell>
          <cell r="AC78">
            <v>18.307000000000006</v>
          </cell>
          <cell r="AD78">
            <v>25.380000000000024</v>
          </cell>
          <cell r="AE78">
            <v>29.062999999999985</v>
          </cell>
          <cell r="AF78">
            <v>31.693000000000008</v>
          </cell>
          <cell r="AG78">
            <v>37.019000000000013</v>
          </cell>
          <cell r="AH78">
            <v>44.253999999999991</v>
          </cell>
          <cell r="AI78">
            <v>50.679000000000016</v>
          </cell>
          <cell r="AJ78">
            <v>59.316999999999986</v>
          </cell>
          <cell r="AK78">
            <v>65.248000000000005</v>
          </cell>
          <cell r="AL78">
            <v>94.688000000000002</v>
          </cell>
          <cell r="AM78">
            <v>129.67400000000001</v>
          </cell>
          <cell r="AN78">
            <v>147.35599999999999</v>
          </cell>
          <cell r="AO78">
            <v>149.59700000000004</v>
          </cell>
          <cell r="AP78">
            <v>149.03000000000003</v>
          </cell>
          <cell r="AQ78">
            <v>150.53900000000002</v>
          </cell>
          <cell r="AR78">
            <v>174.61799999999994</v>
          </cell>
          <cell r="AS78">
            <v>163.27599999999998</v>
          </cell>
          <cell r="AT78">
            <v>174.48999999999998</v>
          </cell>
          <cell r="AU78">
            <v>162.80799999999999</v>
          </cell>
          <cell r="AV78">
            <v>178.29800000000003</v>
          </cell>
          <cell r="AW78">
            <v>190.82300000000004</v>
          </cell>
          <cell r="AX78">
            <v>198.87800000000007</v>
          </cell>
          <cell r="AY78">
            <v>200.98199999999997</v>
          </cell>
          <cell r="AZ78">
            <v>205.36500000000007</v>
          </cell>
          <cell r="BA78">
            <v>202.67999999999998</v>
          </cell>
          <cell r="BB78">
            <v>215.05699999999993</v>
          </cell>
          <cell r="BC78">
            <v>228.89699999999999</v>
          </cell>
          <cell r="BD78">
            <v>237.23600000000002</v>
          </cell>
          <cell r="BE78">
            <v>254.45170000000002</v>
          </cell>
          <cell r="BF78">
            <v>264.75799999999998</v>
          </cell>
          <cell r="BG78">
            <v>270.9190000000001</v>
          </cell>
          <cell r="BH78">
            <v>278.65500000000003</v>
          </cell>
          <cell r="BI78">
            <v>282.209</v>
          </cell>
          <cell r="BJ78">
            <v>277.88700000000006</v>
          </cell>
          <cell r="BK78">
            <v>299.49269270210112</v>
          </cell>
          <cell r="BL78">
            <v>334.89638773165268</v>
          </cell>
          <cell r="BM78">
            <v>370.18542841719812</v>
          </cell>
          <cell r="BN78">
            <v>392.03898981321396</v>
          </cell>
          <cell r="BO78">
            <v>408.74538508597988</v>
          </cell>
          <cell r="BP78">
            <v>411.3230602918984</v>
          </cell>
          <cell r="BQ78">
            <v>429.09656007331853</v>
          </cell>
          <cell r="BR78">
            <v>443.80708647972102</v>
          </cell>
          <cell r="BS78">
            <v>453.79842815879988</v>
          </cell>
        </row>
        <row r="79">
          <cell r="A79" t="str">
            <v>Y/Y Growth</v>
          </cell>
          <cell r="E79">
            <v>1.0255350224653736</v>
          </cell>
          <cell r="F79">
            <v>1.1322191328790971</v>
          </cell>
          <cell r="G79">
            <v>0.70958968494842845</v>
          </cell>
          <cell r="H79">
            <v>0.13188113766130982</v>
          </cell>
          <cell r="I79">
            <v>0.13890715529804876</v>
          </cell>
          <cell r="J79">
            <v>0.10795845411004978</v>
          </cell>
          <cell r="K79">
            <v>0.20582852796775564</v>
          </cell>
          <cell r="L79">
            <v>0.1079256399427595</v>
          </cell>
          <cell r="M79">
            <v>0.32297345524773924</v>
          </cell>
          <cell r="N79">
            <v>0.15416970334802205</v>
          </cell>
          <cell r="O79">
            <v>5.4233377729273835E-2</v>
          </cell>
          <cell r="P79">
            <v>5.3487654831377407E-2</v>
          </cell>
          <cell r="Q79">
            <v>4.7480837780720764E-2</v>
          </cell>
          <cell r="R79">
            <v>6.7424424770507585E-2</v>
          </cell>
          <cell r="S79">
            <v>3.3521080896098843E-2</v>
          </cell>
          <cell r="T79">
            <v>2.7825843388404436E-2</v>
          </cell>
          <cell r="U79">
            <v>2.1829717807166915E-2</v>
          </cell>
          <cell r="V79">
            <v>1.43237572035253E-2</v>
          </cell>
          <cell r="AF79" t="str">
            <v>NM</v>
          </cell>
          <cell r="AG79">
            <v>1.0221226853116296</v>
          </cell>
          <cell r="AH79">
            <v>0.74365642237982454</v>
          </cell>
          <cell r="AI79">
            <v>0.74376354815401169</v>
          </cell>
          <cell r="AJ79">
            <v>0.87161202789259362</v>
          </cell>
          <cell r="AK79">
            <v>0.76255436397525544</v>
          </cell>
          <cell r="AL79">
            <v>1.1396483933655719</v>
          </cell>
          <cell r="AM79">
            <v>1.5587324138203194</v>
          </cell>
          <cell r="AN79">
            <v>1.4842119459851313</v>
          </cell>
          <cell r="AO79">
            <v>1.2927446051986271</v>
          </cell>
          <cell r="AP79">
            <v>0.57390588036498835</v>
          </cell>
          <cell r="AQ79">
            <v>0.1609034964603544</v>
          </cell>
          <cell r="AR79">
            <v>0.18500773636635048</v>
          </cell>
          <cell r="AS79">
            <v>9.1438999445175639E-2</v>
          </cell>
          <cell r="AT79">
            <v>0.17083808629135033</v>
          </cell>
          <cell r="AU79">
            <v>8.1500474959977032E-2</v>
          </cell>
          <cell r="AV79">
            <v>2.10745742134264E-2</v>
          </cell>
          <cell r="AW79">
            <v>0.16871432421176458</v>
          </cell>
          <cell r="AX79">
            <v>0.13976732190956564</v>
          </cell>
          <cell r="AY79">
            <v>0.23447250749348925</v>
          </cell>
          <cell r="AZ79">
            <v>0.15180764787041934</v>
          </cell>
          <cell r="BA79">
            <v>6.2136115667398295E-2</v>
          </cell>
          <cell r="BB79">
            <v>8.1351381248805144E-2</v>
          </cell>
          <cell r="BC79">
            <v>0.13889303519718199</v>
          </cell>
          <cell r="BD79">
            <v>0.15519197526355488</v>
          </cell>
          <cell r="BE79">
            <v>0.2554356621274918</v>
          </cell>
          <cell r="BF79">
            <v>0.23110617185211391</v>
          </cell>
          <cell r="BG79">
            <v>0.18358475646251415</v>
          </cell>
          <cell r="BH79">
            <v>0.174589859886358</v>
          </cell>
          <cell r="BI79">
            <v>0.10908671468887809</v>
          </cell>
          <cell r="BJ79">
            <v>4.9588680984144373E-2</v>
          </cell>
          <cell r="BK79">
            <v>0.10546950454601189</v>
          </cell>
          <cell r="BL79">
            <v>0.20183161160450247</v>
          </cell>
          <cell r="BM79">
            <v>0.3117421075061324</v>
          </cell>
          <cell r="BN79">
            <v>0.41078564241297322</v>
          </cell>
          <cell r="BO79">
            <v>0.3647925142953321</v>
          </cell>
          <cell r="BP79">
            <v>0.22820990419725051</v>
          </cell>
          <cell r="BQ79">
            <v>0.15913952072075532</v>
          </cell>
          <cell r="BR79">
            <v>0.13204833705742347</v>
          </cell>
          <cell r="BS79">
            <v>0.11022275655379699</v>
          </cell>
        </row>
        <row r="81">
          <cell r="A81" t="str">
            <v>Recuring Free Cash Flow Per Share</v>
          </cell>
          <cell r="D81">
            <v>0.38838745964863353</v>
          </cell>
          <cell r="E81">
            <v>0.72950448793817846</v>
          </cell>
          <cell r="F81">
            <v>1.1556868625728347</v>
          </cell>
          <cell r="G81">
            <v>1.3835867206087091</v>
          </cell>
          <cell r="H81">
            <v>1.5846648066818627</v>
          </cell>
          <cell r="I81">
            <v>1.8432812655433317</v>
          </cell>
          <cell r="J81">
            <v>2.0926874977740608</v>
          </cell>
          <cell r="K81">
            <v>2.5404807519329666</v>
          </cell>
          <cell r="L81">
            <v>2.8625676137015388</v>
          </cell>
          <cell r="M81">
            <v>3.8301305327482629</v>
          </cell>
          <cell r="N81">
            <v>4.4158536396521999</v>
          </cell>
          <cell r="O81">
            <v>4.6245069091409414</v>
          </cell>
          <cell r="P81">
            <v>4.8704383627698302</v>
          </cell>
          <cell r="Q81">
            <v>5.1010095411736822</v>
          </cell>
          <cell r="R81">
            <v>5.4446090693189069</v>
          </cell>
          <cell r="S81">
            <v>5.6275121459104893</v>
          </cell>
          <cell r="T81">
            <v>5.7856888940347524</v>
          </cell>
          <cell r="U81">
            <v>5.914567050343722</v>
          </cell>
          <cell r="V81">
            <v>6.0026716145230878</v>
          </cell>
          <cell r="AB81">
            <v>4.1087770754663848E-2</v>
          </cell>
          <cell r="AC81">
            <v>9.0220932123619507E-2</v>
          </cell>
          <cell r="AD81">
            <v>0.11871573708533698</v>
          </cell>
          <cell r="AE81">
            <v>0.13230781837550412</v>
          </cell>
          <cell r="AF81">
            <v>0.14379242132771955</v>
          </cell>
          <cell r="AG81">
            <v>0.16557532494252569</v>
          </cell>
          <cell r="AH81">
            <v>0.19682528386979123</v>
          </cell>
          <cell r="AI81">
            <v>0.22182002810009244</v>
          </cell>
          <cell r="AJ81">
            <v>0.25772295553489338</v>
          </cell>
          <cell r="AK81">
            <v>0.28271221397529389</v>
          </cell>
          <cell r="AL81">
            <v>0.28337737661645829</v>
          </cell>
          <cell r="AM81">
            <v>0.31428883045116884</v>
          </cell>
          <cell r="AN81">
            <v>0.35305082431075829</v>
          </cell>
          <cell r="AO81">
            <v>0.34342666798285598</v>
          </cell>
          <cell r="AP81">
            <v>0.34248904945097886</v>
          </cell>
          <cell r="AQ81">
            <v>0.34491773380165841</v>
          </cell>
          <cell r="AR81">
            <v>0.397259058552133</v>
          </cell>
          <cell r="AS81">
            <v>0.3798476663735384</v>
          </cell>
          <cell r="AT81">
            <v>0.41742820780264678</v>
          </cell>
          <cell r="AU81">
            <v>0.39052050851523146</v>
          </cell>
          <cell r="AV81">
            <v>0.42288590253829267</v>
          </cell>
          <cell r="AW81">
            <v>0.45259797399061241</v>
          </cell>
          <cell r="AX81">
            <v>0.47745119928170354</v>
          </cell>
          <cell r="AY81">
            <v>0.4914682277682409</v>
          </cell>
          <cell r="AZ81">
            <v>0.5030373545621557</v>
          </cell>
          <cell r="BA81">
            <v>0.49575375704445829</v>
          </cell>
          <cell r="BB81">
            <v>0.53005215316665333</v>
          </cell>
          <cell r="BC81">
            <v>0.56418036261818605</v>
          </cell>
          <cell r="BD81">
            <v>0.58421000788022071</v>
          </cell>
          <cell r="BE81">
            <v>0.62823857351663115</v>
          </cell>
          <cell r="BF81">
            <v>0.65622684066376669</v>
          </cell>
          <cell r="BG81">
            <v>0.67220220726890201</v>
          </cell>
          <cell r="BH81">
            <v>0.69334584062164883</v>
          </cell>
          <cell r="BI81">
            <v>0.70508182386008744</v>
          </cell>
          <cell r="BJ81">
            <v>0.70318561274143898</v>
          </cell>
          <cell r="BK81">
            <v>0.76170101890726372</v>
          </cell>
          <cell r="BL81">
            <v>0.85220710261295063</v>
          </cell>
          <cell r="BM81">
            <v>0.94167384769217899</v>
          </cell>
          <cell r="BN81">
            <v>0.9969653467615025</v>
          </cell>
          <cell r="BO81">
            <v>1.0391902257006815</v>
          </cell>
          <cell r="BP81">
            <v>1.0454651653186127</v>
          </cell>
          <cell r="BQ81">
            <v>1.0903291616307698</v>
          </cell>
          <cell r="BR81">
            <v>1.1274341150055731</v>
          </cell>
          <cell r="BS81">
            <v>1.1525810647927863</v>
          </cell>
        </row>
        <row r="82">
          <cell r="A82" t="str">
            <v>Y/Y Growth</v>
          </cell>
          <cell r="E82">
            <v>0.87829053131155876</v>
          </cell>
          <cell r="F82">
            <v>0.58420802295430541</v>
          </cell>
          <cell r="G82">
            <v>0.19719862310151637</v>
          </cell>
          <cell r="H82">
            <v>0.14533103207631926</v>
          </cell>
          <cell r="I82">
            <v>0.16319947144089553</v>
          </cell>
          <cell r="J82">
            <v>0.13530557538499877</v>
          </cell>
          <cell r="K82">
            <v>0.21397999206055007</v>
          </cell>
          <cell r="L82">
            <v>0.12678185478221282</v>
          </cell>
          <cell r="M82">
            <v>0.33800526297284006</v>
          </cell>
          <cell r="N82">
            <v>0.15292510317753027</v>
          </cell>
          <cell r="O82">
            <v>4.7250947725064441E-2</v>
          </cell>
          <cell r="P82">
            <v>5.3180038101526605E-2</v>
          </cell>
          <cell r="Q82">
            <v>4.734094987555193E-2</v>
          </cell>
          <cell r="R82">
            <v>6.7359122811240013E-2</v>
          </cell>
          <cell r="S82">
            <v>3.3593426867369658E-2</v>
          </cell>
          <cell r="T82">
            <v>2.8107757748548012E-2</v>
          </cell>
          <cell r="U82">
            <v>2.2275334652343215E-2</v>
          </cell>
          <cell r="V82">
            <v>1.4896198391097126E-2</v>
          </cell>
          <cell r="AF82" t="str">
            <v>NM</v>
          </cell>
          <cell r="AG82">
            <v>0.8352207303251602</v>
          </cell>
          <cell r="AH82">
            <v>0.65795444396985392</v>
          </cell>
          <cell r="AI82">
            <v>0.67654512653623256</v>
          </cell>
          <cell r="AJ82">
            <v>0.79232641856355546</v>
          </cell>
          <cell r="AK82">
            <v>0.70745377714601254</v>
          </cell>
          <cell r="AL82">
            <v>0.4397407235745443</v>
          </cell>
          <cell r="AM82">
            <v>0.4168640818553655</v>
          </cell>
          <cell r="AN82">
            <v>0.36988505186903442</v>
          </cell>
          <cell r="AO82">
            <v>0.21475709575415758</v>
          </cell>
          <cell r="AP82">
            <v>0.20859700777922807</v>
          </cell>
          <cell r="AQ82">
            <v>9.7454635300023407E-2</v>
          </cell>
          <cell r="AR82">
            <v>0.12521776242182692</v>
          </cell>
          <cell r="AS82">
            <v>0.10605174782903171</v>
          </cell>
          <cell r="AT82">
            <v>0.21880745814150226</v>
          </cell>
          <cell r="AU82">
            <v>0.13221348235981534</v>
          </cell>
          <cell r="AV82">
            <v>6.4509149469266669E-2</v>
          </cell>
          <cell r="AW82">
            <v>0.19152495607418607</v>
          </cell>
          <cell r="AX82">
            <v>0.14379237041746507</v>
          </cell>
          <cell r="AY82">
            <v>0.258495308317648</v>
          </cell>
          <cell r="AZ82">
            <v>0.18953446199735935</v>
          </cell>
          <cell r="BA82">
            <v>9.5351251074625942E-2</v>
          </cell>
          <cell r="BB82">
            <v>0.1101703251852435</v>
          </cell>
          <cell r="BC82">
            <v>0.14794880063789928</v>
          </cell>
          <cell r="BD82">
            <v>0.16136506082876845</v>
          </cell>
          <cell r="BE82">
            <v>0.26723915772622542</v>
          </cell>
          <cell r="BF82">
            <v>0.238042024248589</v>
          </cell>
          <cell r="BG82">
            <v>0.19146686380472389</v>
          </cell>
          <cell r="BH82">
            <v>0.18680924884772598</v>
          </cell>
          <cell r="BI82">
            <v>0.1223153967024313</v>
          </cell>
          <cell r="BJ82">
            <v>7.1558749456474446E-2</v>
          </cell>
          <cell r="BK82">
            <v>0.13314269228895781</v>
          </cell>
          <cell r="BL82">
            <v>0.22912268695355253</v>
          </cell>
          <cell r="BM82">
            <v>0.33555257819132156</v>
          </cell>
          <cell r="BN82">
            <v>0.41778405117638018</v>
          </cell>
          <cell r="BO82">
            <v>0.36430200289281989</v>
          </cell>
          <cell r="BP82">
            <v>0.22677358838375539</v>
          </cell>
          <cell r="BQ82">
            <v>0.15786284635907633</v>
          </cell>
          <cell r="BR82">
            <v>0.13086590087396677</v>
          </cell>
          <cell r="BS82">
            <v>0.10911461278963652</v>
          </cell>
        </row>
        <row r="84">
          <cell r="A84" t="str">
            <v>REIT Analysis</v>
          </cell>
          <cell r="J84" t="str">
            <v>2009A</v>
          </cell>
          <cell r="K84" t="str">
            <v>2010A</v>
          </cell>
          <cell r="L84" t="str">
            <v>2011E</v>
          </cell>
          <cell r="M84" t="str">
            <v>2012E</v>
          </cell>
          <cell r="N84" t="str">
            <v>2013E</v>
          </cell>
          <cell r="BH84" t="str">
            <v>1Q11A</v>
          </cell>
          <cell r="BI84" t="str">
            <v>2Q11A</v>
          </cell>
          <cell r="BJ84" t="str">
            <v>3Q11A</v>
          </cell>
          <cell r="BK84" t="str">
            <v>4Q11E</v>
          </cell>
          <cell r="BL84" t="str">
            <v>1Q12E</v>
          </cell>
          <cell r="BM84" t="str">
            <v>2Q12E</v>
          </cell>
          <cell r="BN84" t="str">
            <v>3Q12E</v>
          </cell>
          <cell r="BO84" t="str">
            <v>4Q12E</v>
          </cell>
        </row>
        <row r="85">
          <cell r="A85" t="str">
            <v>Net Income</v>
          </cell>
          <cell r="J85">
            <v>247.12699999999987</v>
          </cell>
          <cell r="K85">
            <v>373.60600000000005</v>
          </cell>
          <cell r="L85">
            <v>296.54181987126066</v>
          </cell>
          <cell r="M85">
            <v>806.5908415718759</v>
          </cell>
          <cell r="N85">
            <v>996.59592230143676</v>
          </cell>
          <cell r="O85">
            <v>1105.71089616122</v>
          </cell>
          <cell r="P85">
            <v>1192.985506990065</v>
          </cell>
          <cell r="Q85">
            <v>1268.4656119182575</v>
          </cell>
          <cell r="R85">
            <v>1333.0518725846941</v>
          </cell>
          <cell r="S85">
            <v>1386.4166358438388</v>
          </cell>
          <cell r="T85">
            <v>1428.5252057073035</v>
          </cell>
          <cell r="U85">
            <v>1458.0463167422679</v>
          </cell>
          <cell r="V85">
            <v>1476.5165887719231</v>
          </cell>
          <cell r="AZ85">
            <v>58.759000000000015</v>
          </cell>
          <cell r="BA85">
            <v>56.487999999999978</v>
          </cell>
          <cell r="BB85">
            <v>67.577999999999903</v>
          </cell>
          <cell r="BC85">
            <v>64.301999999999992</v>
          </cell>
          <cell r="BD85">
            <v>96.483000000000033</v>
          </cell>
          <cell r="BE85">
            <v>99.818999999999974</v>
          </cell>
          <cell r="BF85">
            <v>93.600999999999999</v>
          </cell>
          <cell r="BG85">
            <v>83.703000000000046</v>
          </cell>
          <cell r="BH85">
            <v>91.961299999999994</v>
          </cell>
          <cell r="BI85">
            <v>113.17100000000001</v>
          </cell>
          <cell r="BJ85">
            <v>-19.725999999999988</v>
          </cell>
          <cell r="BK85">
            <v>111.13551987126066</v>
          </cell>
          <cell r="BL85">
            <v>165.43731591866145</v>
          </cell>
          <cell r="BM85">
            <v>196.65267199437662</v>
          </cell>
          <cell r="BN85">
            <v>216.5251131769262</v>
          </cell>
          <cell r="BO85">
            <v>227.97574048191163</v>
          </cell>
          <cell r="BP85">
            <v>229.42897448200739</v>
          </cell>
          <cell r="BQ85">
            <v>245.00471192653237</v>
          </cell>
          <cell r="BR85">
            <v>258.40229883455856</v>
          </cell>
          <cell r="BS85">
            <v>263.75993705833849</v>
          </cell>
        </row>
        <row r="86">
          <cell r="A86" t="str">
            <v>Adjustment for Pro-Forma Income Taxes</v>
          </cell>
          <cell r="J86">
            <v>140</v>
          </cell>
          <cell r="K86">
            <v>146.215</v>
          </cell>
          <cell r="L86">
            <v>131.976</v>
          </cell>
          <cell r="M86">
            <v>0</v>
          </cell>
          <cell r="N86">
            <v>0</v>
          </cell>
          <cell r="O86">
            <v>0</v>
          </cell>
          <cell r="P86">
            <v>0</v>
          </cell>
          <cell r="Q86">
            <v>0</v>
          </cell>
          <cell r="R86">
            <v>0</v>
          </cell>
          <cell r="S86">
            <v>0</v>
          </cell>
          <cell r="T86">
            <v>0</v>
          </cell>
          <cell r="U86">
            <v>0</v>
          </cell>
          <cell r="V86">
            <v>0</v>
          </cell>
          <cell r="AZ86">
            <v>35</v>
          </cell>
          <cell r="BA86">
            <v>35</v>
          </cell>
          <cell r="BB86">
            <v>35</v>
          </cell>
          <cell r="BC86">
            <v>35</v>
          </cell>
          <cell r="BD86">
            <v>20.513000000000002</v>
          </cell>
          <cell r="BE86">
            <v>27.004000000000001</v>
          </cell>
          <cell r="BF86">
            <v>59.02</v>
          </cell>
          <cell r="BG86">
            <v>39.677999999999997</v>
          </cell>
          <cell r="BH86">
            <v>60.790999999999997</v>
          </cell>
          <cell r="BI86">
            <v>54.186999999999998</v>
          </cell>
          <cell r="BJ86">
            <v>8.4990000000000006</v>
          </cell>
          <cell r="BK86">
            <v>8.4990000000000006</v>
          </cell>
          <cell r="BL86">
            <v>0</v>
          </cell>
          <cell r="BM86">
            <v>0</v>
          </cell>
          <cell r="BN86">
            <v>0</v>
          </cell>
          <cell r="BO86">
            <v>0</v>
          </cell>
          <cell r="BP86">
            <v>0</v>
          </cell>
          <cell r="BQ86">
            <v>0</v>
          </cell>
          <cell r="BR86">
            <v>0</v>
          </cell>
          <cell r="BS86">
            <v>0</v>
          </cell>
          <cell r="BU86" t="str">
            <v>mstag:otherFFOAdjustmentNareit</v>
          </cell>
          <cell r="BV86">
            <v>6</v>
          </cell>
          <cell r="BW86" t="str">
            <v>ISO4217:USD</v>
          </cell>
          <cell r="BX86" t="b">
            <v>0</v>
          </cell>
          <cell r="BY86" t="b">
            <v>0</v>
          </cell>
        </row>
        <row r="87">
          <cell r="A87" t="str">
            <v>Real Estate Depreciation</v>
          </cell>
          <cell r="J87">
            <v>373.15710000000001</v>
          </cell>
          <cell r="K87">
            <v>412.86300000000006</v>
          </cell>
          <cell r="L87">
            <v>479.22014362500005</v>
          </cell>
          <cell r="M87">
            <v>535.27804116142715</v>
          </cell>
          <cell r="N87">
            <v>521.91117816254348</v>
          </cell>
          <cell r="O87">
            <v>520.63723501355855</v>
          </cell>
          <cell r="P87">
            <v>519.90456151220269</v>
          </cell>
          <cell r="Q87">
            <v>525.47345536098248</v>
          </cell>
          <cell r="R87">
            <v>533.75247232488425</v>
          </cell>
          <cell r="S87">
            <v>544.48409905072913</v>
          </cell>
          <cell r="T87">
            <v>557.43544860746181</v>
          </cell>
          <cell r="U87">
            <v>572.39589158670412</v>
          </cell>
          <cell r="V87">
            <v>589.17491628135645</v>
          </cell>
          <cell r="AZ87">
            <v>89.881199999999993</v>
          </cell>
          <cell r="BA87">
            <v>92.216700000000003</v>
          </cell>
          <cell r="BB87">
            <v>94.988700000000009</v>
          </cell>
          <cell r="BC87">
            <v>96.07050000000001</v>
          </cell>
          <cell r="BD87">
            <v>99.644000000000005</v>
          </cell>
          <cell r="BE87">
            <v>98.63</v>
          </cell>
          <cell r="BF87">
            <v>103.422</v>
          </cell>
          <cell r="BG87">
            <v>111.167</v>
          </cell>
          <cell r="BH87">
            <v>114.209</v>
          </cell>
          <cell r="BI87">
            <v>119.02500000000001</v>
          </cell>
          <cell r="BJ87">
            <v>123.715</v>
          </cell>
          <cell r="BK87">
            <v>122.27114362500004</v>
          </cell>
          <cell r="BL87">
            <v>132.94640415937499</v>
          </cell>
          <cell r="BM87">
            <v>133.50057405539062</v>
          </cell>
          <cell r="BN87">
            <v>134.09685845400585</v>
          </cell>
          <cell r="BO87">
            <v>134.73420449265569</v>
          </cell>
          <cell r="BP87">
            <v>129.39866793565753</v>
          </cell>
          <cell r="BQ87">
            <v>130.09399261226611</v>
          </cell>
          <cell r="BR87">
            <v>130.82568417195944</v>
          </cell>
          <cell r="BS87">
            <v>131.59283344266046</v>
          </cell>
          <cell r="BU87" t="str">
            <v>mstag:depreciationAndAmortizationRealEstateFFOAdjustment</v>
          </cell>
          <cell r="BV87">
            <v>6</v>
          </cell>
          <cell r="BW87" t="str">
            <v>ISO4217:USD</v>
          </cell>
          <cell r="BX87" t="b">
            <v>0</v>
          </cell>
          <cell r="BY87" t="b">
            <v>0</v>
          </cell>
        </row>
        <row r="88">
          <cell r="A88" t="str">
            <v>Funds From Operations (FFO)</v>
          </cell>
          <cell r="J88">
            <v>760.28409999999985</v>
          </cell>
          <cell r="K88">
            <v>932.68400000000008</v>
          </cell>
          <cell r="L88">
            <v>907.7379634962607</v>
          </cell>
          <cell r="M88">
            <v>1341.8688827333031</v>
          </cell>
          <cell r="N88">
            <v>1518.5071004639804</v>
          </cell>
          <cell r="O88">
            <v>1626.3481311747787</v>
          </cell>
          <cell r="P88">
            <v>1712.8900685022677</v>
          </cell>
          <cell r="Q88">
            <v>1793.9390672792401</v>
          </cell>
          <cell r="R88">
            <v>1866.8043449095785</v>
          </cell>
          <cell r="S88">
            <v>1930.9007348945679</v>
          </cell>
          <cell r="T88">
            <v>1985.9606543147652</v>
          </cell>
          <cell r="U88">
            <v>2030.4422083289719</v>
          </cell>
          <cell r="V88">
            <v>2065.6915050532798</v>
          </cell>
          <cell r="AZ88">
            <v>183.64019999999999</v>
          </cell>
          <cell r="BA88">
            <v>183.70469999999997</v>
          </cell>
          <cell r="BB88">
            <v>197.56669999999991</v>
          </cell>
          <cell r="BC88">
            <v>195.3725</v>
          </cell>
          <cell r="BD88">
            <v>216.64000000000004</v>
          </cell>
          <cell r="BE88">
            <v>225.45299999999997</v>
          </cell>
          <cell r="BF88">
            <v>256.04300000000001</v>
          </cell>
          <cell r="BG88">
            <v>234.54800000000006</v>
          </cell>
          <cell r="BH88">
            <v>266.96129999999999</v>
          </cell>
          <cell r="BI88">
            <v>286.38300000000004</v>
          </cell>
          <cell r="BJ88">
            <v>112.48800000000001</v>
          </cell>
          <cell r="BK88">
            <v>241.90566349626067</v>
          </cell>
          <cell r="BL88">
            <v>298.38372007803645</v>
          </cell>
          <cell r="BM88">
            <v>330.15324604976723</v>
          </cell>
          <cell r="BN88">
            <v>350.62197163093208</v>
          </cell>
          <cell r="BO88">
            <v>362.70994497456729</v>
          </cell>
          <cell r="BP88">
            <v>358.82764241766495</v>
          </cell>
          <cell r="BQ88">
            <v>375.09870453879847</v>
          </cell>
          <cell r="BR88">
            <v>389.227983006518</v>
          </cell>
          <cell r="BS88">
            <v>395.35277050099899</v>
          </cell>
        </row>
        <row r="89">
          <cell r="A89" t="str">
            <v>Y/Y Growth</v>
          </cell>
          <cell r="K89">
            <v>0.2267572082593865</v>
          </cell>
          <cell r="L89">
            <v>-2.6746504179056774E-2</v>
          </cell>
          <cell r="M89">
            <v>0.47825577060249347</v>
          </cell>
          <cell r="N89">
            <v>0.13163597427706675</v>
          </cell>
          <cell r="O89">
            <v>7.1017798124123122E-2</v>
          </cell>
          <cell r="P89">
            <v>5.3212430763502239E-2</v>
          </cell>
          <cell r="Q89">
            <v>4.7317104738566762E-2</v>
          </cell>
          <cell r="R89">
            <v>4.0617476345419457E-2</v>
          </cell>
          <cell r="S89">
            <v>3.4334819371814707E-2</v>
          </cell>
          <cell r="T89">
            <v>2.8515147581216205E-2</v>
          </cell>
          <cell r="U89">
            <v>2.2398003665160537E-2</v>
          </cell>
          <cell r="V89">
            <v>1.7360403846863326E-2</v>
          </cell>
          <cell r="BD89">
            <v>0.17969812709853317</v>
          </cell>
          <cell r="BE89">
            <v>0.2272576586227788</v>
          </cell>
          <cell r="BF89">
            <v>0.29598257196177347</v>
          </cell>
          <cell r="BG89">
            <v>0.20051696118952278</v>
          </cell>
          <cell r="BH89">
            <v>0.23228074224519912</v>
          </cell>
          <cell r="BI89">
            <v>0.27025588481856566</v>
          </cell>
          <cell r="BJ89">
            <v>-0.56066754412344799</v>
          </cell>
          <cell r="BK89">
            <v>3.136954267894243E-2</v>
          </cell>
          <cell r="BL89">
            <v>0.11770402705574345</v>
          </cell>
          <cell r="BM89">
            <v>0.1528381434993249</v>
          </cell>
          <cell r="BN89">
            <v>2.1169722248678262</v>
          </cell>
          <cell r="BO89">
            <v>0.49938591652763842</v>
          </cell>
          <cell r="BP89">
            <v>0.20257111320892629</v>
          </cell>
          <cell r="BQ89">
            <v>0.13613514035314433</v>
          </cell>
          <cell r="BR89">
            <v>0.11010722230557457</v>
          </cell>
          <cell r="BS89">
            <v>8.9997051304233189E-2</v>
          </cell>
        </row>
        <row r="90">
          <cell r="A90" t="str">
            <v>FFO per Share</v>
          </cell>
          <cell r="J90">
            <v>1.8674165472335105</v>
          </cell>
          <cell r="K90">
            <v>2.3063530892543298</v>
          </cell>
          <cell r="L90">
            <v>2.2828690487739429</v>
          </cell>
          <cell r="M90">
            <v>3.4130077487991399</v>
          </cell>
          <cell r="N90">
            <v>3.8581174526035587</v>
          </cell>
          <cell r="O90">
            <v>4.104744528300146</v>
          </cell>
          <cell r="P90">
            <v>4.3219056041032786</v>
          </cell>
          <cell r="Q90">
            <v>4.5258011764245571</v>
          </cell>
          <cell r="R90">
            <v>4.7093396771555449</v>
          </cell>
          <cell r="S90">
            <v>4.871374974334282</v>
          </cell>
          <cell r="T90">
            <v>5.01165718221087</v>
          </cell>
          <cell r="U90">
            <v>5.126142819036879</v>
          </cell>
          <cell r="V90">
            <v>5.2180779287838952</v>
          </cell>
          <cell r="AZ90">
            <v>0.44982290263319041</v>
          </cell>
          <cell r="BA90">
            <v>0.44934031582654971</v>
          </cell>
          <cell r="BB90">
            <v>0.48694371598706498</v>
          </cell>
          <cell r="BC90">
            <v>0.48154990190182295</v>
          </cell>
          <cell r="BD90">
            <v>0.533490937746257</v>
          </cell>
          <cell r="BE90">
            <v>0.55664108793552969</v>
          </cell>
          <cell r="BF90">
            <v>0.634625918627852</v>
          </cell>
          <cell r="BG90">
            <v>0.58195875265487618</v>
          </cell>
          <cell r="BH90">
            <v>0.66424972443325314</v>
          </cell>
          <cell r="BI90">
            <v>0.71551030605871335</v>
          </cell>
          <cell r="BJ90">
            <v>0.28464787199854247</v>
          </cell>
          <cell r="BK90">
            <v>0.61523968649151195</v>
          </cell>
          <cell r="BL90">
            <v>0.75929372447675247</v>
          </cell>
          <cell r="BM90">
            <v>0.83984039800012655</v>
          </cell>
          <cell r="BN90">
            <v>0.89164079240123528</v>
          </cell>
          <cell r="BO90">
            <v>0.92215017792241505</v>
          </cell>
          <cell r="BP90">
            <v>0.9120368798064713</v>
          </cell>
          <cell r="BQ90">
            <v>0.9531212647770807</v>
          </cell>
          <cell r="BR90">
            <v>0.98878300938624009</v>
          </cell>
          <cell r="BS90">
            <v>1.0041377160375764</v>
          </cell>
        </row>
        <row r="91">
          <cell r="A91" t="str">
            <v>Y/Y Growth</v>
          </cell>
          <cell r="K91">
            <v>0.23505015132862739</v>
          </cell>
          <cell r="L91">
            <v>-1.0182326630645888E-2</v>
          </cell>
          <cell r="M91">
            <v>0.49505191751237732</v>
          </cell>
          <cell r="N91">
            <v>0.13041567337813098</v>
          </cell>
          <cell r="O91">
            <v>6.392420104529406E-2</v>
          </cell>
          <cell r="P91">
            <v>5.290489439864432E-2</v>
          </cell>
          <cell r="Q91">
            <v>4.7177238699451784E-2</v>
          </cell>
          <cell r="R91">
            <v>4.0553814358231577E-2</v>
          </cell>
          <cell r="S91">
            <v>3.4407222304381868E-2</v>
          </cell>
          <cell r="T91">
            <v>2.8797251005248103E-2</v>
          </cell>
          <cell r="U91">
            <v>2.2843868338078277E-2</v>
          </cell>
          <cell r="V91">
            <v>1.7934558788646804E-2</v>
          </cell>
          <cell r="BD91">
            <v>0.1860021680160957</v>
          </cell>
          <cell r="BE91">
            <v>0.23879622711263515</v>
          </cell>
          <cell r="BF91">
            <v>0.30328392746875488</v>
          </cell>
          <cell r="BG91">
            <v>0.20851182890184505</v>
          </cell>
          <cell r="BH91">
            <v>0.24510029587267068</v>
          </cell>
          <cell r="BI91">
            <v>0.28540691940725726</v>
          </cell>
          <cell r="BJ91">
            <v>-0.55147140442358533</v>
          </cell>
          <cell r="BK91">
            <v>5.718778811180214E-2</v>
          </cell>
          <cell r="BL91">
            <v>0.14308474139690786</v>
          </cell>
          <cell r="BM91">
            <v>0.17376422238593303</v>
          </cell>
          <cell r="BN91">
            <v>2.1324344220138802</v>
          </cell>
          <cell r="BO91">
            <v>0.49884703176594791</v>
          </cell>
          <cell r="BP91">
            <v>0.20116478038189745</v>
          </cell>
          <cell r="BQ91">
            <v>0.13488380297816671</v>
          </cell>
          <cell r="BR91">
            <v>0.10894770384315389</v>
          </cell>
          <cell r="BS91">
            <v>8.8909095370862001E-2</v>
          </cell>
        </row>
        <row r="92">
          <cell r="A92" t="str">
            <v>FFO per Share Yield</v>
          </cell>
          <cell r="J92">
            <v>2.7812407073446739E-2</v>
          </cell>
          <cell r="K92">
            <v>3.4349717564873775E-2</v>
          </cell>
          <cell r="L92">
            <v>3.3999957520957795E-2</v>
          </cell>
          <cell r="M92">
            <v>5.0831701687047322E-2</v>
          </cell>
          <cell r="N92">
            <v>5.746095229151988E-2</v>
          </cell>
          <cell r="O92">
            <v>6.1134097758057039E-2</v>
          </cell>
          <cell r="P92">
            <v>6.4368390744103457E-2</v>
          </cell>
          <cell r="Q92">
            <v>6.7405113678937603E-2</v>
          </cell>
          <cell r="R92">
            <v>7.0138648145868732E-2</v>
          </cell>
          <cell r="S92">
            <v>7.2551924204752469E-2</v>
          </cell>
          <cell r="T92">
            <v>7.4641220176990458E-2</v>
          </cell>
          <cell r="U92">
            <v>7.6346314383307121E-2</v>
          </cell>
          <cell r="V92">
            <v>7.7715551846911049E-2</v>
          </cell>
          <cell r="AZ92">
            <v>6.6994467289730499E-3</v>
          </cell>
          <cell r="BA92">
            <v>6.6922593123602695E-3</v>
          </cell>
          <cell r="BB92">
            <v>7.2523063324851193E-3</v>
          </cell>
          <cell r="BC92">
            <v>7.1719734505475132E-3</v>
          </cell>
          <cell r="BD92">
            <v>7.9455583450703787E-3</v>
          </cell>
          <cell r="BE92">
            <v>8.2903455870113E-3</v>
          </cell>
          <cell r="BF92">
            <v>9.4518142802077279E-3</v>
          </cell>
          <cell r="BG92">
            <v>8.667414751556652E-3</v>
          </cell>
          <cell r="BH92">
            <v>9.893017046320696E-3</v>
          </cell>
          <cell r="BI92">
            <v>1.0656467581821745E-2</v>
          </cell>
          <cell r="BJ92">
            <v>4.2394089847506734E-3</v>
          </cell>
          <cell r="BK92">
            <v>9.1630850298457835E-3</v>
          </cell>
          <cell r="BL92">
            <v>1.1308556832028693E-2</v>
          </cell>
          <cell r="BM92">
            <v>1.2508180384557904E-2</v>
          </cell>
          <cell r="BN92">
            <v>1.3279670632827924E-2</v>
          </cell>
          <cell r="BO92">
            <v>1.3734062798803345E-2</v>
          </cell>
          <cell r="BP92">
            <v>1.3583440183579952E-2</v>
          </cell>
          <cell r="BQ92">
            <v>1.419533132316398E-2</v>
          </cell>
          <cell r="BR92">
            <v>1.4726460256067889E-2</v>
          </cell>
          <cell r="BS92">
            <v>1.4955145898011559E-2</v>
          </cell>
        </row>
        <row r="94">
          <cell r="A94" t="str">
            <v>Funds From Operations (FFO)</v>
          </cell>
          <cell r="J94">
            <v>760.28409999999985</v>
          </cell>
          <cell r="K94">
            <v>932.68400000000008</v>
          </cell>
          <cell r="L94">
            <v>907.7379634962607</v>
          </cell>
          <cell r="M94">
            <v>1341.8688827333031</v>
          </cell>
          <cell r="N94">
            <v>1518.5071004639804</v>
          </cell>
          <cell r="O94">
            <v>1626.3481311747787</v>
          </cell>
          <cell r="P94">
            <v>1712.8900685022677</v>
          </cell>
          <cell r="Q94">
            <v>1793.9390672792401</v>
          </cell>
          <cell r="R94">
            <v>1866.8043449095785</v>
          </cell>
          <cell r="S94">
            <v>1930.9007348945679</v>
          </cell>
          <cell r="T94">
            <v>1985.9606543147652</v>
          </cell>
          <cell r="U94">
            <v>2030.4422083289719</v>
          </cell>
          <cell r="V94">
            <v>2065.6915050532798</v>
          </cell>
          <cell r="AZ94">
            <v>183.64019999999999</v>
          </cell>
          <cell r="BA94">
            <v>183.70469999999997</v>
          </cell>
          <cell r="BB94">
            <v>197.56669999999991</v>
          </cell>
          <cell r="BC94">
            <v>195.3725</v>
          </cell>
          <cell r="BD94">
            <v>216.64000000000004</v>
          </cell>
          <cell r="BE94">
            <v>225.45299999999997</v>
          </cell>
          <cell r="BF94">
            <v>256.04300000000001</v>
          </cell>
          <cell r="BG94">
            <v>234.54800000000006</v>
          </cell>
          <cell r="BH94">
            <v>266.96129999999999</v>
          </cell>
          <cell r="BI94">
            <v>286.38300000000004</v>
          </cell>
          <cell r="BJ94">
            <v>112.48800000000001</v>
          </cell>
          <cell r="BK94">
            <v>241.90566349626067</v>
          </cell>
          <cell r="BL94">
            <v>298.38372007803645</v>
          </cell>
          <cell r="BM94">
            <v>330.15324604976723</v>
          </cell>
          <cell r="BN94">
            <v>350.62197163093208</v>
          </cell>
          <cell r="BO94">
            <v>362.70994497456729</v>
          </cell>
          <cell r="BP94">
            <v>358.82764241766495</v>
          </cell>
          <cell r="BQ94">
            <v>375.09870453879847</v>
          </cell>
          <cell r="BR94">
            <v>389.227983006518</v>
          </cell>
          <cell r="BS94">
            <v>395.35277050099899</v>
          </cell>
        </row>
        <row r="95">
          <cell r="A95" t="str">
            <v>Non-Cash Straight-Line Revenue</v>
          </cell>
          <cell r="J95">
            <v>-36.307000000000002</v>
          </cell>
          <cell r="K95">
            <v>-105.226</v>
          </cell>
          <cell r="L95">
            <v>-125.687</v>
          </cell>
          <cell r="M95">
            <v>-130.74799999999999</v>
          </cell>
          <cell r="N95">
            <v>-130.74799999999999</v>
          </cell>
          <cell r="O95">
            <v>-130.74799999999999</v>
          </cell>
          <cell r="P95">
            <v>-130.74799999999999</v>
          </cell>
          <cell r="Q95">
            <v>-130.74799999999999</v>
          </cell>
          <cell r="R95">
            <v>-130.74799999999999</v>
          </cell>
          <cell r="S95">
            <v>-130.74799999999999</v>
          </cell>
          <cell r="T95">
            <v>-130.74799999999999</v>
          </cell>
          <cell r="U95">
            <v>-130.74799999999999</v>
          </cell>
          <cell r="V95">
            <v>-130.74799999999999</v>
          </cell>
          <cell r="AZ95">
            <v>-9.8949999999999996</v>
          </cell>
          <cell r="BA95">
            <v>-8.9979999999999993</v>
          </cell>
          <cell r="BB95">
            <v>-9.827</v>
          </cell>
          <cell r="BC95">
            <v>-7.5869999999999997</v>
          </cell>
          <cell r="BD95">
            <v>-13.585000000000001</v>
          </cell>
          <cell r="BE95">
            <v>-18.841000000000001</v>
          </cell>
          <cell r="BF95">
            <v>-35.378999999999998</v>
          </cell>
          <cell r="BG95">
            <v>-37.420999999999999</v>
          </cell>
          <cell r="BH95">
            <v>-29.843</v>
          </cell>
          <cell r="BI95">
            <v>-30.47</v>
          </cell>
          <cell r="BJ95">
            <v>-32.686999999999998</v>
          </cell>
          <cell r="BK95">
            <v>-32.686999999999998</v>
          </cell>
          <cell r="BL95">
            <v>-32.686999999999998</v>
          </cell>
          <cell r="BM95">
            <v>-32.686999999999998</v>
          </cell>
          <cell r="BN95">
            <v>-32.686999999999998</v>
          </cell>
          <cell r="BO95">
            <v>-32.686999999999998</v>
          </cell>
          <cell r="BP95">
            <v>-32.686999999999998</v>
          </cell>
          <cell r="BQ95">
            <v>-32.686999999999998</v>
          </cell>
          <cell r="BR95">
            <v>-32.686999999999998</v>
          </cell>
          <cell r="BS95">
            <v>-32.686999999999998</v>
          </cell>
          <cell r="BU95" t="str">
            <v>mstag:straightLiningOfRents</v>
          </cell>
          <cell r="BV95">
            <v>6</v>
          </cell>
          <cell r="BW95" t="str">
            <v>ISO4217:USD</v>
          </cell>
          <cell r="BX95" t="b">
            <v>1</v>
          </cell>
          <cell r="BY95" t="b">
            <v>0</v>
          </cell>
        </row>
        <row r="96">
          <cell r="A96" t="str">
            <v>Non-Cash Straight-Line Expense</v>
          </cell>
          <cell r="J96">
            <v>26.591000000000001</v>
          </cell>
          <cell r="K96">
            <v>22.268000000000001</v>
          </cell>
          <cell r="L96">
            <v>30.994</v>
          </cell>
          <cell r="M96">
            <v>31.475999999999999</v>
          </cell>
          <cell r="N96">
            <v>31.475999999999999</v>
          </cell>
          <cell r="O96">
            <v>31.475999999999999</v>
          </cell>
          <cell r="P96">
            <v>31.475999999999999</v>
          </cell>
          <cell r="Q96">
            <v>31.475999999999999</v>
          </cell>
          <cell r="R96">
            <v>31.475999999999999</v>
          </cell>
          <cell r="S96">
            <v>31.475999999999999</v>
          </cell>
          <cell r="T96">
            <v>31.475999999999999</v>
          </cell>
          <cell r="U96">
            <v>31.475999999999999</v>
          </cell>
          <cell r="V96">
            <v>31.475999999999999</v>
          </cell>
          <cell r="AZ96">
            <v>7.1779999999999999</v>
          </cell>
          <cell r="BA96">
            <v>6.3810000000000002</v>
          </cell>
          <cell r="BB96">
            <v>6.8319999999999999</v>
          </cell>
          <cell r="BC96">
            <v>6.2</v>
          </cell>
          <cell r="BD96">
            <v>7.1550000000000002</v>
          </cell>
          <cell r="BE96">
            <v>5.9960000000000004</v>
          </cell>
          <cell r="BF96">
            <v>5.25</v>
          </cell>
          <cell r="BG96">
            <v>3.867</v>
          </cell>
          <cell r="BH96">
            <v>7.1390000000000002</v>
          </cell>
          <cell r="BI96">
            <v>8.1170000000000009</v>
          </cell>
          <cell r="BJ96">
            <v>7.8689999999999998</v>
          </cell>
          <cell r="BK96">
            <v>7.8689999999999998</v>
          </cell>
          <cell r="BL96">
            <v>7.8689999999999998</v>
          </cell>
          <cell r="BM96">
            <v>7.8689999999999998</v>
          </cell>
          <cell r="BN96">
            <v>7.8689999999999998</v>
          </cell>
          <cell r="BO96">
            <v>7.8689999999999998</v>
          </cell>
          <cell r="BP96">
            <v>7.8689999999999998</v>
          </cell>
          <cell r="BQ96">
            <v>7.8689999999999998</v>
          </cell>
          <cell r="BR96">
            <v>7.8689999999999998</v>
          </cell>
          <cell r="BS96">
            <v>7.8689999999999998</v>
          </cell>
          <cell r="BU96" t="str">
            <v>mstag:noncashInterestAFFOAdjustment</v>
          </cell>
          <cell r="BV96">
            <v>6</v>
          </cell>
          <cell r="BW96" t="str">
            <v>ISO4217:USD</v>
          </cell>
          <cell r="BX96" t="b">
            <v>0</v>
          </cell>
          <cell r="BY96" t="b">
            <v>0</v>
          </cell>
        </row>
        <row r="97">
          <cell r="A97" t="str">
            <v>Stock-Based Compensation Expense</v>
          </cell>
          <cell r="J97">
            <v>60.67</v>
          </cell>
          <cell r="K97">
            <v>52.555999999999997</v>
          </cell>
          <cell r="L97">
            <v>49.594999999999999</v>
          </cell>
          <cell r="M97">
            <v>51.832000000000008</v>
          </cell>
          <cell r="N97">
            <v>55.832000000000008</v>
          </cell>
          <cell r="O97">
            <v>55.832000000000008</v>
          </cell>
          <cell r="P97">
            <v>55.832000000000008</v>
          </cell>
          <cell r="Q97">
            <v>55.832000000000008</v>
          </cell>
          <cell r="R97">
            <v>55.832000000000008</v>
          </cell>
          <cell r="S97">
            <v>55.832000000000008</v>
          </cell>
          <cell r="T97">
            <v>55.832000000000008</v>
          </cell>
          <cell r="U97">
            <v>55.832000000000008</v>
          </cell>
          <cell r="V97">
            <v>55.832000000000008</v>
          </cell>
          <cell r="AZ97">
            <v>24.338000000000001</v>
          </cell>
          <cell r="BA97">
            <v>12.835999999999999</v>
          </cell>
          <cell r="BB97">
            <v>12.950000000000003</v>
          </cell>
          <cell r="BC97">
            <v>10.545999999999999</v>
          </cell>
          <cell r="BD97">
            <v>13.565</v>
          </cell>
          <cell r="BE97">
            <v>13.228</v>
          </cell>
          <cell r="BF97">
            <v>13.353</v>
          </cell>
          <cell r="BG97">
            <v>12.41</v>
          </cell>
          <cell r="BH97">
            <v>12.358000000000001</v>
          </cell>
          <cell r="BI97">
            <v>11.686999999999999</v>
          </cell>
          <cell r="BJ97">
            <v>12.14</v>
          </cell>
          <cell r="BK97">
            <v>13.41</v>
          </cell>
          <cell r="BL97">
            <v>13.358000000000001</v>
          </cell>
          <cell r="BM97">
            <v>12.686999999999999</v>
          </cell>
          <cell r="BN97">
            <v>11.377000000000001</v>
          </cell>
          <cell r="BO97">
            <v>14.41</v>
          </cell>
          <cell r="BP97">
            <v>14.358000000000001</v>
          </cell>
          <cell r="BQ97">
            <v>13.686999999999999</v>
          </cell>
          <cell r="BR97">
            <v>12.377000000000001</v>
          </cell>
          <cell r="BS97">
            <v>15.41</v>
          </cell>
          <cell r="BU97" t="str">
            <v>mstag:stockCompensationAFFOAdjustment</v>
          </cell>
          <cell r="BV97">
            <v>6</v>
          </cell>
          <cell r="BW97" t="str">
            <v>ISO4217:USD</v>
          </cell>
          <cell r="BX97" t="b">
            <v>0</v>
          </cell>
          <cell r="BY97" t="b">
            <v>0</v>
          </cell>
        </row>
        <row r="98">
          <cell r="A98" t="str">
            <v>Non-Real Estate Depreciation</v>
          </cell>
          <cell r="J98">
            <v>41.461899999999986</v>
          </cell>
          <cell r="K98">
            <v>47.863</v>
          </cell>
          <cell r="L98">
            <v>68.538682624999979</v>
          </cell>
          <cell r="M98">
            <v>59.475337906825246</v>
          </cell>
          <cell r="N98">
            <v>84.962284817158263</v>
          </cell>
          <cell r="O98">
            <v>57.848581668173097</v>
          </cell>
          <cell r="P98">
            <v>57.767173501355842</v>
          </cell>
          <cell r="Q98">
            <v>58.385939484553546</v>
          </cell>
          <cell r="R98">
            <v>59.305830258320498</v>
          </cell>
          <cell r="S98">
            <v>60.498233227858805</v>
          </cell>
          <cell r="T98">
            <v>61.937272067495769</v>
          </cell>
          <cell r="U98">
            <v>63.599543509633804</v>
          </cell>
          <cell r="V98">
            <v>65.46387958681737</v>
          </cell>
          <cell r="AZ98">
            <v>9.9868000000000023</v>
          </cell>
          <cell r="BA98">
            <v>10.246299999999991</v>
          </cell>
          <cell r="BB98">
            <v>10.554299999999998</v>
          </cell>
          <cell r="BC98">
            <v>10.674499999999995</v>
          </cell>
          <cell r="BD98">
            <v>11.190999999999988</v>
          </cell>
          <cell r="BE98">
            <v>11.77300000000001</v>
          </cell>
          <cell r="BF98">
            <v>11.960999999999999</v>
          </cell>
          <cell r="BG98">
            <v>12.938000000000002</v>
          </cell>
          <cell r="BH98">
            <v>17.021999999999991</v>
          </cell>
          <cell r="BI98">
            <v>19.532999999999987</v>
          </cell>
          <cell r="BJ98">
            <v>18.397999999999996</v>
          </cell>
          <cell r="BK98">
            <v>13.585682625000004</v>
          </cell>
          <cell r="BL98">
            <v>14.771822684374996</v>
          </cell>
          <cell r="BM98">
            <v>14.833397117265633</v>
          </cell>
          <cell r="BN98">
            <v>14.899650939333981</v>
          </cell>
          <cell r="BO98">
            <v>14.970467165850636</v>
          </cell>
          <cell r="BP98">
            <v>21.064899431386124</v>
          </cell>
          <cell r="BQ98">
            <v>21.178091820601452</v>
          </cell>
          <cell r="BR98">
            <v>21.297204400086429</v>
          </cell>
          <cell r="BS98">
            <v>21.422089165084259</v>
          </cell>
          <cell r="BU98" t="str">
            <v>mstag:otherFfoAdjustmentAffo</v>
          </cell>
          <cell r="BV98">
            <v>6</v>
          </cell>
          <cell r="BW98" t="str">
            <v>ISO4217:USD</v>
          </cell>
          <cell r="BX98" t="b">
            <v>0</v>
          </cell>
          <cell r="BY98" t="b">
            <v>0</v>
          </cell>
        </row>
        <row r="99">
          <cell r="A99" t="str">
            <v>Amortization of Deferred Financing Costs, Debt Discounts, and Capitalized Interest</v>
          </cell>
          <cell r="J99">
            <v>7.2</v>
          </cell>
          <cell r="K99">
            <v>8.3970000000000002</v>
          </cell>
          <cell r="L99">
            <v>11.091000000000001</v>
          </cell>
          <cell r="M99">
            <v>11.252000000000001</v>
          </cell>
          <cell r="N99">
            <v>11.252000000000001</v>
          </cell>
          <cell r="O99">
            <v>11.252000000000001</v>
          </cell>
          <cell r="P99">
            <v>11.252000000000001</v>
          </cell>
          <cell r="Q99">
            <v>11.252000000000001</v>
          </cell>
          <cell r="R99">
            <v>11.252000000000001</v>
          </cell>
          <cell r="S99">
            <v>11.252000000000001</v>
          </cell>
          <cell r="T99">
            <v>11.252000000000001</v>
          </cell>
          <cell r="U99">
            <v>11.252000000000001</v>
          </cell>
          <cell r="V99">
            <v>11.252000000000001</v>
          </cell>
          <cell r="AZ99">
            <v>1.8</v>
          </cell>
          <cell r="BA99">
            <v>1.8</v>
          </cell>
          <cell r="BB99">
            <v>1.8</v>
          </cell>
          <cell r="BC99">
            <v>1.8</v>
          </cell>
          <cell r="BD99">
            <v>1.887</v>
          </cell>
          <cell r="BE99">
            <v>2.496</v>
          </cell>
          <cell r="BF99">
            <v>1.84</v>
          </cell>
          <cell r="BG99">
            <v>2.1739999999999999</v>
          </cell>
          <cell r="BH99">
            <v>2.5019999999999998</v>
          </cell>
          <cell r="BI99">
            <v>2.9630000000000001</v>
          </cell>
          <cell r="BJ99">
            <v>2.8130000000000002</v>
          </cell>
          <cell r="BK99">
            <v>2.8130000000000002</v>
          </cell>
          <cell r="BL99">
            <v>2.8130000000000002</v>
          </cell>
          <cell r="BM99">
            <v>2.8130000000000002</v>
          </cell>
          <cell r="BN99">
            <v>2.8130000000000002</v>
          </cell>
          <cell r="BO99">
            <v>2.8130000000000002</v>
          </cell>
          <cell r="BP99">
            <v>2.8130000000000002</v>
          </cell>
          <cell r="BQ99">
            <v>2.8130000000000002</v>
          </cell>
          <cell r="BR99">
            <v>2.8130000000000002</v>
          </cell>
          <cell r="BS99">
            <v>2.8130000000000002</v>
          </cell>
          <cell r="BU99" t="str">
            <v>mstag:otherFfoAdjustmentAffo</v>
          </cell>
          <cell r="BV99">
            <v>6</v>
          </cell>
          <cell r="BW99" t="str">
            <v>ISO4217:USD</v>
          </cell>
          <cell r="BX99" t="b">
            <v>0</v>
          </cell>
          <cell r="BY99" t="b">
            <v>0</v>
          </cell>
        </row>
        <row r="100">
          <cell r="A100" t="str">
            <v>Other Expense (Income)</v>
          </cell>
          <cell r="J100">
            <v>16.899999999999999</v>
          </cell>
          <cell r="K100">
            <v>1.5359999999999996</v>
          </cell>
          <cell r="L100">
            <v>115.7097</v>
          </cell>
          <cell r="M100">
            <v>0</v>
          </cell>
          <cell r="N100">
            <v>0</v>
          </cell>
          <cell r="O100">
            <v>0</v>
          </cell>
          <cell r="P100">
            <v>0</v>
          </cell>
          <cell r="Q100">
            <v>0</v>
          </cell>
          <cell r="R100">
            <v>0</v>
          </cell>
          <cell r="S100">
            <v>0</v>
          </cell>
          <cell r="T100">
            <v>0</v>
          </cell>
          <cell r="U100">
            <v>0</v>
          </cell>
          <cell r="V100">
            <v>0</v>
          </cell>
          <cell r="AZ100">
            <v>-7.0999999999999994E-2</v>
          </cell>
          <cell r="BA100">
            <v>5.0110000000000001</v>
          </cell>
          <cell r="BB100">
            <v>0.34900000000000003</v>
          </cell>
          <cell r="BC100">
            <v>11.610999999999999</v>
          </cell>
          <cell r="BD100">
            <v>-0.39600000000000002</v>
          </cell>
          <cell r="BE100">
            <v>6.7190000000000003</v>
          </cell>
          <cell r="BF100">
            <v>-8.2360000000000007</v>
          </cell>
          <cell r="BG100">
            <v>3.4489999999999998</v>
          </cell>
          <cell r="BH100">
            <v>-13.7073</v>
          </cell>
          <cell r="BI100">
            <v>-21.459</v>
          </cell>
          <cell r="BJ100">
            <v>150.876</v>
          </cell>
          <cell r="BK100">
            <v>0</v>
          </cell>
          <cell r="BL100">
            <v>0</v>
          </cell>
          <cell r="BM100">
            <v>0</v>
          </cell>
          <cell r="BN100">
            <v>0</v>
          </cell>
          <cell r="BO100">
            <v>0</v>
          </cell>
          <cell r="BP100">
            <v>0</v>
          </cell>
          <cell r="BQ100">
            <v>0</v>
          </cell>
          <cell r="BR100">
            <v>0</v>
          </cell>
          <cell r="BS100">
            <v>0</v>
          </cell>
          <cell r="BU100" t="str">
            <v>mstag:otherFfoAdjustmentAffo</v>
          </cell>
          <cell r="BV100">
            <v>6</v>
          </cell>
          <cell r="BW100" t="str">
            <v>ISO4217:USD</v>
          </cell>
          <cell r="BX100" t="b">
            <v>0</v>
          </cell>
          <cell r="BY100" t="b">
            <v>0</v>
          </cell>
        </row>
        <row r="101">
          <cell r="A101" t="str">
            <v>Other Operating Expense</v>
          </cell>
          <cell r="J101">
            <v>19.167999999999999</v>
          </cell>
          <cell r="K101">
            <v>35.876000000000005</v>
          </cell>
          <cell r="L101">
            <v>35.770000000000003</v>
          </cell>
          <cell r="M101">
            <v>0</v>
          </cell>
          <cell r="N101">
            <v>0</v>
          </cell>
          <cell r="O101">
            <v>0</v>
          </cell>
          <cell r="P101">
            <v>0</v>
          </cell>
          <cell r="Q101">
            <v>0</v>
          </cell>
          <cell r="R101">
            <v>0</v>
          </cell>
          <cell r="S101">
            <v>0</v>
          </cell>
          <cell r="T101">
            <v>0</v>
          </cell>
          <cell r="U101">
            <v>0</v>
          </cell>
          <cell r="V101">
            <v>0</v>
          </cell>
          <cell r="AZ101">
            <v>3.1890000000000001</v>
          </cell>
          <cell r="BA101">
            <v>2.0139999999999998</v>
          </cell>
          <cell r="BB101">
            <v>3.0259999999999998</v>
          </cell>
          <cell r="BC101">
            <v>10.939</v>
          </cell>
          <cell r="BD101">
            <v>4.7539999999999996</v>
          </cell>
          <cell r="BE101">
            <v>5.0369999999999999</v>
          </cell>
          <cell r="BF101">
            <v>4.2990000000000004</v>
          </cell>
          <cell r="BG101">
            <v>21.786000000000001</v>
          </cell>
          <cell r="BH101">
            <v>11.704000000000001</v>
          </cell>
          <cell r="BI101">
            <v>9.49</v>
          </cell>
          <cell r="BJ101">
            <v>14.576000000000001</v>
          </cell>
          <cell r="BK101">
            <v>0</v>
          </cell>
          <cell r="BL101">
            <v>0</v>
          </cell>
          <cell r="BM101">
            <v>0</v>
          </cell>
          <cell r="BN101">
            <v>0</v>
          </cell>
          <cell r="BO101">
            <v>0</v>
          </cell>
          <cell r="BP101">
            <v>0</v>
          </cell>
          <cell r="BQ101">
            <v>0</v>
          </cell>
          <cell r="BR101">
            <v>0</v>
          </cell>
          <cell r="BS101">
            <v>0</v>
          </cell>
          <cell r="BU101" t="str">
            <v>mstag:otherFfoAdjustmentAffo</v>
          </cell>
          <cell r="BV101">
            <v>6</v>
          </cell>
          <cell r="BW101" t="str">
            <v>ISO4217:USD</v>
          </cell>
          <cell r="BX101" t="b">
            <v>0</v>
          </cell>
          <cell r="BY101" t="b">
            <v>0</v>
          </cell>
        </row>
        <row r="102">
          <cell r="A102" t="str">
            <v>Capital Improvement Capex</v>
          </cell>
          <cell r="J102">
            <v>-32.542000000000002</v>
          </cell>
          <cell r="K102">
            <v>-31.405000000000001</v>
          </cell>
          <cell r="L102">
            <v>-61.115000000000002</v>
          </cell>
          <cell r="M102">
            <v>-44</v>
          </cell>
          <cell r="N102">
            <v>-44</v>
          </cell>
          <cell r="O102">
            <v>-44</v>
          </cell>
          <cell r="P102">
            <v>-44</v>
          </cell>
          <cell r="Q102">
            <v>-44</v>
          </cell>
          <cell r="R102">
            <v>-44</v>
          </cell>
          <cell r="S102">
            <v>-44</v>
          </cell>
          <cell r="T102">
            <v>-44</v>
          </cell>
          <cell r="U102">
            <v>-44</v>
          </cell>
          <cell r="V102">
            <v>-44</v>
          </cell>
          <cell r="AZ102">
            <v>-6.4089999999999998</v>
          </cell>
          <cell r="BA102">
            <v>-9.1379999999999999</v>
          </cell>
          <cell r="BB102">
            <v>-8.2119999999999997</v>
          </cell>
          <cell r="BC102">
            <v>-8.7829999999999995</v>
          </cell>
          <cell r="BD102">
            <v>-6.8490000000000002</v>
          </cell>
          <cell r="BE102">
            <v>-5.0259999999999998</v>
          </cell>
          <cell r="BF102">
            <v>-9.2149999999999999</v>
          </cell>
          <cell r="BG102">
            <v>-10.315</v>
          </cell>
          <cell r="BH102">
            <v>-10.156000000000001</v>
          </cell>
          <cell r="BI102">
            <v>-14.208</v>
          </cell>
          <cell r="BJ102">
            <v>-19.751000000000001</v>
          </cell>
          <cell r="BK102">
            <v>-17</v>
          </cell>
          <cell r="BL102">
            <v>-11</v>
          </cell>
          <cell r="BM102">
            <v>-11</v>
          </cell>
          <cell r="BN102">
            <v>-11</v>
          </cell>
          <cell r="BO102">
            <v>-11</v>
          </cell>
          <cell r="BP102">
            <v>-11</v>
          </cell>
          <cell r="BQ102">
            <v>-11</v>
          </cell>
          <cell r="BR102">
            <v>-11</v>
          </cell>
          <cell r="BS102">
            <v>-11</v>
          </cell>
          <cell r="BU102" t="str">
            <v>mstag:recurringButNonRevenueEnhancingCapex</v>
          </cell>
          <cell r="BV102">
            <v>6</v>
          </cell>
          <cell r="BW102" t="str">
            <v>ISO4217:USD</v>
          </cell>
          <cell r="BX102" t="b">
            <v>1</v>
          </cell>
          <cell r="BY102" t="b">
            <v>0</v>
          </cell>
        </row>
        <row r="103">
          <cell r="A103" t="str">
            <v>Corporate Capex</v>
          </cell>
          <cell r="J103">
            <v>-8.0890000000000004</v>
          </cell>
          <cell r="K103">
            <v>-11.603300000000001</v>
          </cell>
          <cell r="L103">
            <v>-16.503</v>
          </cell>
          <cell r="M103">
            <v>-10</v>
          </cell>
          <cell r="N103">
            <v>-10</v>
          </cell>
          <cell r="O103">
            <v>-10</v>
          </cell>
          <cell r="P103">
            <v>-10</v>
          </cell>
          <cell r="Q103">
            <v>-10</v>
          </cell>
          <cell r="R103">
            <v>-10</v>
          </cell>
          <cell r="S103">
            <v>-10</v>
          </cell>
          <cell r="T103">
            <v>-10</v>
          </cell>
          <cell r="U103">
            <v>-10</v>
          </cell>
          <cell r="V103">
            <v>-10</v>
          </cell>
          <cell r="AZ103">
            <v>-0.84199999999999997</v>
          </cell>
          <cell r="BA103">
            <v>-1.853</v>
          </cell>
          <cell r="BB103">
            <v>-3.762</v>
          </cell>
          <cell r="BC103">
            <v>-1.6319999999999999</v>
          </cell>
          <cell r="BD103">
            <v>-1.603</v>
          </cell>
          <cell r="BE103">
            <v>-2.7532999999999999</v>
          </cell>
          <cell r="BF103">
            <v>-3.4049999999999998</v>
          </cell>
          <cell r="BG103">
            <v>-3.8420000000000001</v>
          </cell>
          <cell r="BH103">
            <v>-2.681</v>
          </cell>
          <cell r="BI103">
            <v>-6.0780000000000003</v>
          </cell>
          <cell r="BJ103">
            <v>-4.7439999999999998</v>
          </cell>
          <cell r="BK103">
            <v>-3</v>
          </cell>
          <cell r="BL103">
            <v>-2.5</v>
          </cell>
          <cell r="BM103">
            <v>-2.5</v>
          </cell>
          <cell r="BN103">
            <v>-2.5</v>
          </cell>
          <cell r="BO103">
            <v>-2.5</v>
          </cell>
          <cell r="BP103">
            <v>-2.5</v>
          </cell>
          <cell r="BQ103">
            <v>-2.5</v>
          </cell>
          <cell r="BR103">
            <v>-2.5</v>
          </cell>
          <cell r="BS103">
            <v>-2.5</v>
          </cell>
          <cell r="BU103" t="str">
            <v>mstag:recurringButNonRevenueEnhancingCapex</v>
          </cell>
          <cell r="BV103">
            <v>6</v>
          </cell>
          <cell r="BW103" t="str">
            <v>ISO4217:USD</v>
          </cell>
          <cell r="BX103" t="b">
            <v>1</v>
          </cell>
          <cell r="BY103" t="b">
            <v>0</v>
          </cell>
        </row>
        <row r="104">
          <cell r="A104" t="str">
            <v>Adjusted Funds from Operations (AFFO)</v>
          </cell>
          <cell r="J104">
            <v>855.33699999999976</v>
          </cell>
          <cell r="K104">
            <v>952.94570000000022</v>
          </cell>
          <cell r="L104">
            <v>1016.1313461212607</v>
          </cell>
          <cell r="M104">
            <v>1311.1562206401284</v>
          </cell>
          <cell r="N104">
            <v>1517.2813852811387</v>
          </cell>
          <cell r="O104">
            <v>1598.0087128429518</v>
          </cell>
          <cell r="P104">
            <v>1684.4692420036235</v>
          </cell>
          <cell r="Q104">
            <v>1766.1370067637938</v>
          </cell>
          <cell r="R104">
            <v>1839.9221751678992</v>
          </cell>
          <cell r="S104">
            <v>1905.2109681224269</v>
          </cell>
          <cell r="T104">
            <v>1961.7099263822611</v>
          </cell>
          <cell r="U104">
            <v>2007.8537518386061</v>
          </cell>
          <cell r="V104">
            <v>2044.9673846400974</v>
          </cell>
          <cell r="AZ104">
            <v>212.91499999999999</v>
          </cell>
          <cell r="BA104">
            <v>202.00399999999999</v>
          </cell>
          <cell r="BB104">
            <v>211.27699999999993</v>
          </cell>
          <cell r="BC104">
            <v>229.14099999999999</v>
          </cell>
          <cell r="BD104">
            <v>232.75900000000001</v>
          </cell>
          <cell r="BE104">
            <v>244.08169999999998</v>
          </cell>
          <cell r="BF104">
            <v>236.51100000000002</v>
          </cell>
          <cell r="BG104">
            <v>239.59400000000005</v>
          </cell>
          <cell r="BH104">
            <v>261.29900000000004</v>
          </cell>
          <cell r="BI104">
            <v>265.95800000000003</v>
          </cell>
          <cell r="BJ104">
            <v>261.97800000000007</v>
          </cell>
          <cell r="BK104">
            <v>226.89634612126065</v>
          </cell>
          <cell r="BL104">
            <v>291.00854276241137</v>
          </cell>
          <cell r="BM104">
            <v>322.16864316703283</v>
          </cell>
          <cell r="BN104">
            <v>341.39362257026607</v>
          </cell>
          <cell r="BO104">
            <v>356.58541214041793</v>
          </cell>
          <cell r="BP104">
            <v>358.74554184905105</v>
          </cell>
          <cell r="BQ104">
            <v>374.45879635939991</v>
          </cell>
          <cell r="BR104">
            <v>387.39718740660442</v>
          </cell>
          <cell r="BS104">
            <v>396.6798596660833</v>
          </cell>
        </row>
        <row r="105">
          <cell r="A105" t="str">
            <v>Y/Y Growth</v>
          </cell>
          <cell r="K105">
            <v>0.11411724267744816</v>
          </cell>
          <cell r="L105">
            <v>6.630561019506187E-2</v>
          </cell>
          <cell r="M105">
            <v>0.29034127885634642</v>
          </cell>
          <cell r="N105">
            <v>0.15720869976910645</v>
          </cell>
          <cell r="O105">
            <v>5.3205244818089525E-2</v>
          </cell>
          <cell r="P105">
            <v>5.4105167553719635E-2</v>
          </cell>
          <cell r="Q105">
            <v>4.8482787767041069E-2</v>
          </cell>
          <cell r="R105">
            <v>4.1777714934645216E-2</v>
          </cell>
          <cell r="S105">
            <v>3.5484540507029871E-2</v>
          </cell>
          <cell r="T105">
            <v>2.9654961684119074E-2</v>
          </cell>
          <cell r="U105">
            <v>2.3522247013064934E-2</v>
          </cell>
          <cell r="V105">
            <v>1.8484231118678807E-2</v>
          </cell>
          <cell r="BD105">
            <v>9.3201512340605586E-2</v>
          </cell>
          <cell r="BE105">
            <v>0.20830132076592545</v>
          </cell>
          <cell r="BF105">
            <v>0.11943562242932315</v>
          </cell>
          <cell r="BG105">
            <v>4.5618200147507615E-2</v>
          </cell>
          <cell r="BH105">
            <v>0.12261609647747251</v>
          </cell>
          <cell r="BI105">
            <v>8.9626956875505481E-2</v>
          </cell>
          <cell r="BJ105">
            <v>0.10767786699138737</v>
          </cell>
          <cell r="BK105">
            <v>-5.2996543647751637E-2</v>
          </cell>
          <cell r="BL105">
            <v>0.11369941240652026</v>
          </cell>
          <cell r="BM105">
            <v>0.21135157869675969</v>
          </cell>
          <cell r="BN105">
            <v>0.30313851762463262</v>
          </cell>
          <cell r="BO105">
            <v>0.57157846847761618</v>
          </cell>
          <cell r="BP105">
            <v>0.23276635951523361</v>
          </cell>
          <cell r="BQ105">
            <v>0.16230677411164596</v>
          </cell>
          <cell r="BR105">
            <v>0.13475226774884996</v>
          </cell>
          <cell r="BS105">
            <v>0.11243995452589295</v>
          </cell>
        </row>
        <row r="106">
          <cell r="A106" t="str">
            <v>AFFO per Share</v>
          </cell>
          <cell r="J106">
            <v>2.1008863229693597</v>
          </cell>
          <cell r="K106">
            <v>2.3564564837465101</v>
          </cell>
          <cell r="L106">
            <v>2.5554674287441368</v>
          </cell>
          <cell r="M106">
            <v>3.3348909111117364</v>
          </cell>
          <cell r="N106">
            <v>3.8550032405347459</v>
          </cell>
          <cell r="O106">
            <v>4.0332185923071258</v>
          </cell>
          <cell r="P106">
            <v>4.250195147269852</v>
          </cell>
          <cell r="Q106">
            <v>4.4556613369601834</v>
          </cell>
          <cell r="R106">
            <v>4.6415247136229567</v>
          </cell>
          <cell r="S106">
            <v>4.8065635188882689</v>
          </cell>
          <cell r="T106">
            <v>4.9504594265792452</v>
          </cell>
          <cell r="U106">
            <v>5.0691150181193096</v>
          </cell>
          <cell r="V106">
            <v>5.1657273841566145</v>
          </cell>
          <cell r="AZ106">
            <v>0.52153092467850581</v>
          </cell>
          <cell r="BA106">
            <v>0.49410026612398245</v>
          </cell>
          <cell r="BB106">
            <v>0.5207355666850696</v>
          </cell>
          <cell r="BC106">
            <v>0.56478176852773854</v>
          </cell>
          <cell r="BD106">
            <v>0.57318508668242718</v>
          </cell>
          <cell r="BE106">
            <v>0.60263515248479094</v>
          </cell>
          <cell r="BF106">
            <v>0.58621407591924757</v>
          </cell>
          <cell r="BG106">
            <v>0.59447885031461534</v>
          </cell>
          <cell r="BH106">
            <v>0.65016086131092643</v>
          </cell>
          <cell r="BI106">
            <v>0.664479700187383</v>
          </cell>
          <cell r="BJ106">
            <v>0.66292831422404319</v>
          </cell>
          <cell r="BK106">
            <v>0.57706642678860565</v>
          </cell>
          <cell r="BL106">
            <v>0.74052619302030143</v>
          </cell>
          <cell r="BM106">
            <v>0.81952924812308492</v>
          </cell>
          <cell r="BN106">
            <v>0.86817286074044164</v>
          </cell>
          <cell r="BO106">
            <v>0.90657922619927289</v>
          </cell>
          <cell r="BP106">
            <v>0.91182820372476125</v>
          </cell>
          <cell r="BQ106">
            <v>0.95149526584424127</v>
          </cell>
          <cell r="BR106">
            <v>0.98413211155286584</v>
          </cell>
          <cell r="BS106">
            <v>1.0075083267494156</v>
          </cell>
        </row>
        <row r="107">
          <cell r="A107" t="str">
            <v>Y/Y Growth</v>
          </cell>
          <cell r="K107">
            <v>0.12164873367157325</v>
          </cell>
          <cell r="L107">
            <v>8.4453477656086795E-2</v>
          </cell>
          <cell r="M107">
            <v>0.30500231527139476</v>
          </cell>
          <cell r="N107">
            <v>0.15596082249347765</v>
          </cell>
          <cell r="O107">
            <v>4.6229624374494405E-2</v>
          </cell>
          <cell r="P107">
            <v>5.3797370511130316E-2</v>
          </cell>
          <cell r="Q107">
            <v>4.8342766054475073E-2</v>
          </cell>
          <cell r="R107">
            <v>4.1713981967394398E-2</v>
          </cell>
          <cell r="S107">
            <v>3.5557023919515096E-2</v>
          </cell>
          <cell r="T107">
            <v>2.9937377738900262E-2</v>
          </cell>
          <cell r="U107">
            <v>2.3968601965101977E-2</v>
          </cell>
          <cell r="V107">
            <v>1.9059020300776108E-2</v>
          </cell>
          <cell r="BD107">
            <v>9.9043334843016639E-2</v>
          </cell>
          <cell r="BE107">
            <v>0.21966166343568472</v>
          </cell>
          <cell r="BF107">
            <v>0.12574234107150595</v>
          </cell>
          <cell r="BG107">
            <v>5.2581516333805478E-2</v>
          </cell>
          <cell r="BH107">
            <v>0.13429479659708532</v>
          </cell>
          <cell r="BI107">
            <v>0.10262353174652028</v>
          </cell>
          <cell r="BJ107">
            <v>0.13086386263328698</v>
          </cell>
          <cell r="BK107">
            <v>-2.9290232136592431E-2</v>
          </cell>
          <cell r="BL107">
            <v>0.1389891903477094</v>
          </cell>
          <cell r="BM107">
            <v>0.23333978132361</v>
          </cell>
          <cell r="BN107">
            <v>0.30960292706253911</v>
          </cell>
          <cell r="BO107">
            <v>0.5710136374497079</v>
          </cell>
          <cell r="BP107">
            <v>0.23132471520796516</v>
          </cell>
          <cell r="BQ107">
            <v>0.16102661134229157</v>
          </cell>
          <cell r="BR107">
            <v>0.13356700728185134</v>
          </cell>
          <cell r="BS107">
            <v>0.11132959771566364</v>
          </cell>
        </row>
        <row r="108">
          <cell r="A108" t="str">
            <v>AFFO per Share Yield</v>
          </cell>
          <cell r="J108">
            <v>3.1289594020157345E-2</v>
          </cell>
          <cell r="K108">
            <v>3.5095933509807116E-2</v>
          </cell>
          <cell r="L108">
            <v>3.8059907146297117E-2</v>
          </cell>
          <cell r="M108">
            <v>4.9668266944932045E-2</v>
          </cell>
          <cell r="N108">
            <v>5.741457070948925E-2</v>
          </cell>
          <cell r="O108">
            <v>6.0068824747011786E-2</v>
          </cell>
          <cell r="P108">
            <v>6.3300369568094941E-2</v>
          </cell>
          <cell r="Q108">
            <v>6.6360484525287158E-2</v>
          </cell>
          <cell r="R108">
            <v>6.9128644580122536E-2</v>
          </cell>
          <cell r="S108">
            <v>7.1586653448981616E-2</v>
          </cell>
          <cell r="T108">
            <v>7.3729770134347533E-2</v>
          </cell>
          <cell r="U108">
            <v>7.5496969647676174E-2</v>
          </cell>
          <cell r="V108">
            <v>7.6935867924838308E-2</v>
          </cell>
          <cell r="AZ108">
            <v>7.7674316424143353E-3</v>
          </cell>
          <cell r="BA108">
            <v>7.3588925603646728E-3</v>
          </cell>
          <cell r="BB108">
            <v>7.755585961644643E-3</v>
          </cell>
          <cell r="BC108">
            <v>8.4115889822360228E-3</v>
          </cell>
          <cell r="BD108">
            <v>8.5367439754442213E-3</v>
          </cell>
          <cell r="BE108">
            <v>8.9753591412188617E-3</v>
          </cell>
          <cell r="BF108">
            <v>8.7307914968431481E-3</v>
          </cell>
          <cell r="BG108">
            <v>8.8538830856987241E-3</v>
          </cell>
          <cell r="BH108">
            <v>9.6831842712278952E-3</v>
          </cell>
          <cell r="BI108">
            <v>9.8964421949841574E-3</v>
          </cell>
          <cell r="BJ108">
            <v>9.8733365959658981E-3</v>
          </cell>
          <cell r="BK108">
            <v>8.5945507948083592E-3</v>
          </cell>
          <cell r="BL108">
            <v>1.1029042213073536E-2</v>
          </cell>
          <cell r="BM108">
            <v>1.2205675852643507E-2</v>
          </cell>
          <cell r="BN108">
            <v>1.2930150505950627E-2</v>
          </cell>
          <cell r="BO108">
            <v>1.3502156506398159E-2</v>
          </cell>
          <cell r="BP108">
            <v>1.3580332262029395E-2</v>
          </cell>
          <cell r="BQ108">
            <v>1.4171114474337125E-2</v>
          </cell>
          <cell r="BR108">
            <v>1.4657192012734367E-2</v>
          </cell>
          <cell r="BS108">
            <v>1.5005346158549397E-2</v>
          </cell>
        </row>
        <row r="110">
          <cell r="A110" t="str">
            <v>Pre-tax Income</v>
          </cell>
          <cell r="M110">
            <v>916.58050178622273</v>
          </cell>
          <cell r="N110">
            <v>1133.3999117061785</v>
          </cell>
          <cell r="O110">
            <v>1256.4896547286592</v>
          </cell>
          <cell r="P110">
            <v>1355.6653488523466</v>
          </cell>
          <cell r="Q110">
            <v>1441.4381953616562</v>
          </cell>
          <cell r="R110">
            <v>1514.8316733916979</v>
          </cell>
          <cell r="S110">
            <v>1575.4734498225439</v>
          </cell>
          <cell r="T110">
            <v>1623.3240973946631</v>
          </cell>
          <cell r="U110">
            <v>1656.8708144798497</v>
          </cell>
          <cell r="V110">
            <v>1677.8597599680945</v>
          </cell>
          <cell r="BL110">
            <v>187.99694990756984</v>
          </cell>
          <cell r="BM110">
            <v>223.46894544815524</v>
          </cell>
          <cell r="BN110">
            <v>246.05126497377975</v>
          </cell>
          <cell r="BO110">
            <v>259.06334145671775</v>
          </cell>
          <cell r="BP110">
            <v>260.94088009319023</v>
          </cell>
          <cell r="BQ110">
            <v>278.6405817346959</v>
          </cell>
          <cell r="BR110">
            <v>293.86511231199836</v>
          </cell>
          <cell r="BS110">
            <v>299.95333756629378</v>
          </cell>
        </row>
        <row r="111">
          <cell r="A111" t="str">
            <v>Estimated Percent in QRS</v>
          </cell>
          <cell r="M111">
            <v>0.7</v>
          </cell>
          <cell r="N111">
            <v>0.7</v>
          </cell>
          <cell r="O111">
            <v>0.7</v>
          </cell>
          <cell r="P111">
            <v>0.7</v>
          </cell>
          <cell r="Q111">
            <v>0.7</v>
          </cell>
          <cell r="R111">
            <v>0.7</v>
          </cell>
          <cell r="S111">
            <v>0.7</v>
          </cell>
          <cell r="T111">
            <v>0.7</v>
          </cell>
          <cell r="U111">
            <v>0.7</v>
          </cell>
          <cell r="V111">
            <v>0.7</v>
          </cell>
          <cell r="BL111">
            <v>0.7</v>
          </cell>
          <cell r="BM111">
            <v>0.7</v>
          </cell>
          <cell r="BN111">
            <v>0.7</v>
          </cell>
          <cell r="BO111">
            <v>0.7</v>
          </cell>
          <cell r="BP111">
            <v>0.7</v>
          </cell>
          <cell r="BQ111">
            <v>0.7</v>
          </cell>
          <cell r="BR111">
            <v>0.7</v>
          </cell>
          <cell r="BS111">
            <v>0.7</v>
          </cell>
        </row>
        <row r="112">
          <cell r="A112" t="str">
            <v>Minimum Payout (90%)</v>
          </cell>
          <cell r="M112">
            <v>1</v>
          </cell>
          <cell r="N112">
            <v>1</v>
          </cell>
          <cell r="O112">
            <v>1</v>
          </cell>
          <cell r="P112">
            <v>1</v>
          </cell>
          <cell r="Q112">
            <v>1</v>
          </cell>
          <cell r="R112">
            <v>1</v>
          </cell>
          <cell r="S112">
            <v>1</v>
          </cell>
          <cell r="T112">
            <v>1</v>
          </cell>
          <cell r="U112">
            <v>1</v>
          </cell>
          <cell r="V112">
            <v>1</v>
          </cell>
          <cell r="BL112">
            <v>1</v>
          </cell>
          <cell r="BM112">
            <v>1</v>
          </cell>
          <cell r="BN112">
            <v>1</v>
          </cell>
          <cell r="BO112">
            <v>1</v>
          </cell>
          <cell r="BP112">
            <v>1</v>
          </cell>
          <cell r="BQ112">
            <v>1</v>
          </cell>
          <cell r="BR112">
            <v>1</v>
          </cell>
          <cell r="BS112">
            <v>1</v>
          </cell>
        </row>
        <row r="113">
          <cell r="A113" t="str">
            <v>Total Potential Payout</v>
          </cell>
          <cell r="L113">
            <v>138</v>
          </cell>
          <cell r="M113">
            <v>641.60635125035571</v>
          </cell>
          <cell r="N113">
            <v>793.37993819432472</v>
          </cell>
          <cell r="O113">
            <v>879.54275831006134</v>
          </cell>
          <cell r="P113">
            <v>948.9657441966425</v>
          </cell>
          <cell r="Q113">
            <v>1009.0067367531593</v>
          </cell>
          <cell r="R113">
            <v>1060.3821713741884</v>
          </cell>
          <cell r="S113">
            <v>1102.8314148757806</v>
          </cell>
          <cell r="T113">
            <v>1136.326868176264</v>
          </cell>
          <cell r="U113">
            <v>1159.8095701358948</v>
          </cell>
          <cell r="V113">
            <v>1174.5018319776661</v>
          </cell>
          <cell r="BK113">
            <v>138</v>
          </cell>
          <cell r="BL113">
            <v>131.59786493529887</v>
          </cell>
          <cell r="BM113">
            <v>156.42826181370864</v>
          </cell>
          <cell r="BN113">
            <v>172.23588548164582</v>
          </cell>
          <cell r="BO113">
            <v>181.3443390197024</v>
          </cell>
          <cell r="BP113">
            <v>182.65861606523316</v>
          </cell>
          <cell r="BQ113">
            <v>195.04840721428712</v>
          </cell>
          <cell r="BR113">
            <v>205.70557861839885</v>
          </cell>
          <cell r="BS113">
            <v>209.96733629640565</v>
          </cell>
        </row>
        <row r="114">
          <cell r="A114" t="str">
            <v>NOLs Utilized</v>
          </cell>
          <cell r="L114">
            <v>0</v>
          </cell>
          <cell r="M114">
            <v>310</v>
          </cell>
          <cell r="N114">
            <v>433</v>
          </cell>
          <cell r="O114">
            <v>257</v>
          </cell>
          <cell r="P114">
            <v>0</v>
          </cell>
          <cell r="Q114">
            <v>0</v>
          </cell>
          <cell r="R114">
            <v>0</v>
          </cell>
          <cell r="S114">
            <v>0</v>
          </cell>
          <cell r="T114">
            <v>0</v>
          </cell>
          <cell r="U114">
            <v>0</v>
          </cell>
          <cell r="V114">
            <v>0</v>
          </cell>
          <cell r="BK114">
            <v>0</v>
          </cell>
          <cell r="BL114">
            <v>50</v>
          </cell>
          <cell r="BM114">
            <v>73</v>
          </cell>
          <cell r="BN114">
            <v>90</v>
          </cell>
          <cell r="BO114">
            <v>97</v>
          </cell>
          <cell r="BP114">
            <v>93</v>
          </cell>
          <cell r="BQ114">
            <v>105</v>
          </cell>
          <cell r="BR114">
            <v>115</v>
          </cell>
          <cell r="BS114">
            <v>120</v>
          </cell>
        </row>
        <row r="115">
          <cell r="A115" t="str">
            <v>Dividend Payout</v>
          </cell>
          <cell r="L115">
            <v>138</v>
          </cell>
          <cell r="M115">
            <v>331.60635125035571</v>
          </cell>
          <cell r="N115">
            <v>360.37993819432472</v>
          </cell>
          <cell r="O115">
            <v>622.54275831006134</v>
          </cell>
          <cell r="P115">
            <v>948.9657441966425</v>
          </cell>
          <cell r="Q115">
            <v>1009.0067367531593</v>
          </cell>
          <cell r="R115">
            <v>1060.3821713741884</v>
          </cell>
          <cell r="S115">
            <v>1102.8314148757806</v>
          </cell>
          <cell r="T115">
            <v>1136.326868176264</v>
          </cell>
          <cell r="U115">
            <v>1159.8095701358948</v>
          </cell>
          <cell r="V115">
            <v>1174.5018319776661</v>
          </cell>
          <cell r="BK115">
            <v>138</v>
          </cell>
          <cell r="BL115">
            <v>81.597864935298873</v>
          </cell>
          <cell r="BM115">
            <v>83.428261813708644</v>
          </cell>
          <cell r="BN115">
            <v>82.235885481645823</v>
          </cell>
          <cell r="BO115">
            <v>84.344339019702403</v>
          </cell>
          <cell r="BP115">
            <v>89.658616065233161</v>
          </cell>
          <cell r="BQ115">
            <v>90.048407214287124</v>
          </cell>
          <cell r="BR115">
            <v>90.705578618398846</v>
          </cell>
          <cell r="BS115">
            <v>89.967336296405648</v>
          </cell>
        </row>
        <row r="116">
          <cell r="A116" t="str">
            <v>Implied Percent of AFFO</v>
          </cell>
          <cell r="L116">
            <v>0.13580921455357967</v>
          </cell>
          <cell r="M116">
            <v>0.25291139684976666</v>
          </cell>
          <cell r="N116">
            <v>0.23751687833931315</v>
          </cell>
          <cell r="O116">
            <v>0.38957407009535078</v>
          </cell>
          <cell r="P116">
            <v>0.5633618712253109</v>
          </cell>
          <cell r="Q116">
            <v>0.57130717089838179</v>
          </cell>
          <cell r="R116">
            <v>0.57631903440558563</v>
          </cell>
          <cell r="S116">
            <v>0.57885002413282027</v>
          </cell>
          <cell r="T116">
            <v>0.57925325905438585</v>
          </cell>
          <cell r="U116">
            <v>0.57763647829123455</v>
          </cell>
          <cell r="V116">
            <v>0.57433768420926268</v>
          </cell>
          <cell r="BK116">
            <v>0.60820723805859966</v>
          </cell>
          <cell r="BL116">
            <v>0.28039680265303402</v>
          </cell>
          <cell r="BM116">
            <v>0.25895835483422297</v>
          </cell>
          <cell r="BN116">
            <v>0.24088289893206757</v>
          </cell>
          <cell r="BO116">
            <v>0.23653334137653639</v>
          </cell>
          <cell r="BP116">
            <v>0.24992259305331999</v>
          </cell>
          <cell r="BQ116">
            <v>0.2404761434095409</v>
          </cell>
          <cell r="BR116">
            <v>0.2341410355238229</v>
          </cell>
          <cell r="BS116">
            <v>0.22680086751099046</v>
          </cell>
        </row>
        <row r="117">
          <cell r="A117" t="str">
            <v>Diluted Shares Outstanding</v>
          </cell>
          <cell r="L117">
            <v>397.63032574460556</v>
          </cell>
          <cell r="M117">
            <v>393.16315153560288</v>
          </cell>
          <cell r="N117">
            <v>393.58757713279363</v>
          </cell>
          <cell r="O117">
            <v>396.21177882373127</v>
          </cell>
          <cell r="P117">
            <v>396.32750582891617</v>
          </cell>
          <cell r="Q117">
            <v>396.38044124078732</v>
          </cell>
          <cell r="R117">
            <v>396.40469214085948</v>
          </cell>
          <cell r="S117">
            <v>396.37694594808795</v>
          </cell>
          <cell r="T117">
            <v>396.26825660861897</v>
          </cell>
          <cell r="U117">
            <v>396.09552055173907</v>
          </cell>
          <cell r="V117">
            <v>395.87210717159638</v>
          </cell>
          <cell r="BK117">
            <v>393.18930297842235</v>
          </cell>
          <cell r="BL117">
            <v>392.97535388384756</v>
          </cell>
          <cell r="BM117">
            <v>393.11427127814528</v>
          </cell>
          <cell r="BN117">
            <v>393.23231352694035</v>
          </cell>
          <cell r="BO117">
            <v>393.33066745347833</v>
          </cell>
          <cell r="BP117">
            <v>393.43545240605403</v>
          </cell>
          <cell r="BQ117">
            <v>393.54772409419263</v>
          </cell>
          <cell r="BR117">
            <v>393.64347820673072</v>
          </cell>
          <cell r="BS117">
            <v>393.72365382419741</v>
          </cell>
        </row>
        <row r="118">
          <cell r="A118" t="str">
            <v>Dividend Per Share</v>
          </cell>
          <cell r="L118">
            <v>0.34705602431499699</v>
          </cell>
          <cell r="M118">
            <v>0.84343191867086031</v>
          </cell>
          <cell r="N118">
            <v>0.91562833567974911</v>
          </cell>
          <cell r="O118">
            <v>1.5712373825893282</v>
          </cell>
          <cell r="P118">
            <v>2.3943978912386799</v>
          </cell>
          <cell r="Q118">
            <v>2.545551272900024</v>
          </cell>
          <cell r="R118">
            <v>2.6749990411248445</v>
          </cell>
          <cell r="S118">
            <v>2.7822794089044081</v>
          </cell>
          <cell r="T118">
            <v>2.867569756662534</v>
          </cell>
          <cell r="U118">
            <v>2.9281057471196452</v>
          </cell>
          <cell r="V118">
            <v>2.9668719030728821</v>
          </cell>
          <cell r="BK118">
            <v>0.35097597761344296</v>
          </cell>
          <cell r="BL118">
            <v>0.20764117680371605</v>
          </cell>
          <cell r="BM118">
            <v>0.21222394583248175</v>
          </cell>
          <cell r="BN118">
            <v>0.20912799546930377</v>
          </cell>
          <cell r="BO118">
            <v>0.21443621359546886</v>
          </cell>
          <cell r="BP118">
            <v>0.22788646909404325</v>
          </cell>
          <cell r="BQ118">
            <v>0.22881191200265899</v>
          </cell>
          <cell r="BR118">
            <v>0.23042571169123441</v>
          </cell>
          <cell r="BS118">
            <v>0.22850376253131391</v>
          </cell>
        </row>
        <row r="119">
          <cell r="A119" t="str">
            <v>Dividend per Share Yield</v>
          </cell>
          <cell r="L119">
            <v>5.168886095520785E-3</v>
          </cell>
          <cell r="M119">
            <v>1.2561670772149855E-2</v>
          </cell>
          <cell r="N119">
            <v>1.3636929606109649E-2</v>
          </cell>
          <cell r="O119">
            <v>2.3401256542537711E-2</v>
          </cell>
          <cell r="P119">
            <v>3.5661014649135694E-2</v>
          </cell>
          <cell r="Q119">
            <v>3.7912220673587654E-2</v>
          </cell>
          <cell r="R119">
            <v>3.9840153694183138E-2</v>
          </cell>
          <cell r="S119">
            <v>4.1437936076530853E-2</v>
          </cell>
          <cell r="T119">
            <v>4.2708209639651537E-2</v>
          </cell>
          <cell r="U119">
            <v>4.3609803668943882E-2</v>
          </cell>
          <cell r="V119">
            <v>4.4187168216581321E-2</v>
          </cell>
          <cell r="AZ119">
            <v>0</v>
          </cell>
          <cell r="BA119">
            <v>0</v>
          </cell>
          <cell r="BB119">
            <v>0</v>
          </cell>
          <cell r="BC119">
            <v>0</v>
          </cell>
          <cell r="BD119">
            <v>0</v>
          </cell>
          <cell r="BE119">
            <v>0</v>
          </cell>
          <cell r="BF119">
            <v>0</v>
          </cell>
          <cell r="BG119">
            <v>0</v>
          </cell>
          <cell r="BH119">
            <v>0</v>
          </cell>
          <cell r="BI119">
            <v>0</v>
          </cell>
          <cell r="BJ119">
            <v>0</v>
          </cell>
          <cell r="BK119">
            <v>5.227268001264735E-3</v>
          </cell>
          <cell r="BL119">
            <v>3.0925081728711617E-3</v>
          </cell>
          <cell r="BM119">
            <v>3.1607617384403642E-3</v>
          </cell>
          <cell r="BN119">
            <v>3.114652137501327E-3</v>
          </cell>
          <cell r="BO119">
            <v>3.1937101942472981E-3</v>
          </cell>
          <cell r="BP119">
            <v>3.3940318534520452E-3</v>
          </cell>
          <cell r="BQ119">
            <v>3.4078149566037154E-3</v>
          </cell>
          <cell r="BR119">
            <v>3.4318501157331307E-3</v>
          </cell>
          <cell r="BS119">
            <v>3.4032255260617113E-3</v>
          </cell>
        </row>
        <row r="121">
          <cell r="A121" t="str">
            <v>Equity Market Cap</v>
          </cell>
          <cell r="J121">
            <v>17346.744621982718</v>
          </cell>
          <cell r="K121">
            <v>20608.482937599998</v>
          </cell>
          <cell r="L121">
            <v>23585.435486074402</v>
          </cell>
          <cell r="M121">
            <v>25780.846096203528</v>
          </cell>
          <cell r="N121">
            <v>28180.612812028197</v>
          </cell>
          <cell r="O121">
            <v>30716.867965110738</v>
          </cell>
          <cell r="P121">
            <v>33481.386081970704</v>
          </cell>
          <cell r="Q121">
            <v>36494.710829348071</v>
          </cell>
          <cell r="R121">
            <v>39779.234803989399</v>
          </cell>
          <cell r="S121">
            <v>43359.365936348448</v>
          </cell>
          <cell r="T121">
            <v>47261.708870619812</v>
          </cell>
          <cell r="U121">
            <v>51515.2626689756</v>
          </cell>
          <cell r="V121">
            <v>56151.636309183406</v>
          </cell>
          <cell r="AZ121">
            <v>12083.686925914561</v>
          </cell>
          <cell r="BA121">
            <v>12539.31916870512</v>
          </cell>
          <cell r="BB121">
            <v>14364.637376202239</v>
          </cell>
          <cell r="BC121">
            <v>17346.744621982718</v>
          </cell>
          <cell r="BD121">
            <v>17200.97640602176</v>
          </cell>
          <cell r="BE121">
            <v>17952.773840000002</v>
          </cell>
          <cell r="BF121">
            <v>20562.5492166888</v>
          </cell>
          <cell r="BG121">
            <v>20608.482937599998</v>
          </cell>
          <cell r="BH121">
            <v>20594.218706071199</v>
          </cell>
          <cell r="BI121">
            <v>20755.672048602722</v>
          </cell>
          <cell r="BJ121">
            <v>21291.693874922243</v>
          </cell>
          <cell r="BK121">
            <v>23585.435486074402</v>
          </cell>
          <cell r="BL121">
            <v>24116.107784511074</v>
          </cell>
          <cell r="BM121">
            <v>24658.720209662573</v>
          </cell>
          <cell r="BN121">
            <v>25213.541414379979</v>
          </cell>
          <cell r="BO121">
            <v>25780.846096203528</v>
          </cell>
          <cell r="BP121">
            <v>26360.915133368107</v>
          </cell>
          <cell r="BQ121">
            <v>26954.035723868888</v>
          </cell>
          <cell r="BR121">
            <v>27560.501527655939</v>
          </cell>
          <cell r="BS121">
            <v>28180.612812028197</v>
          </cell>
        </row>
        <row r="122">
          <cell r="A122" t="str">
            <v>Accounts Payable</v>
          </cell>
          <cell r="J122">
            <v>185.13800000000001</v>
          </cell>
          <cell r="K122">
            <v>292.54300000000001</v>
          </cell>
          <cell r="L122">
            <v>387.99928571816122</v>
          </cell>
          <cell r="M122">
            <v>443.58052123918839</v>
          </cell>
          <cell r="N122">
            <v>476.39486099093773</v>
          </cell>
          <cell r="O122">
            <v>499.75726694667998</v>
          </cell>
          <cell r="P122">
            <v>517.87862902619338</v>
          </cell>
          <cell r="Q122">
            <v>535.10692944432049</v>
          </cell>
          <cell r="R122">
            <v>550.14357839651643</v>
          </cell>
          <cell r="S122">
            <v>562.70918065460694</v>
          </cell>
          <cell r="T122">
            <v>572.92849950807192</v>
          </cell>
          <cell r="U122">
            <v>580.49608061925301</v>
          </cell>
          <cell r="V122">
            <v>585.71578382181667</v>
          </cell>
          <cell r="AZ122">
            <v>144.268</v>
          </cell>
          <cell r="BA122">
            <v>172.66300000000001</v>
          </cell>
          <cell r="BB122">
            <v>165.95699999999999</v>
          </cell>
          <cell r="BC122">
            <v>185.13800000000001</v>
          </cell>
          <cell r="BD122">
            <v>183.85400000000001</v>
          </cell>
          <cell r="BE122">
            <v>205.04</v>
          </cell>
          <cell r="BF122">
            <v>245.952</v>
          </cell>
          <cell r="BG122">
            <v>292.54300000000001</v>
          </cell>
          <cell r="BH122">
            <v>431.40800000000002</v>
          </cell>
          <cell r="BI122">
            <v>339.93099999999998</v>
          </cell>
          <cell r="BJ122">
            <v>352.78100000000001</v>
          </cell>
          <cell r="BK122">
            <v>387.99928571816122</v>
          </cell>
          <cell r="BL122">
            <v>380.80582060313566</v>
          </cell>
          <cell r="BM122">
            <v>410.95317848839102</v>
          </cell>
          <cell r="BN122">
            <v>429.50996121556375</v>
          </cell>
          <cell r="BO122">
            <v>443.58052123918839</v>
          </cell>
          <cell r="BP122">
            <v>441.49031195468103</v>
          </cell>
          <cell r="BQ122">
            <v>456.23840790166525</v>
          </cell>
          <cell r="BR122">
            <v>468.3240741806996</v>
          </cell>
          <cell r="BS122">
            <v>476.39486099093773</v>
          </cell>
        </row>
        <row r="123">
          <cell r="A123" t="str">
            <v>Unearned Revenue</v>
          </cell>
          <cell r="J123">
            <v>112.047</v>
          </cell>
          <cell r="K123">
            <v>134.13499999999999</v>
          </cell>
          <cell r="L123">
            <v>99.157789127401671</v>
          </cell>
          <cell r="M123">
            <v>118.11169216965081</v>
          </cell>
          <cell r="N123">
            <v>126.95891099805502</v>
          </cell>
          <cell r="O123">
            <v>133.28632705597005</v>
          </cell>
          <cell r="P123">
            <v>138.72109821669517</v>
          </cell>
          <cell r="Q123">
            <v>143.95130413276721</v>
          </cell>
          <cell r="R123">
            <v>148.61451247065006</v>
          </cell>
          <cell r="S123">
            <v>152.66487271027086</v>
          </cell>
          <cell r="T123">
            <v>156.09208885694602</v>
          </cell>
          <cell r="U123">
            <v>158.80279398369234</v>
          </cell>
          <cell r="V123">
            <v>160.87373603099473</v>
          </cell>
          <cell r="AZ123">
            <v>125.51900000000001</v>
          </cell>
          <cell r="BA123">
            <v>125.967</v>
          </cell>
          <cell r="BB123">
            <v>120.057</v>
          </cell>
          <cell r="BC123">
            <v>112.047</v>
          </cell>
          <cell r="BD123">
            <v>117.02800000000001</v>
          </cell>
          <cell r="BE123">
            <v>128.50800000000001</v>
          </cell>
          <cell r="BF123">
            <v>140.48099999999999</v>
          </cell>
          <cell r="BG123">
            <v>134.13499999999999</v>
          </cell>
          <cell r="BH123">
            <v>155.608</v>
          </cell>
          <cell r="BI123">
            <v>125.474</v>
          </cell>
          <cell r="BJ123">
            <v>95.850999999999999</v>
          </cell>
          <cell r="BK123">
            <v>99.157789127401671</v>
          </cell>
          <cell r="BL123">
            <v>101.02794968791477</v>
          </cell>
          <cell r="BM123">
            <v>109.24689853502852</v>
          </cell>
          <cell r="BN123">
            <v>114.29336236197184</v>
          </cell>
          <cell r="BO123">
            <v>118.11169216965081</v>
          </cell>
          <cell r="BP123">
            <v>117.5067372801787</v>
          </cell>
          <cell r="BQ123">
            <v>121.5098437934428</v>
          </cell>
          <cell r="BR123">
            <v>124.78395118259893</v>
          </cell>
          <cell r="BS123">
            <v>126.95891099805502</v>
          </cell>
        </row>
        <row r="124">
          <cell r="A124" t="str">
            <v>Accrued Interest</v>
          </cell>
          <cell r="J124">
            <v>23.538</v>
          </cell>
          <cell r="K124">
            <v>40.621000000000002</v>
          </cell>
          <cell r="L124">
            <v>61.536000000000001</v>
          </cell>
          <cell r="M124">
            <v>61.536000000000001</v>
          </cell>
          <cell r="N124">
            <v>61.536000000000001</v>
          </cell>
          <cell r="O124">
            <v>61.536000000000001</v>
          </cell>
          <cell r="P124">
            <v>61.536000000000001</v>
          </cell>
          <cell r="Q124">
            <v>61.536000000000001</v>
          </cell>
          <cell r="R124">
            <v>61.536000000000001</v>
          </cell>
          <cell r="S124">
            <v>61.536000000000001</v>
          </cell>
          <cell r="T124">
            <v>61.536000000000001</v>
          </cell>
          <cell r="U124">
            <v>61.536000000000001</v>
          </cell>
          <cell r="V124">
            <v>61.536000000000001</v>
          </cell>
          <cell r="AZ124">
            <v>47.994</v>
          </cell>
          <cell r="BA124">
            <v>26.812999999999999</v>
          </cell>
          <cell r="BB124">
            <v>47.27</v>
          </cell>
          <cell r="BC124">
            <v>23.538</v>
          </cell>
          <cell r="BD124">
            <v>44.024000000000001</v>
          </cell>
          <cell r="BE124">
            <v>23.661999999999999</v>
          </cell>
          <cell r="BF124">
            <v>49.779000000000003</v>
          </cell>
          <cell r="BG124">
            <v>40.621000000000002</v>
          </cell>
          <cell r="BH124">
            <v>61.286000000000001</v>
          </cell>
          <cell r="BI124">
            <v>61.703000000000003</v>
          </cell>
          <cell r="BJ124">
            <v>61.536000000000001</v>
          </cell>
          <cell r="BK124">
            <v>61.536000000000001</v>
          </cell>
          <cell r="BL124">
            <v>61.536000000000001</v>
          </cell>
          <cell r="BM124">
            <v>61.536000000000001</v>
          </cell>
          <cell r="BN124">
            <v>61.536000000000001</v>
          </cell>
          <cell r="BO124">
            <v>61.536000000000001</v>
          </cell>
          <cell r="BP124">
            <v>61.536000000000001</v>
          </cell>
          <cell r="BQ124">
            <v>61.536000000000001</v>
          </cell>
          <cell r="BR124">
            <v>61.536000000000001</v>
          </cell>
          <cell r="BS124">
            <v>61.536000000000001</v>
          </cell>
        </row>
        <row r="125">
          <cell r="A125" t="str">
            <v>Short Term Debt</v>
          </cell>
          <cell r="J125">
            <v>70.521000000000001</v>
          </cell>
          <cell r="K125">
            <v>74.896000000000001</v>
          </cell>
          <cell r="L125">
            <v>861.16</v>
          </cell>
          <cell r="M125">
            <v>861.16</v>
          </cell>
          <cell r="N125">
            <v>861.16</v>
          </cell>
          <cell r="O125">
            <v>861.16</v>
          </cell>
          <cell r="P125">
            <v>861.16</v>
          </cell>
          <cell r="Q125">
            <v>861.16</v>
          </cell>
          <cell r="R125">
            <v>861.16</v>
          </cell>
          <cell r="S125">
            <v>861.16</v>
          </cell>
          <cell r="T125">
            <v>861.16</v>
          </cell>
          <cell r="U125">
            <v>861.16</v>
          </cell>
          <cell r="V125">
            <v>861.16</v>
          </cell>
          <cell r="AZ125">
            <v>1.5269999999999999</v>
          </cell>
          <cell r="BA125">
            <v>22.577000000000002</v>
          </cell>
          <cell r="BB125">
            <v>7.7169999999999996</v>
          </cell>
          <cell r="BC125">
            <v>70.521000000000001</v>
          </cell>
          <cell r="BD125">
            <v>77.905000000000001</v>
          </cell>
          <cell r="BE125">
            <v>1.61</v>
          </cell>
          <cell r="BF125">
            <v>178.655</v>
          </cell>
          <cell r="BG125">
            <v>74.896000000000001</v>
          </cell>
          <cell r="BH125">
            <v>178.10499999999999</v>
          </cell>
          <cell r="BI125">
            <v>782.77499999999998</v>
          </cell>
          <cell r="BJ125">
            <v>861.16</v>
          </cell>
          <cell r="BK125">
            <v>861.16</v>
          </cell>
          <cell r="BL125">
            <v>861.16</v>
          </cell>
          <cell r="BM125">
            <v>861.16</v>
          </cell>
          <cell r="BN125">
            <v>861.16</v>
          </cell>
          <cell r="BO125">
            <v>861.16</v>
          </cell>
          <cell r="BP125">
            <v>861.16</v>
          </cell>
          <cell r="BQ125">
            <v>861.16</v>
          </cell>
          <cell r="BR125">
            <v>861.16</v>
          </cell>
          <cell r="BS125">
            <v>861.16</v>
          </cell>
        </row>
        <row r="126">
          <cell r="A126" t="str">
            <v>Long-term debt</v>
          </cell>
          <cell r="J126">
            <v>4141.0600000000004</v>
          </cell>
          <cell r="K126">
            <v>5512.4920000000002</v>
          </cell>
          <cell r="L126">
            <v>5806.8677507774992</v>
          </cell>
          <cell r="M126">
            <v>5807.9262372068333</v>
          </cell>
          <cell r="N126">
            <v>5809.0521863199083</v>
          </cell>
          <cell r="O126">
            <v>5810.2232768164749</v>
          </cell>
          <cell r="P126">
            <v>5811.4675032096166</v>
          </cell>
          <cell r="Q126">
            <v>5812.7895794465558</v>
          </cell>
          <cell r="R126">
            <v>5814.1945318416665</v>
          </cell>
          <cell r="S126">
            <v>5815.6877202674559</v>
          </cell>
          <cell r="T126">
            <v>5817.1536512940147</v>
          </cell>
          <cell r="U126">
            <v>5818.7141619933336</v>
          </cell>
          <cell r="V126">
            <v>5820.3755084788145</v>
          </cell>
          <cell r="AZ126">
            <v>4330.9989999999998</v>
          </cell>
          <cell r="BA126">
            <v>4421.6940000000004</v>
          </cell>
          <cell r="BB126">
            <v>4179.0379999999996</v>
          </cell>
          <cell r="BC126">
            <v>4141.0600000000004</v>
          </cell>
          <cell r="BD126">
            <v>4152.03</v>
          </cell>
          <cell r="BE126">
            <v>4152.0410000000002</v>
          </cell>
          <cell r="BF126">
            <v>4626.3050000000003</v>
          </cell>
          <cell r="BG126">
            <v>5512.4920000000002</v>
          </cell>
          <cell r="BH126">
            <v>5387.7280000000001</v>
          </cell>
          <cell r="BI126">
            <v>4919.0680000000002</v>
          </cell>
          <cell r="BJ126">
            <v>4970.5020000000004</v>
          </cell>
          <cell r="BK126">
            <v>5806.8677507774992</v>
          </cell>
          <cell r="BL126">
            <v>5807.126280320841</v>
          </cell>
          <cell r="BM126">
            <v>5807.3888279186913</v>
          </cell>
          <cell r="BN126">
            <v>5807.6554583593079</v>
          </cell>
          <cell r="BO126">
            <v>5807.9262372068333</v>
          </cell>
          <cell r="BP126">
            <v>5808.2012311122289</v>
          </cell>
          <cell r="BQ126">
            <v>5808.4805078279378</v>
          </cell>
          <cell r="BR126">
            <v>5808.7641362265767</v>
          </cell>
          <cell r="BS126">
            <v>5809.0521863199083</v>
          </cell>
        </row>
        <row r="127">
          <cell r="A127" t="str">
            <v>Other Long Term</v>
          </cell>
          <cell r="J127">
            <v>662.23900000000003</v>
          </cell>
          <cell r="K127">
            <v>806.07600000000002</v>
          </cell>
          <cell r="L127">
            <v>1247.4664571690876</v>
          </cell>
          <cell r="M127">
            <v>1485.9183073536633</v>
          </cell>
          <cell r="N127">
            <v>1597.2218047873223</v>
          </cell>
          <cell r="O127">
            <v>1676.8246212908298</v>
          </cell>
          <cell r="P127">
            <v>1745.1974116188157</v>
          </cell>
          <cell r="Q127">
            <v>1810.9966443548769</v>
          </cell>
          <cell r="R127">
            <v>1869.6626960638951</v>
          </cell>
          <cell r="S127">
            <v>1920.6187387796761</v>
          </cell>
          <cell r="T127">
            <v>1963.7352425064023</v>
          </cell>
          <cell r="U127">
            <v>1997.8375934225528</v>
          </cell>
          <cell r="V127">
            <v>2023.8913281970497</v>
          </cell>
          <cell r="AZ127">
            <v>593.49300000000005</v>
          </cell>
          <cell r="BA127">
            <v>625.73800000000006</v>
          </cell>
          <cell r="BB127">
            <v>639.63400000000001</v>
          </cell>
          <cell r="BC127">
            <v>662.23900000000003</v>
          </cell>
          <cell r="BD127">
            <v>641.56399999999996</v>
          </cell>
          <cell r="BE127">
            <v>645.05200000000002</v>
          </cell>
          <cell r="BF127">
            <v>754.15599999999995</v>
          </cell>
          <cell r="BG127">
            <v>806.07600000000002</v>
          </cell>
          <cell r="BH127">
            <v>1035.598</v>
          </cell>
          <cell r="BI127">
            <v>1145.0450000000001</v>
          </cell>
          <cell r="BJ127">
            <v>1205.865</v>
          </cell>
          <cell r="BK127">
            <v>1247.4664571690876</v>
          </cell>
          <cell r="BL127">
            <v>1270.9942363712153</v>
          </cell>
          <cell r="BM127">
            <v>1374.3937079627983</v>
          </cell>
          <cell r="BN127">
            <v>1437.8813513121322</v>
          </cell>
          <cell r="BO127">
            <v>1485.9183073536633</v>
          </cell>
          <cell r="BP127">
            <v>1478.3075998201657</v>
          </cell>
          <cell r="BQ127">
            <v>1528.6691613648259</v>
          </cell>
          <cell r="BR127">
            <v>1569.8594620067049</v>
          </cell>
          <cell r="BS127">
            <v>1597.2218047873223</v>
          </cell>
        </row>
        <row r="128">
          <cell r="A128" t="str">
            <v>Total Liabilities</v>
          </cell>
          <cell r="J128">
            <v>5194.5429999999997</v>
          </cell>
          <cell r="K128">
            <v>6860.7629999999999</v>
          </cell>
          <cell r="L128">
            <v>8464.1872827921507</v>
          </cell>
          <cell r="M128">
            <v>8778.2327579693356</v>
          </cell>
          <cell r="N128">
            <v>8932.323763096223</v>
          </cell>
          <cell r="O128">
            <v>9042.7874921099537</v>
          </cell>
          <cell r="P128">
            <v>9135.9606420713208</v>
          </cell>
          <cell r="Q128">
            <v>9225.5404573785199</v>
          </cell>
          <cell r="R128">
            <v>9305.3113187727286</v>
          </cell>
          <cell r="S128">
            <v>9374.3765124120091</v>
          </cell>
          <cell r="T128">
            <v>9432.6054821654343</v>
          </cell>
          <cell r="U128">
            <v>9478.5466300188327</v>
          </cell>
          <cell r="V128">
            <v>9513.5523565286749</v>
          </cell>
          <cell r="AZ128">
            <v>5243.8</v>
          </cell>
          <cell r="BA128">
            <v>5395.4520000000002</v>
          </cell>
          <cell r="BB128">
            <v>5159.6729999999998</v>
          </cell>
          <cell r="BC128">
            <v>5194.5429999999997</v>
          </cell>
          <cell r="BD128">
            <v>5216.4049999999997</v>
          </cell>
          <cell r="BE128">
            <v>5155.9129999999996</v>
          </cell>
          <cell r="BF128">
            <v>5995.3280000000004</v>
          </cell>
          <cell r="BG128">
            <v>6860.7629999999999</v>
          </cell>
          <cell r="BH128">
            <v>7249.7330000000002</v>
          </cell>
          <cell r="BI128">
            <v>7373.9960000000001</v>
          </cell>
          <cell r="BJ128">
            <v>7547.6949999999997</v>
          </cell>
          <cell r="BK128">
            <v>8464.1872827921507</v>
          </cell>
          <cell r="BL128">
            <v>8482.6502869831056</v>
          </cell>
          <cell r="BM128">
            <v>8624.6786129049087</v>
          </cell>
          <cell r="BN128">
            <v>8712.0361332489756</v>
          </cell>
          <cell r="BO128">
            <v>8778.2327579693356</v>
          </cell>
          <cell r="BP128">
            <v>8768.2018801672548</v>
          </cell>
          <cell r="BQ128">
            <v>8837.5939208878717</v>
          </cell>
          <cell r="BR128">
            <v>8894.4276235965808</v>
          </cell>
          <cell r="BS128">
            <v>8932.323763096223</v>
          </cell>
        </row>
        <row r="130">
          <cell r="A130" t="str">
            <v>Cash</v>
          </cell>
          <cell r="J130">
            <v>247.29300000000023</v>
          </cell>
          <cell r="K130">
            <v>883.96300000000042</v>
          </cell>
          <cell r="L130">
            <v>49.434808905668888</v>
          </cell>
          <cell r="M130">
            <v>475.92065996555596</v>
          </cell>
          <cell r="N130">
            <v>1441.223004123869</v>
          </cell>
          <cell r="O130">
            <v>2148.7511497629757</v>
          </cell>
          <cell r="P130">
            <v>2563.6691058852698</v>
          </cell>
          <cell r="Q130">
            <v>3002.0723766987667</v>
          </cell>
          <cell r="R130">
            <v>3451.3904741795523</v>
          </cell>
          <cell r="S130">
            <v>3922.6989413739684</v>
          </cell>
          <cell r="T130">
            <v>4398.6591129152985</v>
          </cell>
          <cell r="U130">
            <v>4903.534024764951</v>
          </cell>
          <cell r="V130">
            <v>5414.6556283865457</v>
          </cell>
          <cell r="AZ130">
            <v>303.03800000000001</v>
          </cell>
          <cell r="BA130">
            <v>323.637</v>
          </cell>
          <cell r="BB130">
            <v>229.67399999999992</v>
          </cell>
          <cell r="BC130">
            <v>247.29299999999995</v>
          </cell>
          <cell r="BD130">
            <v>352.88699999999994</v>
          </cell>
          <cell r="BE130">
            <v>302.89299999999986</v>
          </cell>
          <cell r="BF130">
            <v>371.87799999999982</v>
          </cell>
          <cell r="BG130">
            <v>883.96299999999974</v>
          </cell>
          <cell r="BH130">
            <v>362.82329999999968</v>
          </cell>
          <cell r="BI130">
            <v>332.54229999999961</v>
          </cell>
          <cell r="BJ130">
            <v>177.50629999999967</v>
          </cell>
          <cell r="BK130">
            <v>49.43480890566741</v>
          </cell>
          <cell r="BL130">
            <v>76.260982694191824</v>
          </cell>
          <cell r="BM130">
            <v>177.23563689270486</v>
          </cell>
          <cell r="BN130">
            <v>322.05931598765937</v>
          </cell>
          <cell r="BO130">
            <v>475.92065996555436</v>
          </cell>
          <cell r="BP130">
            <v>683.76668656129209</v>
          </cell>
          <cell r="BQ130">
            <v>928.86865021005906</v>
          </cell>
          <cell r="BR130">
            <v>1181.8425317377753</v>
          </cell>
          <cell r="BS130">
            <v>1441.2230041238672</v>
          </cell>
        </row>
        <row r="131">
          <cell r="A131" t="str">
            <v>Securities (Assets held for sale)</v>
          </cell>
          <cell r="J131">
            <v>47.835999999999999</v>
          </cell>
          <cell r="K131">
            <v>75.971999999999994</v>
          </cell>
          <cell r="L131">
            <v>50.220999999999997</v>
          </cell>
          <cell r="M131">
            <v>50.220999999999997</v>
          </cell>
          <cell r="N131">
            <v>50.220999999999997</v>
          </cell>
          <cell r="O131">
            <v>50.220999999999997</v>
          </cell>
          <cell r="P131">
            <v>50.220999999999997</v>
          </cell>
          <cell r="Q131">
            <v>50.220999999999997</v>
          </cell>
          <cell r="R131">
            <v>50.220999999999997</v>
          </cell>
          <cell r="S131">
            <v>50.220999999999997</v>
          </cell>
          <cell r="T131">
            <v>50.220999999999997</v>
          </cell>
          <cell r="U131">
            <v>50.220999999999997</v>
          </cell>
          <cell r="V131">
            <v>50.220999999999997</v>
          </cell>
          <cell r="AZ131">
            <v>61.475000000000001</v>
          </cell>
          <cell r="BA131">
            <v>50.774000000000001</v>
          </cell>
          <cell r="BB131">
            <v>50.795000000000002</v>
          </cell>
          <cell r="BC131">
            <v>47.835999999999999</v>
          </cell>
          <cell r="BD131">
            <v>49.793999999999997</v>
          </cell>
          <cell r="BE131">
            <v>52.566000000000003</v>
          </cell>
          <cell r="BF131">
            <v>69.159000000000006</v>
          </cell>
          <cell r="BG131">
            <v>75.971999999999994</v>
          </cell>
          <cell r="BH131">
            <v>79.427000000000007</v>
          </cell>
          <cell r="BI131">
            <v>50.206000000000003</v>
          </cell>
          <cell r="BJ131">
            <v>50.220999999999997</v>
          </cell>
          <cell r="BK131">
            <v>50.220999999999997</v>
          </cell>
          <cell r="BL131">
            <v>50.220999999999997</v>
          </cell>
          <cell r="BM131">
            <v>50.220999999999997</v>
          </cell>
          <cell r="BN131">
            <v>50.220999999999997</v>
          </cell>
          <cell r="BO131">
            <v>50.220999999999997</v>
          </cell>
          <cell r="BP131">
            <v>50.220999999999997</v>
          </cell>
          <cell r="BQ131">
            <v>50.220999999999997</v>
          </cell>
          <cell r="BR131">
            <v>50.220999999999997</v>
          </cell>
          <cell r="BS131">
            <v>50.220999999999997</v>
          </cell>
        </row>
        <row r="132">
          <cell r="A132" t="str">
            <v>Accounts Receivable</v>
          </cell>
          <cell r="J132">
            <v>67.948999999999998</v>
          </cell>
          <cell r="K132">
            <v>80.960999999999999</v>
          </cell>
          <cell r="L132">
            <v>115.93803389618637</v>
          </cell>
          <cell r="M132">
            <v>138.09946239025967</v>
          </cell>
          <cell r="N132">
            <v>148.44387572824377</v>
          </cell>
          <cell r="O132">
            <v>155.84206586392017</v>
          </cell>
          <cell r="P132">
            <v>162.19655085793906</v>
          </cell>
          <cell r="Q132">
            <v>168.31185250108578</v>
          </cell>
          <cell r="R132">
            <v>173.76420486896484</v>
          </cell>
          <cell r="S132">
            <v>178.49999826336548</v>
          </cell>
          <cell r="T132">
            <v>182.50719432208615</v>
          </cell>
          <cell r="U132">
            <v>185.676625847667</v>
          </cell>
          <cell r="V132">
            <v>188.09802865817832</v>
          </cell>
          <cell r="AZ132">
            <v>60.057000000000002</v>
          </cell>
          <cell r="BA132">
            <v>72.525999999999996</v>
          </cell>
          <cell r="BB132">
            <v>71.271000000000001</v>
          </cell>
          <cell r="BC132">
            <v>67.948999999999998</v>
          </cell>
          <cell r="BD132">
            <v>73.540999999999997</v>
          </cell>
          <cell r="BE132">
            <v>48.872</v>
          </cell>
          <cell r="BF132">
            <v>92.869</v>
          </cell>
          <cell r="BG132">
            <v>80.960999999999999</v>
          </cell>
          <cell r="BH132">
            <v>97.828999999999994</v>
          </cell>
          <cell r="BI132">
            <v>99.822999999999993</v>
          </cell>
          <cell r="BJ132">
            <v>100.063</v>
          </cell>
          <cell r="BK132">
            <v>115.93803389618637</v>
          </cell>
          <cell r="BL132">
            <v>118.12467743033675</v>
          </cell>
          <cell r="BM132">
            <v>127.7345001019918</v>
          </cell>
          <cell r="BN132">
            <v>133.63496540454412</v>
          </cell>
          <cell r="BO132">
            <v>138.09946239025967</v>
          </cell>
          <cell r="BP132">
            <v>137.39213237515452</v>
          </cell>
          <cell r="BQ132">
            <v>142.07267540368602</v>
          </cell>
          <cell r="BR132">
            <v>145.90085246172853</v>
          </cell>
          <cell r="BS132">
            <v>148.44387572824377</v>
          </cell>
        </row>
        <row r="133">
          <cell r="A133" t="str">
            <v>Prepaids and Other Current Assets</v>
          </cell>
          <cell r="J133">
            <v>89.051000000000002</v>
          </cell>
          <cell r="K133">
            <v>147.84299999999999</v>
          </cell>
          <cell r="L133">
            <v>236.47618717209781</v>
          </cell>
          <cell r="M133">
            <v>281.67835195314058</v>
          </cell>
          <cell r="N133">
            <v>302.77761802219482</v>
          </cell>
          <cell r="O133">
            <v>317.86753921945717</v>
          </cell>
          <cell r="P133">
            <v>330.8286386303152</v>
          </cell>
          <cell r="Q133">
            <v>343.30188116669882</v>
          </cell>
          <cell r="R133">
            <v>354.42292105106765</v>
          </cell>
          <cell r="S133">
            <v>364.08241179372988</v>
          </cell>
          <cell r="T133">
            <v>372.25579901940802</v>
          </cell>
          <cell r="U133">
            <v>378.72041686296666</v>
          </cell>
          <cell r="V133">
            <v>383.65929744421101</v>
          </cell>
          <cell r="AZ133">
            <v>70.180000000000007</v>
          </cell>
          <cell r="BA133">
            <v>70.974000000000004</v>
          </cell>
          <cell r="BB133">
            <v>78.722999999999999</v>
          </cell>
          <cell r="BC133">
            <v>89.051000000000002</v>
          </cell>
          <cell r="BD133">
            <v>107.208</v>
          </cell>
          <cell r="BE133">
            <v>113.84399999999999</v>
          </cell>
          <cell r="BF133">
            <v>157.43799999999999</v>
          </cell>
          <cell r="BG133">
            <v>147.84299999999999</v>
          </cell>
          <cell r="BH133">
            <v>150.393</v>
          </cell>
          <cell r="BI133">
            <v>172.011</v>
          </cell>
          <cell r="BJ133">
            <v>228.59</v>
          </cell>
          <cell r="BK133">
            <v>236.47618717209781</v>
          </cell>
          <cell r="BL133">
            <v>240.93623456365023</v>
          </cell>
          <cell r="BM133">
            <v>260.53717265466366</v>
          </cell>
          <cell r="BN133">
            <v>272.57221836311714</v>
          </cell>
          <cell r="BO133">
            <v>281.67835195314058</v>
          </cell>
          <cell r="BP133">
            <v>280.23562690922421</v>
          </cell>
          <cell r="BQ133">
            <v>289.78242472945601</v>
          </cell>
          <cell r="BR133">
            <v>297.590670945846</v>
          </cell>
          <cell r="BS133">
            <v>302.77761802219482</v>
          </cell>
        </row>
        <row r="134">
          <cell r="A134" t="str">
            <v>Non-Real Estate Assets</v>
          </cell>
          <cell r="J134">
            <v>452.12900000000025</v>
          </cell>
          <cell r="K134">
            <v>1188.7390000000005</v>
          </cell>
          <cell r="L134">
            <v>452.07002997395307</v>
          </cell>
          <cell r="M134">
            <v>945.91947430895618</v>
          </cell>
          <cell r="N134">
            <v>1942.6654978743077</v>
          </cell>
          <cell r="O134">
            <v>2672.6817548463532</v>
          </cell>
          <cell r="P134">
            <v>3106.9152953735243</v>
          </cell>
          <cell r="Q134">
            <v>3563.9071103665515</v>
          </cell>
          <cell r="R134">
            <v>4029.7986000995847</v>
          </cell>
          <cell r="S134">
            <v>4515.5023514310642</v>
          </cell>
          <cell r="T134">
            <v>5003.6431062567926</v>
          </cell>
          <cell r="U134">
            <v>5518.1520674755848</v>
          </cell>
          <cell r="V134">
            <v>6036.6339544889343</v>
          </cell>
          <cell r="AZ134">
            <v>494.75000000000006</v>
          </cell>
          <cell r="BA134">
            <v>517.91100000000006</v>
          </cell>
          <cell r="BB134">
            <v>430.46299999999997</v>
          </cell>
          <cell r="BC134">
            <v>452.12899999999996</v>
          </cell>
          <cell r="BD134">
            <v>583.42999999999995</v>
          </cell>
          <cell r="BE134">
            <v>518.17499999999984</v>
          </cell>
          <cell r="BF134">
            <v>691.34399999999982</v>
          </cell>
          <cell r="BG134">
            <v>1188.7389999999998</v>
          </cell>
          <cell r="BH134">
            <v>690.47229999999968</v>
          </cell>
          <cell r="BI134">
            <v>654.58229999999958</v>
          </cell>
          <cell r="BJ134">
            <v>556.38029999999969</v>
          </cell>
          <cell r="BK134">
            <v>452.07002997395159</v>
          </cell>
          <cell r="BL134">
            <v>485.54289468817876</v>
          </cell>
          <cell r="BM134">
            <v>615.72830964936031</v>
          </cell>
          <cell r="BN134">
            <v>778.48749975532064</v>
          </cell>
          <cell r="BO134">
            <v>945.91947430895459</v>
          </cell>
          <cell r="BP134">
            <v>1151.6154458456708</v>
          </cell>
          <cell r="BQ134">
            <v>1410.9447503432011</v>
          </cell>
          <cell r="BR134">
            <v>1675.5550551453498</v>
          </cell>
          <cell r="BS134">
            <v>1942.6654978743059</v>
          </cell>
        </row>
        <row r="136">
          <cell r="A136" t="str">
            <v>NOI</v>
          </cell>
          <cell r="J136">
            <v>23.308999999999997</v>
          </cell>
          <cell r="K136">
            <v>22.004999999999999</v>
          </cell>
          <cell r="L136">
            <v>28.762398999999998</v>
          </cell>
          <cell r="M136">
            <v>27.129784442148988</v>
          </cell>
          <cell r="N136">
            <v>28.23136248093585</v>
          </cell>
          <cell r="O136">
            <v>28.795989730554567</v>
          </cell>
          <cell r="P136">
            <v>29.371909525165655</v>
          </cell>
          <cell r="Q136">
            <v>29.959347715668969</v>
          </cell>
          <cell r="R136">
            <v>30.55853466998235</v>
          </cell>
          <cell r="S136">
            <v>30.864120016682179</v>
          </cell>
          <cell r="T136">
            <v>31.172761216848997</v>
          </cell>
          <cell r="U136">
            <v>31.484488829017494</v>
          </cell>
          <cell r="V136">
            <v>31.799333717307668</v>
          </cell>
          <cell r="AZ136">
            <v>5.1159999999999997</v>
          </cell>
          <cell r="BA136">
            <v>6.363999999999999</v>
          </cell>
          <cell r="BB136">
            <v>6.1139999999999999</v>
          </cell>
          <cell r="BC136">
            <v>5.7149999999999999</v>
          </cell>
          <cell r="BD136">
            <v>4.5709999999999997</v>
          </cell>
          <cell r="BE136">
            <v>7.0299999999999994</v>
          </cell>
          <cell r="BF136">
            <v>5.9179999999999993</v>
          </cell>
          <cell r="BG136">
            <v>4.4859999999999998</v>
          </cell>
          <cell r="BH136">
            <v>8.570999999999998</v>
          </cell>
          <cell r="BI136">
            <v>6.6490000000000009</v>
          </cell>
          <cell r="BJ136">
            <v>6.9270000000000014</v>
          </cell>
          <cell r="BK136">
            <v>6.615399</v>
          </cell>
          <cell r="BL136">
            <v>6.6815529900000001</v>
          </cell>
          <cell r="BM136">
            <v>6.7483685198999996</v>
          </cell>
          <cell r="BN136">
            <v>6.8158522050990005</v>
          </cell>
          <cell r="BO136">
            <v>6.88401072714999</v>
          </cell>
          <cell r="BP136">
            <v>6.9528508344214899</v>
          </cell>
          <cell r="BQ136">
            <v>7.0223793427657046</v>
          </cell>
          <cell r="BR136">
            <v>7.092603136193361</v>
          </cell>
          <cell r="BS136">
            <v>7.1635291675552946</v>
          </cell>
        </row>
        <row r="137">
          <cell r="A137" t="str">
            <v>Multiple</v>
          </cell>
          <cell r="J137">
            <v>10</v>
          </cell>
          <cell r="K137">
            <v>10</v>
          </cell>
          <cell r="L137">
            <v>10</v>
          </cell>
          <cell r="M137">
            <v>10</v>
          </cell>
          <cell r="N137">
            <v>10</v>
          </cell>
          <cell r="O137">
            <v>10</v>
          </cell>
          <cell r="P137">
            <v>10</v>
          </cell>
          <cell r="Q137">
            <v>10</v>
          </cell>
          <cell r="R137">
            <v>10</v>
          </cell>
          <cell r="S137">
            <v>10</v>
          </cell>
          <cell r="T137">
            <v>10</v>
          </cell>
          <cell r="U137">
            <v>10</v>
          </cell>
          <cell r="V137">
            <v>10</v>
          </cell>
          <cell r="AZ137">
            <v>10</v>
          </cell>
          <cell r="BA137">
            <v>10</v>
          </cell>
          <cell r="BB137">
            <v>10</v>
          </cell>
          <cell r="BC137">
            <v>10</v>
          </cell>
          <cell r="BD137">
            <v>10</v>
          </cell>
          <cell r="BE137">
            <v>10</v>
          </cell>
          <cell r="BF137">
            <v>10</v>
          </cell>
          <cell r="BG137">
            <v>10</v>
          </cell>
          <cell r="BH137">
            <v>10</v>
          </cell>
          <cell r="BI137">
            <v>10</v>
          </cell>
          <cell r="BJ137">
            <v>10</v>
          </cell>
          <cell r="BK137">
            <v>10</v>
          </cell>
          <cell r="BL137">
            <v>10</v>
          </cell>
          <cell r="BM137">
            <v>10</v>
          </cell>
          <cell r="BN137">
            <v>10</v>
          </cell>
          <cell r="BO137">
            <v>10</v>
          </cell>
          <cell r="BP137">
            <v>10</v>
          </cell>
          <cell r="BQ137">
            <v>10</v>
          </cell>
          <cell r="BR137">
            <v>10</v>
          </cell>
          <cell r="BS137">
            <v>10</v>
          </cell>
        </row>
        <row r="138">
          <cell r="A138" t="str">
            <v>Network Svcs Business Valuation</v>
          </cell>
          <cell r="J138">
            <v>233.08999999999997</v>
          </cell>
          <cell r="K138">
            <v>220.04999999999998</v>
          </cell>
          <cell r="L138">
            <v>287.62398999999999</v>
          </cell>
          <cell r="M138">
            <v>271.29784442148991</v>
          </cell>
          <cell r="N138">
            <v>282.31362480935849</v>
          </cell>
          <cell r="O138">
            <v>287.95989730554567</v>
          </cell>
          <cell r="P138">
            <v>293.71909525165654</v>
          </cell>
          <cell r="Q138">
            <v>299.59347715668969</v>
          </cell>
          <cell r="R138">
            <v>305.5853466998235</v>
          </cell>
          <cell r="S138">
            <v>308.64120016682182</v>
          </cell>
          <cell r="T138">
            <v>311.72761216848994</v>
          </cell>
          <cell r="U138">
            <v>314.84488829017494</v>
          </cell>
          <cell r="V138">
            <v>317.99333717307667</v>
          </cell>
          <cell r="AZ138">
            <v>51.16</v>
          </cell>
          <cell r="BA138">
            <v>63.639999999999986</v>
          </cell>
          <cell r="BB138">
            <v>61.14</v>
          </cell>
          <cell r="BC138">
            <v>57.15</v>
          </cell>
          <cell r="BD138">
            <v>45.709999999999994</v>
          </cell>
          <cell r="BE138">
            <v>70.3</v>
          </cell>
          <cell r="BF138">
            <v>59.179999999999993</v>
          </cell>
          <cell r="BG138">
            <v>44.86</v>
          </cell>
          <cell r="BH138">
            <v>85.70999999999998</v>
          </cell>
          <cell r="BI138">
            <v>66.490000000000009</v>
          </cell>
          <cell r="BJ138">
            <v>69.27000000000001</v>
          </cell>
          <cell r="BK138">
            <v>66.153989999999993</v>
          </cell>
          <cell r="BL138">
            <v>66.815529900000001</v>
          </cell>
          <cell r="BM138">
            <v>67.483685198999993</v>
          </cell>
          <cell r="BN138">
            <v>68.158522050990001</v>
          </cell>
          <cell r="BO138">
            <v>68.840107271499903</v>
          </cell>
          <cell r="BP138">
            <v>69.528508344214899</v>
          </cell>
          <cell r="BQ138">
            <v>70.223793427657043</v>
          </cell>
          <cell r="BR138">
            <v>70.92603136193361</v>
          </cell>
          <cell r="BS138">
            <v>71.635291675552949</v>
          </cell>
        </row>
        <row r="140">
          <cell r="A140" t="str">
            <v>Gross Real Estate Value (GAV)</v>
          </cell>
          <cell r="J140">
            <v>21856.068621982715</v>
          </cell>
          <cell r="K140">
            <v>26060.456937599996</v>
          </cell>
          <cell r="L140">
            <v>31309.928748892598</v>
          </cell>
          <cell r="M140">
            <v>33341.861535442418</v>
          </cell>
          <cell r="N140">
            <v>34887.957452440751</v>
          </cell>
          <cell r="O140">
            <v>36799.013805068797</v>
          </cell>
          <cell r="P140">
            <v>39216.71233341685</v>
          </cell>
          <cell r="Q140">
            <v>41856.750699203352</v>
          </cell>
          <cell r="R140">
            <v>44749.162175962716</v>
          </cell>
          <cell r="S140">
            <v>47909.59889716257</v>
          </cell>
          <cell r="T140">
            <v>51378.943634359959</v>
          </cell>
          <cell r="U140">
            <v>55160.812343228674</v>
          </cell>
          <cell r="V140">
            <v>59310.56137405007</v>
          </cell>
          <cell r="AZ140">
            <v>16781.57692591456</v>
          </cell>
          <cell r="BA140">
            <v>17353.22016870512</v>
          </cell>
          <cell r="BB140">
            <v>19032.707376202241</v>
          </cell>
          <cell r="BC140">
            <v>22032.008621982717</v>
          </cell>
          <cell r="BD140">
            <v>21788.24140602176</v>
          </cell>
          <cell r="BE140">
            <v>22520.211840000004</v>
          </cell>
          <cell r="BF140">
            <v>25807.3532166888</v>
          </cell>
          <cell r="BG140">
            <v>26235.646937599999</v>
          </cell>
          <cell r="BH140">
            <v>27067.769406071198</v>
          </cell>
          <cell r="BI140">
            <v>27408.595748602722</v>
          </cell>
          <cell r="BJ140">
            <v>28213.738574922241</v>
          </cell>
          <cell r="BK140">
            <v>31531.398748892603</v>
          </cell>
          <cell r="BL140">
            <v>32046.399646906</v>
          </cell>
          <cell r="BM140">
            <v>32600.186827719124</v>
          </cell>
          <cell r="BN140">
            <v>33078.931525822649</v>
          </cell>
          <cell r="BO140">
            <v>33544.319272592409</v>
          </cell>
          <cell r="BP140">
            <v>33907.973059345473</v>
          </cell>
          <cell r="BQ140">
            <v>34310.4611009859</v>
          </cell>
          <cell r="BR140">
            <v>34708.448064745236</v>
          </cell>
          <cell r="BS140">
            <v>35098.635785574559</v>
          </cell>
        </row>
        <row r="142">
          <cell r="A142" t="str">
            <v>Implied Cap Rate (Annualized)</v>
          </cell>
          <cell r="J142">
            <v>5.8767659555576585E-2</v>
          </cell>
          <cell r="K142">
            <v>5.7126550143180417E-2</v>
          </cell>
          <cell r="L142">
            <v>5.6971843577126209E-2</v>
          </cell>
          <cell r="M142">
            <v>6.403817544972637E-2</v>
          </cell>
          <cell r="N142">
            <v>6.7941662558270943E-2</v>
          </cell>
          <cell r="O142">
            <v>6.7664424122618971E-2</v>
          </cell>
          <cell r="P142">
            <v>6.6197253238564249E-2</v>
          </cell>
          <cell r="Q142">
            <v>6.4468340770197655E-2</v>
          </cell>
          <cell r="R142">
            <v>6.2352444149027811E-2</v>
          </cell>
          <cell r="S142">
            <v>5.992572988328574E-2</v>
          </cell>
          <cell r="T142">
            <v>5.7222933253139555E-2</v>
          </cell>
          <cell r="U142">
            <v>5.4304604128256349E-2</v>
          </cell>
          <cell r="V142">
            <v>5.1234325968807885E-2</v>
          </cell>
          <cell r="AZ142">
            <v>1.822576038892313E-2</v>
          </cell>
          <cell r="BA142">
            <v>1.811888496447641E-2</v>
          </cell>
          <cell r="BB142">
            <v>1.7306891420600792E-2</v>
          </cell>
          <cell r="BC142">
            <v>1.5194030001694623E-2</v>
          </cell>
          <cell r="BD142">
            <v>1.5760519337053698E-2</v>
          </cell>
          <cell r="BE142">
            <v>1.5573032904472E-2</v>
          </cell>
          <cell r="BF142">
            <v>1.489618081994556E-2</v>
          </cell>
          <cell r="BG142">
            <v>1.5635635018860547E-2</v>
          </cell>
          <cell r="BH142">
            <v>1.5472128261372939E-2</v>
          </cell>
          <cell r="BI142">
            <v>1.6035443918078363E-2</v>
          </cell>
          <cell r="BJ142">
            <v>1.6110697233298256E-2</v>
          </cell>
          <cell r="BK142">
            <v>1.4935473267243345E-2</v>
          </cell>
          <cell r="BL142">
            <v>1.5178214827361879E-2</v>
          </cell>
          <cell r="BM142">
            <v>1.6160314265011456E-2</v>
          </cell>
          <cell r="BN142">
            <v>1.6675307218368206E-2</v>
          </cell>
          <cell r="BO142">
            <v>1.7001812617685304E-2</v>
          </cell>
          <cell r="BP142">
            <v>1.6727843106501661E-2</v>
          </cell>
          <cell r="BQ142">
            <v>1.7103504803389433E-2</v>
          </cell>
          <cell r="BR142">
            <v>1.7369081367601038E-2</v>
          </cell>
          <cell r="BS142">
            <v>1.7478046386350504E-2</v>
          </cell>
        </row>
        <row r="144">
          <cell r="A144" t="str">
            <v>Total Debt to GAV</v>
          </cell>
          <cell r="J144">
            <v>0.19269618305297664</v>
          </cell>
          <cell r="K144">
            <v>0.2144009989302422</v>
          </cell>
          <cell r="L144">
            <v>0.21296847413021791</v>
          </cell>
          <cell r="M144">
            <v>0.20002141242526578</v>
          </cell>
          <cell r="N144">
            <v>0.19118952995206837</v>
          </cell>
          <cell r="O144">
            <v>0.1812924474594898</v>
          </cell>
          <cell r="P144">
            <v>0.17014754950592381</v>
          </cell>
          <cell r="Q144">
            <v>0.1594473882458721</v>
          </cell>
          <cell r="R144">
            <v>0.14917272653268521</v>
          </cell>
          <cell r="S144">
            <v>0.13936346523374651</v>
          </cell>
          <cell r="T144">
            <v>0.12998152898628018</v>
          </cell>
          <cell r="U144">
            <v>0.12109818326149667</v>
          </cell>
          <cell r="V144">
            <v>0.11265338505803052</v>
          </cell>
          <cell r="AZ144">
            <v>0.25817156630314025</v>
          </cell>
          <cell r="BA144">
            <v>0.25610641464774475</v>
          </cell>
          <cell r="BB144">
            <v>0.21997684918095023</v>
          </cell>
          <cell r="BC144">
            <v>0.19115737798857982</v>
          </cell>
          <cell r="BD144">
            <v>0.19413843096262667</v>
          </cell>
          <cell r="BE144">
            <v>0.18444102699879394</v>
          </cell>
          <cell r="BF144">
            <v>0.18618569520305492</v>
          </cell>
          <cell r="BG144">
            <v>0.21296932426668516</v>
          </cell>
          <cell r="BH144">
            <v>0.20562584661119523</v>
          </cell>
          <cell r="BI144">
            <v>0.20803119766873418</v>
          </cell>
          <cell r="BJ144">
            <v>0.2066958260251078</v>
          </cell>
          <cell r="BK144">
            <v>0.21147262777271125</v>
          </cell>
          <cell r="BL144">
            <v>0.20808222932352549</v>
          </cell>
          <cell r="BM144">
            <v>0.20455554022311892</v>
          </cell>
          <cell r="BN144">
            <v>0.20160310961535688</v>
          </cell>
          <cell r="BO144">
            <v>0.19881417723852429</v>
          </cell>
          <cell r="BP144">
            <v>0.19669005928014524</v>
          </cell>
          <cell r="BQ144">
            <v>0.19439087362298046</v>
          </cell>
          <cell r="BR144">
            <v>0.19217004816189076</v>
          </cell>
          <cell r="BS144">
            <v>0.19004192148862226</v>
          </cell>
        </row>
        <row r="146">
          <cell r="A146" t="str">
            <v>Company Reported Recurring Free Cash Flow Calculation</v>
          </cell>
        </row>
        <row r="147">
          <cell r="A147" t="str">
            <v>EBITDA</v>
          </cell>
          <cell r="I147">
            <v>1092.3340000000003</v>
          </cell>
          <cell r="J147">
            <v>1180.925</v>
          </cell>
          <cell r="K147">
            <v>1347.748</v>
          </cell>
          <cell r="L147">
            <v>1584.1703752296016</v>
          </cell>
          <cell r="M147">
            <v>1899.6846804226077</v>
          </cell>
          <cell r="N147">
            <v>2122.0781174777685</v>
          </cell>
          <cell r="O147">
            <v>2244.7461118657193</v>
          </cell>
          <cell r="P147">
            <v>2336.1055787614168</v>
          </cell>
          <cell r="Q147">
            <v>2423.9947553852789</v>
          </cell>
          <cell r="R147">
            <v>2502.285984603026</v>
          </cell>
          <cell r="S147">
            <v>2570.4468457851262</v>
          </cell>
          <cell r="T147">
            <v>2628.0687491998037</v>
          </cell>
          <cell r="U147">
            <v>2673.5731586637175</v>
          </cell>
          <cell r="V147">
            <v>2708.2575515914632</v>
          </cell>
          <cell r="AT147">
            <v>248.62799999999999</v>
          </cell>
          <cell r="AU147">
            <v>252.50899999999999</v>
          </cell>
          <cell r="AV147">
            <v>262.52200000000005</v>
          </cell>
          <cell r="AW147">
            <v>272.25100000000003</v>
          </cell>
          <cell r="AX147">
            <v>277.52700000000004</v>
          </cell>
          <cell r="AY147">
            <v>280.03399999999999</v>
          </cell>
          <cell r="AZ147">
            <v>281.17900000000003</v>
          </cell>
          <cell r="BA147">
            <v>287.34499999999997</v>
          </cell>
          <cell r="BB147">
            <v>304.18099999999993</v>
          </cell>
          <cell r="BC147">
            <v>308.22000000000003</v>
          </cell>
          <cell r="BD147">
            <v>311.50200000000001</v>
          </cell>
          <cell r="BE147">
            <v>320.96899999999999</v>
          </cell>
          <cell r="BF147">
            <v>349.99199999999996</v>
          </cell>
          <cell r="BG147">
            <v>365.28500000000008</v>
          </cell>
          <cell r="BH147">
            <v>377.09199999999998</v>
          </cell>
          <cell r="BI147">
            <v>389.11399999999998</v>
          </cell>
          <cell r="BJ147">
            <v>398.86900000000003</v>
          </cell>
          <cell r="BK147">
            <v>419.09537522960113</v>
          </cell>
          <cell r="BL147">
            <v>433.46381677239697</v>
          </cell>
          <cell r="BM147">
            <v>468.81750926192603</v>
          </cell>
          <cell r="BN147">
            <v>490.50401321550373</v>
          </cell>
          <cell r="BO147">
            <v>506.89934117278085</v>
          </cell>
          <cell r="BP147">
            <v>508.10333721571573</v>
          </cell>
          <cell r="BQ147">
            <v>525.42522366686853</v>
          </cell>
          <cell r="BR147">
            <v>539.58215515715813</v>
          </cell>
          <cell r="BS147">
            <v>548.96740143802583</v>
          </cell>
        </row>
        <row r="148">
          <cell r="A148" t="str">
            <v>Interest Expense</v>
          </cell>
          <cell r="I148">
            <v>-253.58399999999997</v>
          </cell>
          <cell r="J148">
            <v>-249.803</v>
          </cell>
          <cell r="K148">
            <v>-246.01800000000003</v>
          </cell>
          <cell r="L148">
            <v>-311.9070007775</v>
          </cell>
          <cell r="M148">
            <v>-338.58348642933311</v>
          </cell>
          <cell r="N148">
            <v>-334.65094911307483</v>
          </cell>
          <cell r="O148">
            <v>-368.85308049656709</v>
          </cell>
          <cell r="P148">
            <v>-368.92621639314132</v>
          </cell>
          <cell r="Q148">
            <v>-369.00406623693948</v>
          </cell>
          <cell r="R148">
            <v>-369.08694239511107</v>
          </cell>
          <cell r="S148">
            <v>-369.17517842579002</v>
          </cell>
          <cell r="T148">
            <v>-369.26913054392242</v>
          </cell>
          <cell r="U148">
            <v>-369.36371021668259</v>
          </cell>
          <cell r="V148">
            <v>-369.46454600284403</v>
          </cell>
          <cell r="AT148">
            <v>-59.918999999999997</v>
          </cell>
          <cell r="AU148">
            <v>-64.247</v>
          </cell>
          <cell r="AV148">
            <v>-65.513999999999996</v>
          </cell>
          <cell r="AW148">
            <v>-62.508000000000003</v>
          </cell>
          <cell r="AX148">
            <v>-63.545999999999999</v>
          </cell>
          <cell r="AY148">
            <v>-62.015999999999998</v>
          </cell>
          <cell r="AZ148">
            <v>-61.567999999999998</v>
          </cell>
          <cell r="BA148">
            <v>-62.654000000000003</v>
          </cell>
          <cell r="BB148">
            <v>-64.122</v>
          </cell>
          <cell r="BC148">
            <v>-61.459000000000003</v>
          </cell>
          <cell r="BD148">
            <v>-58.417000000000002</v>
          </cell>
          <cell r="BE148">
            <v>-56.073999999999998</v>
          </cell>
          <cell r="BF148">
            <v>-62.904000000000003</v>
          </cell>
          <cell r="BG148">
            <v>-68.623000000000005</v>
          </cell>
          <cell r="BH148">
            <v>-74.427000000000007</v>
          </cell>
          <cell r="BI148">
            <v>-74.512</v>
          </cell>
          <cell r="BJ148">
            <v>-77.796000000000006</v>
          </cell>
          <cell r="BK148">
            <v>-85.172000777500003</v>
          </cell>
          <cell r="BL148">
            <v>-84.639779543341248</v>
          </cell>
          <cell r="BM148">
            <v>-84.643797597850025</v>
          </cell>
          <cell r="BN148">
            <v>-84.647880440615921</v>
          </cell>
          <cell r="BO148">
            <v>-84.652028847525941</v>
          </cell>
          <cell r="BP148">
            <v>-83.656243905395741</v>
          </cell>
          <cell r="BQ148">
            <v>-83.660526715708301</v>
          </cell>
          <cell r="BR148">
            <v>-83.664878398639033</v>
          </cell>
          <cell r="BS148">
            <v>-83.669300093331742</v>
          </cell>
        </row>
        <row r="149">
          <cell r="A149" t="str">
            <v>Interest Income</v>
          </cell>
          <cell r="I149">
            <v>3.4129999999999998</v>
          </cell>
          <cell r="J149">
            <v>1.722</v>
          </cell>
          <cell r="K149">
            <v>5.024</v>
          </cell>
          <cell r="L149">
            <v>7.4063182499999991</v>
          </cell>
          <cell r="M149">
            <v>2.0646868612005589</v>
          </cell>
          <cell r="N149">
            <v>8.6782063211867033</v>
          </cell>
          <cell r="O149">
            <v>14.914440041238672</v>
          </cell>
          <cell r="P149">
            <v>21.989721497629759</v>
          </cell>
          <cell r="Q149">
            <v>26.138901058852699</v>
          </cell>
          <cell r="R149">
            <v>30.522933766987666</v>
          </cell>
          <cell r="S149">
            <v>35.016114741795526</v>
          </cell>
          <cell r="T149">
            <v>39.729199413739686</v>
          </cell>
          <cell r="U149">
            <v>44.488801129152982</v>
          </cell>
          <cell r="V149">
            <v>49.537550247649506</v>
          </cell>
          <cell r="AT149">
            <v>2.3450000000000002</v>
          </cell>
          <cell r="AU149">
            <v>1.6619999999999999</v>
          </cell>
          <cell r="AV149">
            <v>0.96299999999999997</v>
          </cell>
          <cell r="AW149">
            <v>0.97899999999999998</v>
          </cell>
          <cell r="AX149">
            <v>1.0169999999999999</v>
          </cell>
          <cell r="AY149">
            <v>0.45400000000000001</v>
          </cell>
          <cell r="AZ149">
            <v>0.499</v>
          </cell>
          <cell r="BA149">
            <v>0.48199999999999998</v>
          </cell>
          <cell r="BB149">
            <v>0.73599999999999999</v>
          </cell>
          <cell r="BC149">
            <v>5.0000000000000001E-3</v>
          </cell>
          <cell r="BD149">
            <v>0.502</v>
          </cell>
          <cell r="BE149">
            <v>0.69399999999999995</v>
          </cell>
          <cell r="BF149">
            <v>1.954</v>
          </cell>
          <cell r="BG149">
            <v>1.8740000000000001</v>
          </cell>
          <cell r="BH149">
            <v>2.3039999999999998</v>
          </cell>
          <cell r="BI149">
            <v>2.7109999999999999</v>
          </cell>
          <cell r="BJ149">
            <v>1.8220000000000001</v>
          </cell>
          <cell r="BK149">
            <v>0.56931824999999925</v>
          </cell>
          <cell r="BL149">
            <v>0.24913952226416855</v>
          </cell>
          <cell r="BM149">
            <v>0.3162049567354796</v>
          </cell>
          <cell r="BN149">
            <v>0.56864159223176214</v>
          </cell>
          <cell r="BO149">
            <v>0.93070078996914851</v>
          </cell>
          <cell r="BP149">
            <v>1.3153541499138859</v>
          </cell>
          <cell r="BQ149">
            <v>1.8349692164032303</v>
          </cell>
          <cell r="BR149">
            <v>2.4477241255251476</v>
          </cell>
          <cell r="BS149">
            <v>3.0801588293444384</v>
          </cell>
        </row>
        <row r="150">
          <cell r="A150" t="str">
            <v>Cash Taxes</v>
          </cell>
          <cell r="I150">
            <v>-35.061999999999998</v>
          </cell>
          <cell r="J150">
            <v>-40.213999999999999</v>
          </cell>
          <cell r="K150">
            <v>-36.381</v>
          </cell>
          <cell r="L150">
            <v>-63.807999999999993</v>
          </cell>
          <cell r="M150">
            <v>-3.299689806430401</v>
          </cell>
          <cell r="N150">
            <v>-4.080239682142242</v>
          </cell>
          <cell r="O150">
            <v>-4.5233627570231718</v>
          </cell>
          <cell r="P150">
            <v>-4.8803952558684456</v>
          </cell>
          <cell r="Q150">
            <v>-5.1891775033019609</v>
          </cell>
          <cell r="R150">
            <v>-5.4533940242101107</v>
          </cell>
          <cell r="S150">
            <v>-5.6717044193611557</v>
          </cell>
          <cell r="T150">
            <v>-5.8439667506207851</v>
          </cell>
          <cell r="U150">
            <v>-5.964734932127457</v>
          </cell>
          <cell r="V150">
            <v>-6.0402951358851382</v>
          </cell>
          <cell r="AT150">
            <v>-5.0630000000000033</v>
          </cell>
          <cell r="AU150">
            <v>-15.271000000000001</v>
          </cell>
          <cell r="AV150">
            <v>-11.72</v>
          </cell>
          <cell r="AW150">
            <v>-10.086</v>
          </cell>
          <cell r="AX150">
            <v>-5.636000000000001</v>
          </cell>
          <cell r="AY150">
            <v>-7.6199999999999957</v>
          </cell>
          <cell r="AZ150">
            <v>-7.4939999999999998</v>
          </cell>
          <cell r="BA150">
            <v>-11.501999999999999</v>
          </cell>
          <cell r="BB150">
            <v>-13.763999999999999</v>
          </cell>
          <cell r="BC150">
            <v>-7.4539999999999997</v>
          </cell>
          <cell r="BD150">
            <v>-7.899</v>
          </cell>
          <cell r="BE150">
            <v>-3.3579999999999997</v>
          </cell>
          <cell r="BF150">
            <v>-11.663999999999998</v>
          </cell>
          <cell r="BG150">
            <v>-13.46</v>
          </cell>
          <cell r="BH150">
            <v>-13.477</v>
          </cell>
          <cell r="BI150">
            <v>-14.818000000000001</v>
          </cell>
          <cell r="BJ150">
            <v>-20.512999999999995</v>
          </cell>
          <cell r="BK150">
            <v>-15</v>
          </cell>
          <cell r="BL150">
            <v>-0.67678901966725136</v>
          </cell>
          <cell r="BM150">
            <v>-0.80448820361335882</v>
          </cell>
          <cell r="BN150">
            <v>-0.88578455390560706</v>
          </cell>
          <cell r="BO150">
            <v>-0.93262802924418386</v>
          </cell>
          <cell r="BP150">
            <v>-0.93938716833548475</v>
          </cell>
          <cell r="BQ150">
            <v>-1.0031060942449053</v>
          </cell>
          <cell r="BR150">
            <v>-1.0579144043231941</v>
          </cell>
          <cell r="BS150">
            <v>-1.0798320152386576</v>
          </cell>
        </row>
        <row r="151">
          <cell r="A151" t="str">
            <v>Straight Line Revenue</v>
          </cell>
          <cell r="I151">
            <v>-50.368000000000002</v>
          </cell>
          <cell r="J151">
            <v>-36.307000000000002</v>
          </cell>
          <cell r="K151">
            <v>-105.226</v>
          </cell>
          <cell r="L151">
            <v>-125.687</v>
          </cell>
          <cell r="M151">
            <v>-130.74799999999999</v>
          </cell>
          <cell r="N151">
            <v>-130.74799999999999</v>
          </cell>
          <cell r="O151">
            <v>-130.74799999999999</v>
          </cell>
          <cell r="P151">
            <v>-130.74799999999999</v>
          </cell>
          <cell r="Q151">
            <v>-130.74799999999999</v>
          </cell>
          <cell r="R151">
            <v>-130.74799999999999</v>
          </cell>
          <cell r="S151">
            <v>-130.74799999999999</v>
          </cell>
          <cell r="T151">
            <v>-130.74799999999999</v>
          </cell>
          <cell r="U151">
            <v>-130.74799999999999</v>
          </cell>
          <cell r="V151">
            <v>-130.74799999999999</v>
          </cell>
          <cell r="AT151">
            <v>-15.98</v>
          </cell>
          <cell r="AU151">
            <v>-18.038</v>
          </cell>
          <cell r="AV151">
            <v>-14.113</v>
          </cell>
          <cell r="AW151">
            <v>-12.028</v>
          </cell>
          <cell r="AX151">
            <v>-12.263999999999999</v>
          </cell>
          <cell r="AY151">
            <v>-11.962999999999999</v>
          </cell>
          <cell r="AZ151">
            <v>-9.8949999999999996</v>
          </cell>
          <cell r="BA151">
            <v>-8.9979999999999993</v>
          </cell>
          <cell r="BB151">
            <v>-9.827</v>
          </cell>
          <cell r="BC151">
            <v>-7.5869999999999997</v>
          </cell>
          <cell r="BD151">
            <v>-13.585000000000001</v>
          </cell>
          <cell r="BE151">
            <v>-18.841000000000001</v>
          </cell>
          <cell r="BF151">
            <v>-35.378999999999998</v>
          </cell>
          <cell r="BG151">
            <v>-37.420999999999999</v>
          </cell>
          <cell r="BH151">
            <v>-29.843</v>
          </cell>
          <cell r="BI151">
            <v>-30.47</v>
          </cell>
          <cell r="BJ151">
            <v>-32.686999999999998</v>
          </cell>
          <cell r="BK151">
            <v>-32.686999999999998</v>
          </cell>
          <cell r="BL151">
            <v>-32.686999999999998</v>
          </cell>
          <cell r="BM151">
            <v>-32.686999999999998</v>
          </cell>
          <cell r="BN151">
            <v>-32.686999999999998</v>
          </cell>
          <cell r="BO151">
            <v>-32.686999999999998</v>
          </cell>
          <cell r="BP151">
            <v>-32.686999999999998</v>
          </cell>
          <cell r="BQ151">
            <v>-32.686999999999998</v>
          </cell>
          <cell r="BR151">
            <v>-32.686999999999998</v>
          </cell>
          <cell r="BS151">
            <v>-32.686999999999998</v>
          </cell>
        </row>
        <row r="152">
          <cell r="A152" t="str">
            <v>Straight Line Expense</v>
          </cell>
          <cell r="I152">
            <v>27.618000000000002</v>
          </cell>
          <cell r="J152">
            <v>26.591000000000001</v>
          </cell>
          <cell r="K152">
            <v>22.268000000000001</v>
          </cell>
          <cell r="L152">
            <v>30.994</v>
          </cell>
          <cell r="M152">
            <v>31.475999999999999</v>
          </cell>
          <cell r="N152">
            <v>31.475999999999999</v>
          </cell>
          <cell r="O152">
            <v>31.475999999999999</v>
          </cell>
          <cell r="P152">
            <v>31.475999999999999</v>
          </cell>
          <cell r="Q152">
            <v>31.475999999999999</v>
          </cell>
          <cell r="R152">
            <v>31.475999999999999</v>
          </cell>
          <cell r="S152">
            <v>31.475999999999999</v>
          </cell>
          <cell r="T152">
            <v>31.475999999999999</v>
          </cell>
          <cell r="U152">
            <v>31.475999999999999</v>
          </cell>
          <cell r="V152">
            <v>31.475999999999999</v>
          </cell>
          <cell r="AT152">
            <v>6.258</v>
          </cell>
          <cell r="AU152">
            <v>7.1219999999999999</v>
          </cell>
          <cell r="AV152">
            <v>6.66</v>
          </cell>
          <cell r="AW152">
            <v>7.6260000000000003</v>
          </cell>
          <cell r="AX152">
            <v>7.4690000000000003</v>
          </cell>
          <cell r="AY152">
            <v>5.8630000000000004</v>
          </cell>
          <cell r="AZ152">
            <v>7.1779999999999999</v>
          </cell>
          <cell r="BA152">
            <v>6.3810000000000002</v>
          </cell>
          <cell r="BB152">
            <v>6.8319999999999999</v>
          </cell>
          <cell r="BC152">
            <v>6.2</v>
          </cell>
          <cell r="BD152">
            <v>7.1550000000000002</v>
          </cell>
          <cell r="BE152">
            <v>5.9960000000000004</v>
          </cell>
          <cell r="BF152">
            <v>5.25</v>
          </cell>
          <cell r="BG152">
            <v>3.867</v>
          </cell>
          <cell r="BH152">
            <v>7.1390000000000002</v>
          </cell>
          <cell r="BI152">
            <v>8.1170000000000009</v>
          </cell>
          <cell r="BJ152">
            <v>7.8689999999999998</v>
          </cell>
          <cell r="BK152">
            <v>7.8689999999999998</v>
          </cell>
          <cell r="BL152">
            <v>7.8689999999999998</v>
          </cell>
          <cell r="BM152">
            <v>7.8689999999999998</v>
          </cell>
          <cell r="BN152">
            <v>7.8689999999999998</v>
          </cell>
          <cell r="BO152">
            <v>7.8689999999999998</v>
          </cell>
          <cell r="BP152">
            <v>7.8689999999999998</v>
          </cell>
          <cell r="BQ152">
            <v>7.8689999999999998</v>
          </cell>
          <cell r="BR152">
            <v>7.8689999999999998</v>
          </cell>
          <cell r="BS152">
            <v>7.8689999999999998</v>
          </cell>
        </row>
        <row r="153">
          <cell r="A153" t="str">
            <v>Redevelopment Capex</v>
          </cell>
          <cell r="I153">
            <v>-72.933000000000007</v>
          </cell>
          <cell r="J153">
            <v>-30.701999999999998</v>
          </cell>
          <cell r="K153">
            <v>-25.785</v>
          </cell>
          <cell r="L153">
            <v>-55.280999999999999</v>
          </cell>
          <cell r="M153">
            <v>-50</v>
          </cell>
          <cell r="N153">
            <v>-52</v>
          </cell>
          <cell r="O153">
            <v>-52</v>
          </cell>
          <cell r="P153">
            <v>-52</v>
          </cell>
          <cell r="Q153">
            <v>-52</v>
          </cell>
          <cell r="R153">
            <v>0</v>
          </cell>
          <cell r="S153">
            <v>0</v>
          </cell>
          <cell r="T153">
            <v>0</v>
          </cell>
          <cell r="U153">
            <v>0</v>
          </cell>
          <cell r="V153">
            <v>-7.8210000000000015</v>
          </cell>
          <cell r="AT153">
            <v>-8.7040000000000006</v>
          </cell>
          <cell r="AU153">
            <v>-11.420999999999999</v>
          </cell>
          <cell r="AV153">
            <v>-21.427</v>
          </cell>
          <cell r="AW153">
            <v>-18.77</v>
          </cell>
          <cell r="AX153">
            <v>-16.856000000000002</v>
          </cell>
          <cell r="AY153">
            <v>-15.88</v>
          </cell>
          <cell r="AZ153">
            <v>-10.055999999999999</v>
          </cell>
          <cell r="BA153">
            <v>-8.94</v>
          </cell>
          <cell r="BB153">
            <v>-6.0350000000000001</v>
          </cell>
          <cell r="BC153">
            <v>-5.6710000000000003</v>
          </cell>
          <cell r="BD153">
            <v>-5.6580000000000004</v>
          </cell>
          <cell r="BE153">
            <v>-5.1580000000000004</v>
          </cell>
          <cell r="BF153">
            <v>-5.7690000000000001</v>
          </cell>
          <cell r="BG153">
            <v>-9.1999999999999993</v>
          </cell>
          <cell r="BH153">
            <v>-7.7050000000000001</v>
          </cell>
          <cell r="BI153">
            <v>-15.164</v>
          </cell>
          <cell r="BJ153">
            <v>-14.412000000000001</v>
          </cell>
          <cell r="BK153">
            <v>-18</v>
          </cell>
          <cell r="BL153">
            <v>-12.5</v>
          </cell>
          <cell r="BM153">
            <v>-12.5</v>
          </cell>
          <cell r="BN153">
            <v>-12.5</v>
          </cell>
          <cell r="BO153">
            <v>-12.5</v>
          </cell>
          <cell r="BP153">
            <v>-13</v>
          </cell>
          <cell r="BQ153">
            <v>-13</v>
          </cell>
          <cell r="BR153">
            <v>-13</v>
          </cell>
          <cell r="BS153">
            <v>-13</v>
          </cell>
        </row>
        <row r="154">
          <cell r="A154" t="str">
            <v>Capital Improvement Capex</v>
          </cell>
          <cell r="I154">
            <v>-32.545999999999999</v>
          </cell>
          <cell r="J154">
            <v>-32.542000000000002</v>
          </cell>
          <cell r="K154">
            <v>-31.405000000000001</v>
          </cell>
          <cell r="L154">
            <v>-61.115000000000002</v>
          </cell>
          <cell r="M154">
            <v>-44</v>
          </cell>
          <cell r="N154">
            <v>-44</v>
          </cell>
          <cell r="O154">
            <v>-44</v>
          </cell>
          <cell r="P154">
            <v>-44</v>
          </cell>
          <cell r="Q154">
            <v>-44</v>
          </cell>
          <cell r="R154">
            <v>0</v>
          </cell>
          <cell r="S154">
            <v>0</v>
          </cell>
          <cell r="T154">
            <v>0</v>
          </cell>
          <cell r="U154">
            <v>0</v>
          </cell>
          <cell r="V154">
            <v>-2</v>
          </cell>
          <cell r="AT154">
            <v>-7.7910000000000004</v>
          </cell>
          <cell r="AU154">
            <v>-8.8629999999999995</v>
          </cell>
          <cell r="AV154">
            <v>-6.48</v>
          </cell>
          <cell r="AW154">
            <v>-8.3870000000000005</v>
          </cell>
          <cell r="AX154">
            <v>-9.0869999999999997</v>
          </cell>
          <cell r="AY154">
            <v>-8.5920000000000005</v>
          </cell>
          <cell r="AZ154">
            <v>-6.4089999999999998</v>
          </cell>
          <cell r="BA154">
            <v>-9.1379999999999999</v>
          </cell>
          <cell r="BB154">
            <v>-8.2119999999999997</v>
          </cell>
          <cell r="BC154">
            <v>-8.7829999999999995</v>
          </cell>
          <cell r="BD154">
            <v>-6.8490000000000002</v>
          </cell>
          <cell r="BE154">
            <v>-5.0259999999999998</v>
          </cell>
          <cell r="BF154">
            <v>-9.2149999999999999</v>
          </cell>
          <cell r="BG154">
            <v>-10.315</v>
          </cell>
          <cell r="BH154">
            <v>-10.156000000000001</v>
          </cell>
          <cell r="BI154">
            <v>-14.208</v>
          </cell>
          <cell r="BJ154">
            <v>-19.751000000000001</v>
          </cell>
          <cell r="BK154">
            <v>-17</v>
          </cell>
          <cell r="BL154">
            <v>-11</v>
          </cell>
          <cell r="BM154">
            <v>-11</v>
          </cell>
          <cell r="BN154">
            <v>-11</v>
          </cell>
          <cell r="BO154">
            <v>-11</v>
          </cell>
          <cell r="BP154">
            <v>-11</v>
          </cell>
          <cell r="BQ154">
            <v>-11</v>
          </cell>
          <cell r="BR154">
            <v>-11</v>
          </cell>
          <cell r="BS154">
            <v>-11</v>
          </cell>
        </row>
        <row r="155">
          <cell r="A155" t="str">
            <v>Corporate Capex</v>
          </cell>
          <cell r="I155">
            <v>-5.5739999999999998</v>
          </cell>
          <cell r="J155">
            <v>-8.0890000000000004</v>
          </cell>
          <cell r="K155">
            <v>-11.603300000000001</v>
          </cell>
          <cell r="L155">
            <v>-16.503</v>
          </cell>
          <cell r="M155">
            <v>-10</v>
          </cell>
          <cell r="N155">
            <v>-10</v>
          </cell>
          <cell r="O155">
            <v>-10</v>
          </cell>
          <cell r="P155">
            <v>-10</v>
          </cell>
          <cell r="Q155">
            <v>-10</v>
          </cell>
          <cell r="R155">
            <v>0</v>
          </cell>
          <cell r="S155">
            <v>0</v>
          </cell>
          <cell r="T155">
            <v>0</v>
          </cell>
          <cell r="U155">
            <v>0</v>
          </cell>
          <cell r="V155">
            <v>-4</v>
          </cell>
          <cell r="AT155">
            <v>-3.71</v>
          </cell>
          <cell r="AU155">
            <v>-2.9820000000000002</v>
          </cell>
          <cell r="AV155">
            <v>-1.4730000000000001</v>
          </cell>
          <cell r="AW155">
            <v>-1.4259999999999999</v>
          </cell>
          <cell r="AX155">
            <v>-1.397</v>
          </cell>
          <cell r="AY155">
            <v>-1.278</v>
          </cell>
          <cell r="AZ155">
            <v>-0.84199999999999997</v>
          </cell>
          <cell r="BA155">
            <v>-1.853</v>
          </cell>
          <cell r="BB155">
            <v>-3.762</v>
          </cell>
          <cell r="BC155">
            <v>-1.6319999999999999</v>
          </cell>
          <cell r="BD155">
            <v>-1.603</v>
          </cell>
          <cell r="BE155">
            <v>-2.7532999999999999</v>
          </cell>
          <cell r="BF155">
            <v>-3.4049999999999998</v>
          </cell>
          <cell r="BG155">
            <v>-3.8420000000000001</v>
          </cell>
          <cell r="BH155">
            <v>-2.681</v>
          </cell>
          <cell r="BI155">
            <v>-6.0780000000000003</v>
          </cell>
          <cell r="BJ155">
            <v>-4.7439999999999998</v>
          </cell>
          <cell r="BK155">
            <v>-3</v>
          </cell>
          <cell r="BL155">
            <v>-2.5</v>
          </cell>
          <cell r="BM155">
            <v>-2.5</v>
          </cell>
          <cell r="BN155">
            <v>-2.5</v>
          </cell>
          <cell r="BO155">
            <v>-2.5</v>
          </cell>
          <cell r="BP155">
            <v>-2.5</v>
          </cell>
          <cell r="BQ155">
            <v>-2.5</v>
          </cell>
          <cell r="BR155">
            <v>-2.5</v>
          </cell>
          <cell r="BS155">
            <v>-2.5</v>
          </cell>
        </row>
        <row r="156">
          <cell r="I156" t="str">
            <v xml:space="preserve">______ </v>
          </cell>
          <cell r="J156" t="str">
            <v xml:space="preserve">______ </v>
          </cell>
          <cell r="K156" t="str">
            <v xml:space="preserve">______ </v>
          </cell>
          <cell r="L156" t="str">
            <v xml:space="preserve">______ </v>
          </cell>
          <cell r="M156" t="str">
            <v xml:space="preserve">______ </v>
          </cell>
          <cell r="N156" t="str">
            <v xml:space="preserve">______ </v>
          </cell>
          <cell r="O156" t="str">
            <v xml:space="preserve">______ </v>
          </cell>
          <cell r="P156" t="str">
            <v xml:space="preserve">______ </v>
          </cell>
          <cell r="Q156" t="str">
            <v xml:space="preserve">______ </v>
          </cell>
          <cell r="R156" t="str">
            <v xml:space="preserve">______ </v>
          </cell>
          <cell r="S156" t="str">
            <v xml:space="preserve">______ </v>
          </cell>
          <cell r="T156" t="str">
            <v xml:space="preserve">______ </v>
          </cell>
          <cell r="U156" t="str">
            <v xml:space="preserve">______ </v>
          </cell>
          <cell r="V156" t="str">
            <v xml:space="preserve">______ </v>
          </cell>
          <cell r="AT156" t="str">
            <v xml:space="preserve">______ </v>
          </cell>
          <cell r="AU156" t="str">
            <v xml:space="preserve">______ </v>
          </cell>
          <cell r="AV156" t="str">
            <v xml:space="preserve">______ </v>
          </cell>
          <cell r="AW156" t="str">
            <v xml:space="preserve">______ </v>
          </cell>
          <cell r="AX156" t="str">
            <v xml:space="preserve">______ </v>
          </cell>
          <cell r="AY156" t="str">
            <v xml:space="preserve">______ </v>
          </cell>
          <cell r="AZ156" t="str">
            <v xml:space="preserve">______ </v>
          </cell>
          <cell r="BA156" t="str">
            <v xml:space="preserve">______ </v>
          </cell>
          <cell r="BB156" t="str">
            <v xml:space="preserve">______ </v>
          </cell>
          <cell r="BC156" t="str">
            <v xml:space="preserve">______ </v>
          </cell>
          <cell r="BD156" t="str">
            <v xml:space="preserve">______ </v>
          </cell>
          <cell r="BE156" t="str">
            <v xml:space="preserve">______ </v>
          </cell>
          <cell r="BF156" t="str">
            <v xml:space="preserve">______ </v>
          </cell>
          <cell r="BG156" t="str">
            <v xml:space="preserve">______ </v>
          </cell>
          <cell r="BH156" t="str">
            <v xml:space="preserve">______ </v>
          </cell>
          <cell r="BI156" t="str">
            <v xml:space="preserve">______ </v>
          </cell>
          <cell r="BJ156" t="str">
            <v xml:space="preserve">______ </v>
          </cell>
          <cell r="BK156" t="str">
            <v xml:space="preserve">______ </v>
          </cell>
          <cell r="BL156" t="str">
            <v xml:space="preserve">______ </v>
          </cell>
          <cell r="BM156" t="str">
            <v xml:space="preserve">______ </v>
          </cell>
          <cell r="BN156" t="str">
            <v xml:space="preserve">______ </v>
          </cell>
          <cell r="BO156" t="str">
            <v xml:space="preserve">______ </v>
          </cell>
          <cell r="BP156" t="str">
            <v xml:space="preserve">______ </v>
          </cell>
          <cell r="BQ156" t="str">
            <v xml:space="preserve">______ </v>
          </cell>
          <cell r="BR156" t="str">
            <v xml:space="preserve">______ </v>
          </cell>
          <cell r="BS156" t="str">
            <v xml:space="preserve">______ </v>
          </cell>
        </row>
        <row r="157">
          <cell r="A157" t="str">
            <v>Recuring Free Cash Flow</v>
          </cell>
          <cell r="I157">
            <v>673.29800000000034</v>
          </cell>
          <cell r="J157">
            <v>811.58099999999979</v>
          </cell>
          <cell r="K157">
            <v>918.62169999999992</v>
          </cell>
          <cell r="L157">
            <v>988.26969270210168</v>
          </cell>
          <cell r="M157">
            <v>1356.5941910480446</v>
          </cell>
          <cell r="N157">
            <v>1586.753135003738</v>
          </cell>
          <cell r="O157">
            <v>1681.0121086533677</v>
          </cell>
          <cell r="P157">
            <v>1779.0166886100369</v>
          </cell>
          <cell r="Q157">
            <v>1870.6684127038907</v>
          </cell>
          <cell r="R157">
            <v>2058.9965819506924</v>
          </cell>
          <cell r="S157">
            <v>2131.3440776817711</v>
          </cell>
          <cell r="T157">
            <v>2193.4128513189999</v>
          </cell>
          <cell r="U157">
            <v>2243.4615146440601</v>
          </cell>
          <cell r="V157">
            <v>2269.1972607003836</v>
          </cell>
          <cell r="AT157">
            <v>156.06399999999999</v>
          </cell>
          <cell r="AU157">
            <v>140.47100000000003</v>
          </cell>
          <cell r="AV157">
            <v>149.41800000000003</v>
          </cell>
          <cell r="AW157">
            <v>167.65100000000004</v>
          </cell>
          <cell r="AX157">
            <v>177.22700000000006</v>
          </cell>
          <cell r="AY157">
            <v>179.00200000000001</v>
          </cell>
          <cell r="AZ157">
            <v>192.59200000000001</v>
          </cell>
          <cell r="BA157">
            <v>191.12299999999996</v>
          </cell>
          <cell r="BB157">
            <v>206.0269999999999</v>
          </cell>
          <cell r="BC157">
            <v>221.83900000000003</v>
          </cell>
          <cell r="BD157">
            <v>225.14800000000002</v>
          </cell>
          <cell r="BE157">
            <v>236.4487</v>
          </cell>
          <cell r="BF157">
            <v>228.85999999999999</v>
          </cell>
          <cell r="BG157">
            <v>228.16500000000013</v>
          </cell>
          <cell r="BH157">
            <v>248.24599999999995</v>
          </cell>
          <cell r="BI157">
            <v>244.69200000000001</v>
          </cell>
          <cell r="BJ157">
            <v>238.6570000000001</v>
          </cell>
          <cell r="BK157">
            <v>256.67469270210108</v>
          </cell>
          <cell r="BL157">
            <v>297.57838773165258</v>
          </cell>
          <cell r="BM157">
            <v>332.86742841719808</v>
          </cell>
          <cell r="BN157">
            <v>354.72098981321392</v>
          </cell>
          <cell r="BO157">
            <v>371.42738508597984</v>
          </cell>
          <cell r="BP157">
            <v>373.50506029189842</v>
          </cell>
          <cell r="BQ157">
            <v>391.27856007331854</v>
          </cell>
          <cell r="BR157">
            <v>405.9890864797211</v>
          </cell>
          <cell r="BS157">
            <v>415.9804281587999</v>
          </cell>
        </row>
        <row r="158">
          <cell r="A158" t="str">
            <v>Y/Y Growth</v>
          </cell>
          <cell r="J158">
            <v>0.20538156952790509</v>
          </cell>
          <cell r="K158">
            <v>0.13189157952194552</v>
          </cell>
          <cell r="L158">
            <v>7.5817926685274095E-2</v>
          </cell>
          <cell r="M158">
            <v>0.37269634095413728</v>
          </cell>
          <cell r="N158">
            <v>0.16965939075552328</v>
          </cell>
          <cell r="O158">
            <v>5.940367885229203E-2</v>
          </cell>
          <cell r="P158">
            <v>5.8300936353860688E-2</v>
          </cell>
          <cell r="Q158">
            <v>5.151819242654887E-2</v>
          </cell>
          <cell r="R158">
            <v>0.10067426592967887</v>
          </cell>
          <cell r="S158">
            <v>3.5137258781914316E-2</v>
          </cell>
          <cell r="T158">
            <v>2.912189274701249E-2</v>
          </cell>
          <cell r="U158">
            <v>2.2817712267420909E-2</v>
          </cell>
          <cell r="V158">
            <v>1.1471445303757211E-2</v>
          </cell>
          <cell r="AX158">
            <v>0.13560462374410531</v>
          </cell>
          <cell r="AY158">
            <v>0.27429860967744202</v>
          </cell>
          <cell r="AZ158">
            <v>0.28894778406885369</v>
          </cell>
          <cell r="BA158">
            <v>0.14000512970396795</v>
          </cell>
          <cell r="BB158">
            <v>0.16250345601968008</v>
          </cell>
          <cell r="BC158">
            <v>0.23931017530530396</v>
          </cell>
          <cell r="BD158">
            <v>0.16904128935781348</v>
          </cell>
          <cell r="BE158">
            <v>0.23715460724245663</v>
          </cell>
          <cell r="BF158">
            <v>0.11082528018172422</v>
          </cell>
          <cell r="BG158">
            <v>2.8516176145763739E-2</v>
          </cell>
          <cell r="BH158">
            <v>0.10259029616074722</v>
          </cell>
          <cell r="BI158">
            <v>3.4862953359439119E-2</v>
          </cell>
          <cell r="BJ158">
            <v>4.2807830114480971E-2</v>
          </cell>
          <cell r="BK158">
            <v>0.12495208599960961</v>
          </cell>
          <cell r="BL158">
            <v>0.19872379708697285</v>
          </cell>
          <cell r="BM158">
            <v>0.36035272267666318</v>
          </cell>
          <cell r="BN158">
            <v>0.48632133066791994</v>
          </cell>
          <cell r="BO158">
            <v>0.44707443174797823</v>
          </cell>
          <cell r="BP158">
            <v>0.25514847747852665</v>
          </cell>
          <cell r="BQ158">
            <v>0.17547866408518376</v>
          </cell>
          <cell r="BR158">
            <v>0.1445307668246627</v>
          </cell>
          <cell r="BS158">
            <v>0.11995088370370621</v>
          </cell>
        </row>
        <row r="160">
          <cell r="A160" t="str">
            <v>Recuring Free Cash Flow Per Share</v>
          </cell>
          <cell r="I160">
            <v>1.6139249078036972</v>
          </cell>
          <cell r="J160">
            <v>1.9934124478209125</v>
          </cell>
          <cell r="K160">
            <v>2.2715796514693762</v>
          </cell>
          <cell r="L160">
            <v>2.4853981920304</v>
          </cell>
          <cell r="M160">
            <v>3.4504611781381507</v>
          </cell>
          <cell r="N160">
            <v>4.0315122407137833</v>
          </cell>
          <cell r="O160">
            <v>4.2427110916387596</v>
          </cell>
          <cell r="P160">
            <v>4.4887540290428145</v>
          </cell>
          <cell r="Q160">
            <v>4.7193761802377248</v>
          </cell>
          <cell r="R160">
            <v>5.1941781284946122</v>
          </cell>
          <cell r="S160">
            <v>5.3770636750425576</v>
          </cell>
          <cell r="T160">
            <v>5.5351717296027605</v>
          </cell>
          <cell r="U160">
            <v>5.6639406361350479</v>
          </cell>
          <cell r="V160">
            <v>5.7321473768718132</v>
          </cell>
          <cell r="AT160">
            <v>0.37334813354640534</v>
          </cell>
          <cell r="AU160">
            <v>0.33694171264092115</v>
          </cell>
          <cell r="AV160">
            <v>0.35438852811285948</v>
          </cell>
          <cell r="AW160">
            <v>0.397638140777056</v>
          </cell>
          <cell r="AX160">
            <v>0.42547312269380461</v>
          </cell>
          <cell r="AY160">
            <v>0.43771977444234145</v>
          </cell>
          <cell r="AZ160">
            <v>0.47175015309246787</v>
          </cell>
          <cell r="BA160">
            <v>0.46748542188478387</v>
          </cell>
          <cell r="BB160">
            <v>0.50779586323842552</v>
          </cell>
          <cell r="BC160">
            <v>0.54678395725088491</v>
          </cell>
          <cell r="BD160">
            <v>0.55444247438928296</v>
          </cell>
          <cell r="BE160">
            <v>0.58378935569250223</v>
          </cell>
          <cell r="BF160">
            <v>0.56725037488691421</v>
          </cell>
          <cell r="BG160">
            <v>0.5661213005418928</v>
          </cell>
          <cell r="BH160">
            <v>0.61768255208398115</v>
          </cell>
          <cell r="BI160">
            <v>0.61134790755777646</v>
          </cell>
          <cell r="BJ160">
            <v>0.60391514817185987</v>
          </cell>
          <cell r="BK160">
            <v>0.65280182028804334</v>
          </cell>
          <cell r="BL160">
            <v>0.7572444042371379</v>
          </cell>
          <cell r="BM160">
            <v>0.8467447069141889</v>
          </cell>
          <cell r="BN160">
            <v>0.90206470224098712</v>
          </cell>
          <cell r="BO160">
            <v>0.94431331147071285</v>
          </cell>
          <cell r="BP160">
            <v>0.94934266347307716</v>
          </cell>
          <cell r="BQ160">
            <v>0.99423408170864946</v>
          </cell>
          <cell r="BR160">
            <v>1.0313624102937806</v>
          </cell>
          <cell r="BS160">
            <v>1.0565289235696782</v>
          </cell>
        </row>
        <row r="161">
          <cell r="A161" t="str">
            <v>Y/Y Growth</v>
          </cell>
          <cell r="J161">
            <v>0.23513333128592651</v>
          </cell>
          <cell r="K161">
            <v>0.13954322596537438</v>
          </cell>
          <cell r="L161">
            <v>9.4127687938529769E-2</v>
          </cell>
          <cell r="M161">
            <v>0.38829310699681496</v>
          </cell>
          <cell r="N161">
            <v>0.16839808726355954</v>
          </cell>
          <cell r="O161">
            <v>5.2387004755213962E-2</v>
          </cell>
          <cell r="P161">
            <v>5.7991914153414648E-2</v>
          </cell>
          <cell r="Q161">
            <v>5.1377765344849724E-2</v>
          </cell>
          <cell r="R161">
            <v>0.10060692984066599</v>
          </cell>
          <cell r="S161">
            <v>3.5209717884848502E-2</v>
          </cell>
          <cell r="T161">
            <v>2.9404162590459082E-2</v>
          </cell>
          <cell r="U161">
            <v>2.3263759973988885E-2</v>
          </cell>
          <cell r="V161">
            <v>1.2042276767806781E-2</v>
          </cell>
          <cell r="AX161">
            <v>0.13961497182875404</v>
          </cell>
          <cell r="AY161">
            <v>0.29909642534766689</v>
          </cell>
          <cell r="AZ161">
            <v>0.33116654651482702</v>
          </cell>
          <cell r="BA161">
            <v>0.17565538600304742</v>
          </cell>
          <cell r="BB161">
            <v>0.19348517251432873</v>
          </cell>
          <cell r="BC161">
            <v>0.24916439506872212</v>
          </cell>
          <cell r="BD161">
            <v>0.17528838253626722</v>
          </cell>
          <cell r="BE161">
            <v>0.24878622597216005</v>
          </cell>
          <cell r="BF161">
            <v>0.11708348955291314</v>
          </cell>
          <cell r="BG161">
            <v>3.5365601046950967E-2</v>
          </cell>
          <cell r="BH161">
            <v>0.11406066565220674</v>
          </cell>
          <cell r="BI161">
            <v>4.7206328098571948E-2</v>
          </cell>
          <cell r="BJ161">
            <v>6.4635961311184875E-2</v>
          </cell>
          <cell r="BK161">
            <v>0.15311298066894796</v>
          </cell>
          <cell r="BL161">
            <v>0.22594430048621761</v>
          </cell>
          <cell r="BM161">
            <v>0.3850455631667733</v>
          </cell>
          <cell r="BN161">
            <v>0.49369444527376061</v>
          </cell>
          <cell r="BO161">
            <v>0.44655434792452398</v>
          </cell>
          <cell r="BP161">
            <v>0.25368065866325229</v>
          </cell>
          <cell r="BQ161">
            <v>0.17418399381787619</v>
          </cell>
          <cell r="BR161">
            <v>0.14333529261435562</v>
          </cell>
          <cell r="BS161">
            <v>0.11883303002919243</v>
          </cell>
        </row>
        <row r="164">
          <cell r="D164" t="str">
            <v>2003-FY</v>
          </cell>
          <cell r="E164" t="str">
            <v>2004-FY</v>
          </cell>
          <cell r="F164" t="str">
            <v>2005-FY</v>
          </cell>
          <cell r="G164" t="str">
            <v>2006-FY</v>
          </cell>
          <cell r="H164" t="str">
            <v>2007-FY</v>
          </cell>
          <cell r="I164" t="str">
            <v>2008-FY</v>
          </cell>
          <cell r="J164" t="str">
            <v>2009-FY</v>
          </cell>
          <cell r="K164" t="str">
            <v>2010-FY</v>
          </cell>
          <cell r="L164" t="str">
            <v>2011-FY</v>
          </cell>
          <cell r="M164" t="str">
            <v>2012-FY</v>
          </cell>
          <cell r="N164" t="str">
            <v>2013-FY</v>
          </cell>
          <cell r="O164" t="str">
            <v>2014-FY</v>
          </cell>
          <cell r="P164" t="str">
            <v>2015-FY</v>
          </cell>
          <cell r="Q164" t="str">
            <v>2016-FY</v>
          </cell>
          <cell r="R164" t="str">
            <v>2017-FY</v>
          </cell>
          <cell r="S164" t="str">
            <v>2018-FY</v>
          </cell>
          <cell r="T164" t="str">
            <v>2019-FY</v>
          </cell>
          <cell r="U164" t="str">
            <v>2020-FY</v>
          </cell>
          <cell r="V164" t="str">
            <v>2021-FY</v>
          </cell>
          <cell r="AB164" t="str">
            <v>2003-Q1</v>
          </cell>
          <cell r="AC164" t="str">
            <v>2003-Q2</v>
          </cell>
          <cell r="AD164" t="str">
            <v>2003-Q3</v>
          </cell>
          <cell r="AE164" t="str">
            <v>2003-Q4</v>
          </cell>
          <cell r="AF164" t="str">
            <v>2004-Q1</v>
          </cell>
          <cell r="AG164" t="str">
            <v>2004-Q2</v>
          </cell>
          <cell r="AH164" t="str">
            <v>2004-Q3</v>
          </cell>
          <cell r="AI164" t="str">
            <v>2004-Q4</v>
          </cell>
          <cell r="AJ164" t="str">
            <v>2005-Q1</v>
          </cell>
          <cell r="AK164" t="str">
            <v>2005-Q2</v>
          </cell>
          <cell r="AL164" t="str">
            <v>2005-Q3</v>
          </cell>
          <cell r="AM164" t="str">
            <v>2005-Q4</v>
          </cell>
          <cell r="AN164" t="str">
            <v>2006-Q1</v>
          </cell>
          <cell r="AO164" t="str">
            <v>2006-Q2</v>
          </cell>
          <cell r="AP164" t="str">
            <v>2006-Q3</v>
          </cell>
          <cell r="AQ164" t="str">
            <v>2006-Q4</v>
          </cell>
          <cell r="AR164" t="str">
            <v>2007-Q1</v>
          </cell>
          <cell r="AS164" t="str">
            <v>2007-Q2</v>
          </cell>
          <cell r="AT164" t="str">
            <v>2007-Q3</v>
          </cell>
          <cell r="AU164" t="str">
            <v>2007-Q4</v>
          </cell>
          <cell r="AV164" t="str">
            <v>2008-Q1</v>
          </cell>
          <cell r="AW164" t="str">
            <v>2008-Q2</v>
          </cell>
          <cell r="AX164" t="str">
            <v>2008-Q3</v>
          </cell>
          <cell r="AY164" t="str">
            <v>2008-Q4</v>
          </cell>
          <cell r="AZ164" t="str">
            <v>2009-Q1</v>
          </cell>
          <cell r="BA164" t="str">
            <v>2009-Q2</v>
          </cell>
          <cell r="BB164" t="str">
            <v>2009-Q3</v>
          </cell>
          <cell r="BC164" t="str">
            <v>2009-Q4</v>
          </cell>
          <cell r="BD164" t="str">
            <v>2010-Q1</v>
          </cell>
          <cell r="BE164" t="str">
            <v>2010-Q2</v>
          </cell>
          <cell r="BF164" t="str">
            <v>2010-Q3</v>
          </cell>
          <cell r="BG164" t="str">
            <v>2010-Q4</v>
          </cell>
          <cell r="BH164" t="str">
            <v>2011-Q1</v>
          </cell>
          <cell r="BI164" t="str">
            <v>2011-Q2</v>
          </cell>
          <cell r="BJ164" t="str">
            <v>2011-Q3</v>
          </cell>
          <cell r="BK164" t="str">
            <v>2011-Q4</v>
          </cell>
          <cell r="BL164" t="str">
            <v>2012-Q1</v>
          </cell>
          <cell r="BM164" t="str">
            <v>2012-Q2</v>
          </cell>
          <cell r="BN164" t="str">
            <v>2012-Q3</v>
          </cell>
          <cell r="BO164" t="str">
            <v>2012-Q4</v>
          </cell>
          <cell r="BP164" t="str">
            <v>2013-Q1</v>
          </cell>
          <cell r="BQ164" t="str">
            <v>2013-Q2</v>
          </cell>
          <cell r="BR164" t="str">
            <v>2013-Q3</v>
          </cell>
          <cell r="BS164" t="str">
            <v>2013-Q4</v>
          </cell>
        </row>
      </sheetData>
      <sheetData sheetId="5" refreshError="1">
        <row r="2">
          <cell r="E2" t="str">
            <v>Mode:</v>
          </cell>
          <cell r="F2">
            <v>2</v>
          </cell>
        </row>
        <row r="3">
          <cell r="E3" t="str">
            <v>1 = Bull</v>
          </cell>
        </row>
        <row r="4">
          <cell r="E4" t="str">
            <v>2 = Base</v>
          </cell>
        </row>
        <row r="5">
          <cell r="E5" t="str">
            <v>3 = Bear</v>
          </cell>
        </row>
        <row r="6">
          <cell r="A6" t="str">
            <v>American Tower</v>
          </cell>
        </row>
        <row r="7">
          <cell r="A7" t="str">
            <v>Discounted Cash Flow Valuation</v>
          </cell>
        </row>
        <row r="8">
          <cell r="A8" t="str">
            <v>(All values in millions, except per-share amounts)</v>
          </cell>
        </row>
        <row r="9">
          <cell r="A9" t="str">
            <v>Terminal Growth Rate:</v>
          </cell>
          <cell r="B9">
            <v>3.5000000000000003E-2</v>
          </cell>
          <cell r="C9" t="str">
            <v>Disc. Rate:</v>
          </cell>
          <cell r="D9">
            <v>8.005000000000001E-2</v>
          </cell>
        </row>
        <row r="11">
          <cell r="A11" t="str">
            <v>Calendar Year Ending Dec. 31</v>
          </cell>
          <cell r="B11" t="str">
            <v>2010E</v>
          </cell>
          <cell r="C11" t="str">
            <v>2011E</v>
          </cell>
          <cell r="D11" t="str">
            <v>2012E</v>
          </cell>
          <cell r="E11" t="str">
            <v>2013E</v>
          </cell>
          <cell r="F11" t="str">
            <v>2014E</v>
          </cell>
          <cell r="G11" t="str">
            <v>2015E</v>
          </cell>
        </row>
        <row r="12">
          <cell r="A12" t="str">
            <v>Operating Cash Flow (EBITDA)</v>
          </cell>
          <cell r="B12">
            <v>1347.748</v>
          </cell>
          <cell r="C12">
            <v>1584.1703752296016</v>
          </cell>
          <cell r="D12">
            <v>1899.6846804226077</v>
          </cell>
          <cell r="E12">
            <v>2122.0781174777685</v>
          </cell>
          <cell r="F12">
            <v>2244.7461118657193</v>
          </cell>
          <cell r="G12">
            <v>2336.1055787614168</v>
          </cell>
        </row>
        <row r="13">
          <cell r="A13" t="str">
            <v>Tax Expense (38% of EBIT)</v>
          </cell>
          <cell r="B13">
            <v>-255.8073</v>
          </cell>
          <cell r="C13">
            <v>-288.05519714286049</v>
          </cell>
          <cell r="D13">
            <v>-433.68755547402435</v>
          </cell>
          <cell r="E13">
            <v>-505.88322907432331</v>
          </cell>
          <cell r="F13">
            <v>-558.7527033143956</v>
          </cell>
          <cell r="G13">
            <v>-591.01344531175027</v>
          </cell>
        </row>
        <row r="14">
          <cell r="A14" t="str">
            <v>Capital Expenditures and Acquisitions</v>
          </cell>
          <cell r="B14">
            <v>-1246.27</v>
          </cell>
          <cell r="C14">
            <v>-2716.8926528140773</v>
          </cell>
          <cell r="D14">
            <v>-828.46184825202045</v>
          </cell>
          <cell r="E14">
            <v>-449.81266773343339</v>
          </cell>
          <cell r="F14">
            <v>-422.2</v>
          </cell>
          <cell r="G14">
            <v>-432.5</v>
          </cell>
        </row>
        <row r="15">
          <cell r="A15" t="str">
            <v>Working Capital (1% of revenues)</v>
          </cell>
          <cell r="B15">
            <v>-19.853350000000002</v>
          </cell>
          <cell r="C15">
            <v>-24.424844406660487</v>
          </cell>
          <cell r="D15">
            <v>-29.114640299651196</v>
          </cell>
          <cell r="E15">
            <v>-32.276786398245726</v>
          </cell>
          <cell r="F15">
            <v>-33.885406501778917</v>
          </cell>
          <cell r="G15">
            <v>-35.267089335217506</v>
          </cell>
        </row>
        <row r="16">
          <cell r="B16" t="str">
            <v xml:space="preserve">_______ </v>
          </cell>
          <cell r="C16" t="str">
            <v xml:space="preserve">_______ </v>
          </cell>
          <cell r="D16" t="str">
            <v xml:space="preserve">_______ </v>
          </cell>
          <cell r="E16" t="str">
            <v xml:space="preserve">_______ </v>
          </cell>
          <cell r="F16" t="str">
            <v xml:space="preserve">_______ </v>
          </cell>
          <cell r="G16" t="str">
            <v xml:space="preserve">_______ </v>
          </cell>
        </row>
        <row r="17">
          <cell r="A17" t="str">
            <v>Unleveraged Free Cash Flow</v>
          </cell>
          <cell r="B17">
            <v>-174.18264999999988</v>
          </cell>
          <cell r="C17">
            <v>-1445.2023191339965</v>
          </cell>
          <cell r="D17">
            <v>608.42063639691173</v>
          </cell>
          <cell r="E17">
            <v>1134.1054342717662</v>
          </cell>
          <cell r="F17">
            <v>1229.9080020495446</v>
          </cell>
          <cell r="G17">
            <v>1277.3250441144492</v>
          </cell>
        </row>
        <row r="18">
          <cell r="A18" t="str">
            <v xml:space="preserve">  Year-over-Year Growth</v>
          </cell>
          <cell r="C18">
            <v>7.2970509355208311</v>
          </cell>
          <cell r="D18">
            <v>-1.4209933988768393</v>
          </cell>
          <cell r="E18">
            <v>0.86401539728826116</v>
          </cell>
          <cell r="F18">
            <v>8.4474128138972704E-2</v>
          </cell>
          <cell r="G18">
            <v>3.8553324302214254E-2</v>
          </cell>
        </row>
        <row r="20">
          <cell r="A20" t="str">
            <v>Discount Period</v>
          </cell>
          <cell r="B20">
            <v>0</v>
          </cell>
          <cell r="C20">
            <v>0.25</v>
          </cell>
          <cell r="D20">
            <v>1.25</v>
          </cell>
          <cell r="E20">
            <v>2.25</v>
          </cell>
          <cell r="F20">
            <v>3.25</v>
          </cell>
          <cell r="G20">
            <v>4.25</v>
          </cell>
        </row>
        <row r="21">
          <cell r="A21" t="str">
            <v>Discount Factor</v>
          </cell>
          <cell r="B21">
            <v>0</v>
          </cell>
          <cell r="C21">
            <v>0.98093229894158307</v>
          </cell>
          <cell r="D21">
            <v>0.90822859954778312</v>
          </cell>
          <cell r="E21">
            <v>0.84091347580925235</v>
          </cell>
          <cell r="F21">
            <v>0.77858754299268784</v>
          </cell>
          <cell r="G21">
            <v>0.72088101753871381</v>
          </cell>
        </row>
        <row r="22">
          <cell r="A22" t="str">
            <v xml:space="preserve">NPV of Future Cash Flows </v>
          </cell>
          <cell r="B22">
            <v>0</v>
          </cell>
          <cell r="C22">
            <v>-1417.6456333438186</v>
          </cell>
          <cell r="D22">
            <v>552.58502253073812</v>
          </cell>
          <cell r="E22">
            <v>953.68454266763251</v>
          </cell>
          <cell r="F22">
            <v>957.59104942280067</v>
          </cell>
          <cell r="G22">
            <v>920.79937752890658</v>
          </cell>
        </row>
        <row r="23">
          <cell r="A23" t="str">
            <v>Terminal Value</v>
          </cell>
          <cell r="G23">
            <v>29345.869492973467</v>
          </cell>
        </row>
        <row r="24">
          <cell r="A24" t="str">
            <v>NPV of Terminal Value</v>
          </cell>
          <cell r="G24">
            <v>21154.880260653012</v>
          </cell>
        </row>
        <row r="26">
          <cell r="A26" t="str">
            <v>12 Month Forward Target</v>
          </cell>
        </row>
        <row r="27">
          <cell r="A27" t="str">
            <v>Sum of NPV of Future Cash Flows</v>
          </cell>
          <cell r="B27">
            <v>1967.0143588062592</v>
          </cell>
          <cell r="D27" t="str">
            <v>WACC</v>
          </cell>
        </row>
        <row r="28">
          <cell r="A28" t="str">
            <v>NPV of Terminal Value</v>
          </cell>
          <cell r="B28">
            <v>21154.880260653012</v>
          </cell>
          <cell r="D28" t="str">
            <v>Cost of Debt</v>
          </cell>
          <cell r="E28">
            <v>4.2500000000000003E-2</v>
          </cell>
        </row>
        <row r="29">
          <cell r="A29" t="str">
            <v>Enterprise Value</v>
          </cell>
          <cell r="B29">
            <v>23121.894619459272</v>
          </cell>
          <cell r="D29" t="str">
            <v>Cost of Equity</v>
          </cell>
          <cell r="E29">
            <v>0.115</v>
          </cell>
        </row>
        <row r="30">
          <cell r="A30" t="str">
            <v>+ Projected Cash</v>
          </cell>
          <cell r="B30">
            <v>99.655808905667413</v>
          </cell>
          <cell r="D30" t="str">
            <v>Debt/Total Cap.</v>
          </cell>
          <cell r="E30">
            <v>0.4</v>
          </cell>
        </row>
        <row r="31">
          <cell r="A31" t="str">
            <v>- Projected Debt</v>
          </cell>
          <cell r="B31">
            <v>6752.3787507774987</v>
          </cell>
          <cell r="D31" t="str">
            <v>Tax Rate</v>
          </cell>
          <cell r="E31">
            <v>0.35</v>
          </cell>
        </row>
        <row r="32">
          <cell r="A32" t="str">
            <v>+ NPV of NOLs</v>
          </cell>
          <cell r="B32">
            <v>395.04894552788988</v>
          </cell>
          <cell r="D32" t="str">
            <v>WACC</v>
          </cell>
          <cell r="E32">
            <v>8.005000000000001E-2</v>
          </cell>
        </row>
        <row r="33">
          <cell r="A33" t="str">
            <v>Equity Value</v>
          </cell>
          <cell r="B33">
            <v>16864.220623115332</v>
          </cell>
        </row>
        <row r="34">
          <cell r="A34" t="str">
            <v>Value per Share</v>
          </cell>
          <cell r="B34">
            <v>42.411806975575281</v>
          </cell>
          <cell r="D34" t="str">
            <v>Terminal Growth Rate</v>
          </cell>
        </row>
        <row r="35">
          <cell r="A35" t="str">
            <v>Current Share Price</v>
          </cell>
          <cell r="B35" t="e">
            <v>#NAME?</v>
          </cell>
          <cell r="D35" t="str">
            <v>Bull</v>
          </cell>
          <cell r="E35">
            <v>3.7000000000000005E-2</v>
          </cell>
        </row>
        <row r="36">
          <cell r="A36" t="str">
            <v>Diluted Shares</v>
          </cell>
          <cell r="B36">
            <v>397.63032574460556</v>
          </cell>
          <cell r="D36" t="str">
            <v>Base</v>
          </cell>
          <cell r="E36">
            <v>3.5000000000000003E-2</v>
          </cell>
        </row>
        <row r="37">
          <cell r="D37" t="str">
            <v>Bear</v>
          </cell>
          <cell r="E37">
            <v>3.3000000000000002E-2</v>
          </cell>
        </row>
        <row r="39">
          <cell r="A39" t="str">
            <v>Multiples Analysis</v>
          </cell>
          <cell r="B39" t="str">
            <v>2009</v>
          </cell>
          <cell r="C39" t="str">
            <v>2010E</v>
          </cell>
          <cell r="D39" t="str">
            <v>2011E</v>
          </cell>
          <cell r="E39" t="str">
            <v>2012E</v>
          </cell>
          <cell r="F39" t="str">
            <v>2013E</v>
          </cell>
          <cell r="G39" t="str">
            <v>2014E</v>
          </cell>
          <cell r="H39" t="str">
            <v>2015E</v>
          </cell>
        </row>
        <row r="40">
          <cell r="A40" t="str">
            <v>Projected EBITDA</v>
          </cell>
          <cell r="B40">
            <v>1180.9250000000002</v>
          </cell>
          <cell r="C40">
            <v>1347.748</v>
          </cell>
          <cell r="D40">
            <v>1584.1703752296016</v>
          </cell>
          <cell r="E40">
            <v>1899.6846804226077</v>
          </cell>
          <cell r="F40">
            <v>2122.0781174777685</v>
          </cell>
          <cell r="G40">
            <v>2244.7461118657193</v>
          </cell>
          <cell r="H40">
            <v>2336.1055787614168</v>
          </cell>
          <cell r="I40">
            <v>2452.9108576994877</v>
          </cell>
          <cell r="J40">
            <v>2563.2918462959647</v>
          </cell>
          <cell r="K40">
            <v>2665.8235201478033</v>
          </cell>
        </row>
        <row r="41">
          <cell r="A41" t="str">
            <v xml:space="preserve">  Year-over-Year Growth</v>
          </cell>
          <cell r="C41">
            <v>0.14126468658043478</v>
          </cell>
          <cell r="D41">
            <v>0.17542031242457901</v>
          </cell>
          <cell r="E41">
            <v>0.19916690156971084</v>
          </cell>
          <cell r="F41">
            <v>0.11706860583077749</v>
          </cell>
          <cell r="G41">
            <v>5.7805597907842232E-2</v>
          </cell>
          <cell r="H41">
            <v>4.0699242739645092E-2</v>
          </cell>
          <cell r="I41">
            <v>0.05</v>
          </cell>
          <cell r="J41">
            <v>4.4999999999999998E-2</v>
          </cell>
          <cell r="K41">
            <v>0.04</v>
          </cell>
        </row>
        <row r="42">
          <cell r="A42" t="str">
            <v>1-yr Forward EBITDA Multiple</v>
          </cell>
          <cell r="B42">
            <v>17.155948010651301</v>
          </cell>
          <cell r="C42">
            <v>14.595585791148316</v>
          </cell>
          <cell r="D42">
            <v>12.171438164314473</v>
          </cell>
          <cell r="E42">
            <v>10.895873450191921</v>
          </cell>
          <cell r="F42">
            <v>10.300449791286875</v>
          </cell>
          <cell r="G42">
            <v>9.8976239899732192</v>
          </cell>
          <cell r="H42">
            <v>9.4263085618792566</v>
          </cell>
        </row>
        <row r="43">
          <cell r="A43" t="str">
            <v>EBITDA Multiple</v>
          </cell>
          <cell r="B43">
            <v>19.579477629366192</v>
          </cell>
          <cell r="C43">
            <v>17.155948010651301</v>
          </cell>
          <cell r="D43">
            <v>14.595585791148316</v>
          </cell>
          <cell r="E43">
            <v>12.171438164314473</v>
          </cell>
          <cell r="F43">
            <v>10.895873450191921</v>
          </cell>
          <cell r="G43">
            <v>10.300449791286875</v>
          </cell>
          <cell r="H43">
            <v>9.8976239899732192</v>
          </cell>
        </row>
        <row r="44">
          <cell r="A44" t="str">
            <v xml:space="preserve">   3-Year Forward Growth</v>
          </cell>
          <cell r="B44">
            <v>0.17170891587292036</v>
          </cell>
          <cell r="C44">
            <v>0.16336918728373018</v>
          </cell>
          <cell r="D44">
            <v>0.12319487586847311</v>
          </cell>
          <cell r="E44">
            <v>7.136383450717787E-2</v>
          </cell>
          <cell r="F44">
            <v>4.9478307414035028E-2</v>
          </cell>
          <cell r="G44">
            <v>4.5226172696424261E-2</v>
          </cell>
          <cell r="H44">
            <v>4.4992025457486706E-2</v>
          </cell>
        </row>
        <row r="46">
          <cell r="A46" t="str">
            <v>Projected EPS</v>
          </cell>
          <cell r="B46">
            <v>0.58690619615529671</v>
          </cell>
          <cell r="C46">
            <v>0.92378357693632085</v>
          </cell>
          <cell r="D46">
            <v>0.74577264527285414</v>
          </cell>
          <cell r="E46">
            <v>2.0515423137227429</v>
          </cell>
          <cell r="F46">
            <v>2.5341041746470681</v>
          </cell>
          <cell r="G46">
            <v>2.7907067766734275</v>
          </cell>
          <cell r="H46">
            <v>3.0101002061286266</v>
          </cell>
        </row>
        <row r="47">
          <cell r="A47" t="str">
            <v>Price-to-Earnings</v>
          </cell>
          <cell r="B47" t="e">
            <v>#NAME?</v>
          </cell>
          <cell r="C47" t="e">
            <v>#NAME?</v>
          </cell>
          <cell r="D47" t="e">
            <v>#NAME?</v>
          </cell>
          <cell r="E47" t="e">
            <v>#NAME?</v>
          </cell>
          <cell r="F47" t="e">
            <v>#NAME?</v>
          </cell>
          <cell r="G47" t="e">
            <v>#NAME?</v>
          </cell>
          <cell r="H47" t="e">
            <v>#NAME?</v>
          </cell>
        </row>
        <row r="49">
          <cell r="A49" t="str">
            <v>Free Cash Flow Excl. Acquis. / Builds</v>
          </cell>
          <cell r="B49">
            <v>851.99900000000002</v>
          </cell>
          <cell r="C49">
            <v>1027.3646999999999</v>
          </cell>
          <cell r="D49">
            <v>1138.243692702101</v>
          </cell>
          <cell r="E49">
            <v>1505.8661910480446</v>
          </cell>
          <cell r="F49">
            <v>1738.0251350037377</v>
          </cell>
          <cell r="G49">
            <v>1832.2841086533676</v>
          </cell>
          <cell r="H49">
            <v>1930.2886886100368</v>
          </cell>
          <cell r="I49">
            <v>2104.0146705849402</v>
          </cell>
          <cell r="J49">
            <v>2282.8559175846599</v>
          </cell>
          <cell r="K49">
            <v>2465.484390991433</v>
          </cell>
        </row>
        <row r="50">
          <cell r="A50" t="str">
            <v xml:space="preserve">  Year-over-Year Growth</v>
          </cell>
          <cell r="C50">
            <v>0.20582852796775564</v>
          </cell>
          <cell r="D50">
            <v>0.1079256399427595</v>
          </cell>
          <cell r="E50">
            <v>0.32297345524773924</v>
          </cell>
          <cell r="F50">
            <v>0.15416970334802205</v>
          </cell>
          <cell r="G50">
            <v>5.4233377729273835E-2</v>
          </cell>
          <cell r="H50">
            <v>5.3487654831377407E-2</v>
          </cell>
          <cell r="I50">
            <v>0.09</v>
          </cell>
          <cell r="J50">
            <v>8.5000000000000006E-2</v>
          </cell>
          <cell r="K50">
            <v>0.08</v>
          </cell>
        </row>
        <row r="51">
          <cell r="A51" t="str">
            <v>1-yr Forward FCF Multiple</v>
          </cell>
          <cell r="B51">
            <v>16.415028298242419</v>
          </cell>
          <cell r="C51">
            <v>14.816001820384349</v>
          </cell>
          <cell r="D51">
            <v>11.199016701064432</v>
          </cell>
          <cell r="E51">
            <v>9.703093633958904</v>
          </cell>
          <cell r="F51">
            <v>9.203933245652415</v>
          </cell>
          <cell r="G51">
            <v>8.7366313249542618</v>
          </cell>
          <cell r="H51">
            <v>8.0152580962883135</v>
          </cell>
        </row>
        <row r="52">
          <cell r="A52" t="str">
            <v>Free Cash Flow Multiple</v>
          </cell>
          <cell r="B52">
            <v>19.79370940941871</v>
          </cell>
          <cell r="C52">
            <v>16.415028298242419</v>
          </cell>
          <cell r="D52">
            <v>14.816001820384349</v>
          </cell>
          <cell r="E52">
            <v>11.199016701064432</v>
          </cell>
          <cell r="F52">
            <v>9.703093633958904</v>
          </cell>
          <cell r="G52">
            <v>9.203933245652415</v>
          </cell>
          <cell r="H52">
            <v>8.7366313249542618</v>
          </cell>
        </row>
        <row r="53">
          <cell r="A53" t="str">
            <v xml:space="preserve">   3-Year Forward Growth</v>
          </cell>
          <cell r="B53">
            <v>0.20906346845497437</v>
          </cell>
          <cell r="C53">
            <v>0.19154506187698206</v>
          </cell>
          <cell r="D53">
            <v>0.1719772665116841</v>
          </cell>
          <cell r="E53">
            <v>8.6288781144165272E-2</v>
          </cell>
          <cell r="F53">
            <v>6.5771829912251389E-2</v>
          </cell>
          <cell r="G53">
            <v>7.6040362939322703E-2</v>
          </cell>
          <cell r="H53">
            <v>8.4992319454079368E-2</v>
          </cell>
        </row>
        <row r="57">
          <cell r="A57" t="str">
            <v>NPV of NOL Usage</v>
          </cell>
          <cell r="B57" t="str">
            <v>2009E</v>
          </cell>
          <cell r="C57" t="str">
            <v>2010E</v>
          </cell>
          <cell r="D57" t="str">
            <v>2011E</v>
          </cell>
          <cell r="E57" t="str">
            <v>2012E</v>
          </cell>
          <cell r="F57" t="str">
            <v>2013E</v>
          </cell>
          <cell r="G57" t="str">
            <v>2014E</v>
          </cell>
          <cell r="H57" t="str">
            <v>2015E</v>
          </cell>
        </row>
        <row r="58">
          <cell r="A58" t="str">
            <v>NOL Usage</v>
          </cell>
          <cell r="C58">
            <v>43.361039999999981</v>
          </cell>
          <cell r="D58">
            <v>75.090659999999986</v>
          </cell>
          <cell r="E58">
            <v>117.8</v>
          </cell>
          <cell r="F58">
            <v>164.54</v>
          </cell>
          <cell r="G58">
            <v>97.66</v>
          </cell>
          <cell r="H58">
            <v>0</v>
          </cell>
        </row>
        <row r="59">
          <cell r="A59" t="str">
            <v>Discount Period</v>
          </cell>
          <cell r="C59">
            <v>0</v>
          </cell>
          <cell r="D59">
            <v>0.25</v>
          </cell>
          <cell r="E59">
            <v>1.25</v>
          </cell>
          <cell r="F59">
            <v>2.25</v>
          </cell>
          <cell r="G59">
            <v>3.25</v>
          </cell>
          <cell r="H59">
            <v>4.25</v>
          </cell>
        </row>
        <row r="60">
          <cell r="A60" t="str">
            <v>Discount Factor</v>
          </cell>
          <cell r="C60">
            <v>1</v>
          </cell>
          <cell r="D60">
            <v>0.98093229894158307</v>
          </cell>
          <cell r="E60">
            <v>0.90822859954778312</v>
          </cell>
          <cell r="F60">
            <v>0.84091347580925235</v>
          </cell>
          <cell r="G60">
            <v>0.77858754299268784</v>
          </cell>
          <cell r="H60">
            <v>0.72088101753871381</v>
          </cell>
        </row>
        <row r="61">
          <cell r="A61" t="str">
            <v xml:space="preserve">NPV of Future Cash Flows </v>
          </cell>
          <cell r="C61">
            <v>43.361039999999981</v>
          </cell>
          <cell r="D61">
            <v>73.658853742840762</v>
          </cell>
          <cell r="E61">
            <v>106.98932902672885</v>
          </cell>
          <cell r="F61">
            <v>138.36390330965438</v>
          </cell>
          <cell r="G61">
            <v>76.036859448665894</v>
          </cell>
          <cell r="H61">
            <v>0</v>
          </cell>
        </row>
        <row r="68">
          <cell r="A68" t="str">
            <v>American Tower</v>
          </cell>
        </row>
        <row r="72">
          <cell r="B72" t="str">
            <v>Date</v>
          </cell>
          <cell r="C72" t="str">
            <v>Shares</v>
          </cell>
          <cell r="E72" t="str">
            <v>Exercise</v>
          </cell>
          <cell r="F72" t="str">
            <v>Proceeds</v>
          </cell>
        </row>
        <row r="73">
          <cell r="A73" t="str">
            <v>Total Shares Outstanding</v>
          </cell>
          <cell r="B73">
            <v>39654</v>
          </cell>
          <cell r="C73">
            <v>393.94201299999997</v>
          </cell>
        </row>
        <row r="74">
          <cell r="A74" t="str">
            <v>Outstanding Options</v>
          </cell>
          <cell r="B74">
            <v>39447</v>
          </cell>
          <cell r="C74">
            <v>17.392582999999998</v>
          </cell>
          <cell r="E74">
            <v>26.42</v>
          </cell>
          <cell r="F74">
            <v>459.51204286000001</v>
          </cell>
        </row>
        <row r="75">
          <cell r="A75" t="str">
            <v>Convert - 3.25%</v>
          </cell>
          <cell r="B75">
            <v>39447</v>
          </cell>
          <cell r="C75">
            <v>1.4974890000000001</v>
          </cell>
          <cell r="E75">
            <v>12.2</v>
          </cell>
          <cell r="F75">
            <v>18.269365799999999</v>
          </cell>
        </row>
        <row r="76">
          <cell r="A76" t="str">
            <v>Warrants</v>
          </cell>
          <cell r="B76">
            <v>39447</v>
          </cell>
          <cell r="C76">
            <v>2</v>
          </cell>
          <cell r="E76">
            <v>32</v>
          </cell>
          <cell r="F76">
            <v>64</v>
          </cell>
        </row>
        <row r="77">
          <cell r="A77" t="str">
            <v>Convert - 3.00%</v>
          </cell>
          <cell r="B77">
            <v>39447</v>
          </cell>
          <cell r="C77">
            <v>16.464988000000002</v>
          </cell>
          <cell r="E77">
            <v>20.5</v>
          </cell>
          <cell r="F77">
            <v>337.53225400000002</v>
          </cell>
        </row>
        <row r="78">
          <cell r="A78" t="str">
            <v>Convert - 5.00%</v>
          </cell>
          <cell r="B78">
            <v>39447</v>
          </cell>
          <cell r="C78">
            <v>1.1601199999999998</v>
          </cell>
        </row>
        <row r="79">
          <cell r="C79" t="str">
            <v xml:space="preserve">_______  </v>
          </cell>
          <cell r="F79" t="str">
            <v xml:space="preserve">_______  </v>
          </cell>
        </row>
        <row r="80">
          <cell r="A80" t="str">
            <v>Total</v>
          </cell>
          <cell r="C80">
            <v>432.45719299999996</v>
          </cell>
          <cell r="F80">
            <v>879.31366266000009</v>
          </cell>
        </row>
      </sheetData>
      <sheetData sheetId="6" refreshError="1">
        <row r="1">
          <cell r="A1" t="str">
            <v>American Tower</v>
          </cell>
        </row>
        <row r="2">
          <cell r="A2" t="str">
            <v>Operating Lease Module</v>
          </cell>
        </row>
        <row r="3">
          <cell r="D3" t="str">
            <v>2004A</v>
          </cell>
          <cell r="E3" t="str">
            <v>2005A</v>
          </cell>
          <cell r="F3" t="str">
            <v>2006A</v>
          </cell>
          <cell r="G3" t="str">
            <v>2007A</v>
          </cell>
          <cell r="H3" t="str">
            <v>2008A</v>
          </cell>
          <cell r="I3" t="str">
            <v>2009A</v>
          </cell>
          <cell r="J3" t="str">
            <v>2010A</v>
          </cell>
          <cell r="K3" t="str">
            <v>2011E</v>
          </cell>
          <cell r="L3" t="str">
            <v>2012E</v>
          </cell>
          <cell r="M3" t="str">
            <v>2013E</v>
          </cell>
          <cell r="N3" t="str">
            <v>2014E</v>
          </cell>
          <cell r="O3" t="str">
            <v>2015E</v>
          </cell>
          <cell r="P3" t="str">
            <v>2016E</v>
          </cell>
          <cell r="Q3" t="str">
            <v>2017E</v>
          </cell>
          <cell r="R3" t="str">
            <v>2018E</v>
          </cell>
          <cell r="S3" t="str">
            <v>2019E</v>
          </cell>
          <cell r="T3" t="str">
            <v>2020E</v>
          </cell>
          <cell r="U3" t="str">
            <v>2021E</v>
          </cell>
        </row>
        <row r="5">
          <cell r="B5" t="str">
            <v>Adjustment to Income Statement</v>
          </cell>
        </row>
        <row r="6">
          <cell r="B6" t="str">
            <v>Reverse Rent Payment</v>
          </cell>
          <cell r="D6">
            <v>118.741</v>
          </cell>
          <cell r="E6">
            <v>168.67</v>
          </cell>
          <cell r="F6">
            <v>237</v>
          </cell>
          <cell r="G6">
            <v>246.4</v>
          </cell>
          <cell r="H6">
            <v>263.89999999999998</v>
          </cell>
          <cell r="I6">
            <v>275.10000000000002</v>
          </cell>
          <cell r="J6">
            <v>300</v>
          </cell>
          <cell r="K6">
            <v>326.40376226826606</v>
          </cell>
          <cell r="L6">
            <v>354.31537733725844</v>
          </cell>
          <cell r="M6">
            <v>383.72799708791865</v>
          </cell>
          <cell r="N6">
            <v>414.62291314571689</v>
          </cell>
          <cell r="O6">
            <v>446.96870011317787</v>
          </cell>
          <cell r="P6">
            <v>480.7204423589107</v>
          </cell>
          <cell r="Q6">
            <v>515.81906331532832</v>
          </cell>
          <cell r="R6">
            <v>552.19077611136879</v>
          </cell>
          <cell r="S6">
            <v>589.74667385305452</v>
          </cell>
          <cell r="T6">
            <v>628.38247694108304</v>
          </cell>
          <cell r="U6">
            <v>667.97845346654435</v>
          </cell>
        </row>
        <row r="7">
          <cell r="B7" t="str">
            <v>Add Implied Depreciation Expense</v>
          </cell>
          <cell r="D7">
            <v>-98.902357379510306</v>
          </cell>
          <cell r="E7">
            <v>-124.37579057789004</v>
          </cell>
          <cell r="F7">
            <v>-125.08796507740951</v>
          </cell>
          <cell r="G7">
            <v>-123.83399808660613</v>
          </cell>
          <cell r="H7">
            <v>-138.17761631621579</v>
          </cell>
          <cell r="I7">
            <v>-146.38733948391678</v>
          </cell>
          <cell r="J7">
            <v>-158.92180282020408</v>
          </cell>
          <cell r="K7">
            <v>-180.34046033708228</v>
          </cell>
          <cell r="L7">
            <v>-207.56910629547056</v>
          </cell>
          <cell r="M7">
            <v>-235.38295026312267</v>
          </cell>
          <cell r="N7">
            <v>-264.42037656033506</v>
          </cell>
          <cell r="O7">
            <v>-296.05590089173205</v>
          </cell>
          <cell r="P7">
            <v>-328.30360401347343</v>
          </cell>
          <cell r="Q7">
            <v>-362.77840576392549</v>
          </cell>
          <cell r="R7">
            <v>-399.4309312183413</v>
          </cell>
          <cell r="S7">
            <v>-438.20485396042665</v>
          </cell>
          <cell r="T7">
            <v>-479.03547579267655</v>
          </cell>
          <cell r="U7">
            <v>-523.6222824171175</v>
          </cell>
        </row>
        <row r="8">
          <cell r="B8" t="str">
            <v>Net Increase/(Decrease) to Operating Income</v>
          </cell>
          <cell r="D8">
            <v>19.838642620489694</v>
          </cell>
          <cell r="E8">
            <v>44.294209422109944</v>
          </cell>
          <cell r="F8">
            <v>111.91203492259049</v>
          </cell>
          <cell r="G8">
            <v>122.56600191339388</v>
          </cell>
          <cell r="H8">
            <v>125.72238368378419</v>
          </cell>
          <cell r="I8">
            <v>128.71266051608325</v>
          </cell>
          <cell r="J8">
            <v>141.07819717979592</v>
          </cell>
          <cell r="K8">
            <v>146.06330193118379</v>
          </cell>
          <cell r="L8">
            <v>146.74627104178788</v>
          </cell>
          <cell r="M8">
            <v>148.34504682479599</v>
          </cell>
          <cell r="N8">
            <v>150.20253658538184</v>
          </cell>
          <cell r="O8">
            <v>150.91279922144582</v>
          </cell>
          <cell r="P8">
            <v>152.41683834543727</v>
          </cell>
          <cell r="Q8">
            <v>153.04065755140283</v>
          </cell>
          <cell r="R8">
            <v>152.75984489302749</v>
          </cell>
          <cell r="S8">
            <v>151.54181989262787</v>
          </cell>
          <cell r="T8">
            <v>149.34700114840649</v>
          </cell>
          <cell r="U8">
            <v>144.35617104942685</v>
          </cell>
        </row>
        <row r="10">
          <cell r="B10" t="str">
            <v>Add Estimated Interest Expense</v>
          </cell>
          <cell r="D10">
            <v>0</v>
          </cell>
          <cell r="E10">
            <v>-138.84891230610134</v>
          </cell>
          <cell r="F10">
            <v>-160.27872940513501</v>
          </cell>
          <cell r="G10">
            <v>-162.15484125856389</v>
          </cell>
          <cell r="H10">
            <v>-177.52821028091611</v>
          </cell>
          <cell r="I10">
            <v>-184.30124203078685</v>
          </cell>
          <cell r="J10">
            <v>-194.44509485627711</v>
          </cell>
          <cell r="K10">
            <v>-207.64628379266355</v>
          </cell>
          <cell r="L10">
            <v>-218.63276289281259</v>
          </cell>
          <cell r="M10">
            <v>-231.93286756959651</v>
          </cell>
          <cell r="N10">
            <v>-247.29249602066477</v>
          </cell>
          <cell r="O10">
            <v>-263.41477457528686</v>
          </cell>
          <cell r="P10">
            <v>-281.70783478780191</v>
          </cell>
          <cell r="Q10">
            <v>-300.91913880130136</v>
          </cell>
          <cell r="R10">
            <v>-320.87670676528205</v>
          </cell>
          <cell r="S10">
            <v>-341.53359026649576</v>
          </cell>
          <cell r="T10">
            <v>-362.83477753552808</v>
          </cell>
          <cell r="U10">
            <v>-384.71704296585875</v>
          </cell>
        </row>
        <row r="11">
          <cell r="B11" t="str">
            <v>Net Increase/(Decrease) to Pre-tax Income</v>
          </cell>
          <cell r="D11">
            <v>19.838642620489694</v>
          </cell>
          <cell r="E11">
            <v>-94.554702883991396</v>
          </cell>
          <cell r="F11">
            <v>-48.366694482544517</v>
          </cell>
          <cell r="G11">
            <v>-39.588839345170015</v>
          </cell>
          <cell r="H11">
            <v>-51.805826597131926</v>
          </cell>
          <cell r="I11">
            <v>-55.588581514703606</v>
          </cell>
          <cell r="J11">
            <v>-53.366897676481187</v>
          </cell>
          <cell r="K11">
            <v>-61.582981861479766</v>
          </cell>
          <cell r="L11">
            <v>-71.886491851024715</v>
          </cell>
          <cell r="M11">
            <v>-83.587820744800524</v>
          </cell>
          <cell r="N11">
            <v>-97.089959435282935</v>
          </cell>
          <cell r="O11">
            <v>-112.50197535384103</v>
          </cell>
          <cell r="P11">
            <v>-129.29099644236464</v>
          </cell>
          <cell r="Q11">
            <v>-147.87848124989853</v>
          </cell>
          <cell r="R11">
            <v>-168.11686187225456</v>
          </cell>
          <cell r="S11">
            <v>-189.99177037386789</v>
          </cell>
          <cell r="T11">
            <v>-213.48777638712158</v>
          </cell>
          <cell r="U11">
            <v>-240.3608719164319</v>
          </cell>
        </row>
        <row r="13">
          <cell r="B13" t="str">
            <v>Principal Paid</v>
          </cell>
          <cell r="D13">
            <v>118.741</v>
          </cell>
          <cell r="E13">
            <v>29.821087693898647</v>
          </cell>
          <cell r="F13">
            <v>76.72127059486499</v>
          </cell>
          <cell r="G13">
            <v>84.245158741436114</v>
          </cell>
          <cell r="H13">
            <v>86.371789719083864</v>
          </cell>
          <cell r="I13">
            <v>90.79875796921317</v>
          </cell>
          <cell r="J13">
            <v>105.55490514372289</v>
          </cell>
          <cell r="K13">
            <v>118.75747847560251</v>
          </cell>
          <cell r="L13">
            <v>135.68261444444585</v>
          </cell>
          <cell r="M13">
            <v>151.79512951832214</v>
          </cell>
          <cell r="N13">
            <v>167.33041712505212</v>
          </cell>
          <cell r="O13">
            <v>183.55392553789102</v>
          </cell>
          <cell r="P13">
            <v>199.01260757110879</v>
          </cell>
          <cell r="Q13">
            <v>214.89992451402696</v>
          </cell>
          <cell r="R13">
            <v>231.31406934608674</v>
          </cell>
          <cell r="S13">
            <v>248.21308358655875</v>
          </cell>
          <cell r="T13">
            <v>265.54769940555497</v>
          </cell>
          <cell r="U13">
            <v>283.2614105006856</v>
          </cell>
        </row>
        <row r="15">
          <cell r="B15" t="str">
            <v>FIXED ASSET SCHEDULE</v>
          </cell>
          <cell r="D15" t="str">
            <v>2004A</v>
          </cell>
          <cell r="E15" t="str">
            <v>2005A</v>
          </cell>
          <cell r="F15" t="str">
            <v>2006A</v>
          </cell>
          <cell r="G15" t="str">
            <v>2007A</v>
          </cell>
          <cell r="H15" t="str">
            <v>2008A</v>
          </cell>
          <cell r="I15" t="str">
            <v>2009A</v>
          </cell>
          <cell r="J15" t="str">
            <v>2010A</v>
          </cell>
          <cell r="K15" t="str">
            <v>2011E</v>
          </cell>
          <cell r="L15" t="str">
            <v>2012E</v>
          </cell>
          <cell r="M15" t="str">
            <v>2013E</v>
          </cell>
          <cell r="N15" t="str">
            <v>2014E</v>
          </cell>
          <cell r="O15" t="str">
            <v>2015E</v>
          </cell>
          <cell r="P15" t="str">
            <v>2016E</v>
          </cell>
          <cell r="Q15" t="str">
            <v>2017E</v>
          </cell>
          <cell r="R15" t="str">
            <v>2018E</v>
          </cell>
          <cell r="S15" t="str">
            <v>2019E</v>
          </cell>
          <cell r="T15" t="str">
            <v>2020E</v>
          </cell>
          <cell r="U15" t="str">
            <v>2021E</v>
          </cell>
        </row>
        <row r="16">
          <cell r="B16" t="str">
            <v>Beginning Cost of Leased Assets</v>
          </cell>
          <cell r="E16">
            <v>978.4550009077883</v>
          </cell>
          <cell r="F16">
            <v>1558.0073783555965</v>
          </cell>
          <cell r="G16">
            <v>1631.7081144035112</v>
          </cell>
          <cell r="H16">
            <v>1641.8659636714533</v>
          </cell>
          <cell r="I16">
            <v>978.4550009077883</v>
          </cell>
          <cell r="J16">
            <v>1084.8385169815699</v>
          </cell>
          <cell r="K16">
            <v>1214.4975718260325</v>
          </cell>
          <cell r="L16">
            <v>1447.5888161979542</v>
          </cell>
          <cell r="M16">
            <v>1732.4919818668161</v>
          </cell>
          <cell r="N16">
            <v>1989.6298876942599</v>
          </cell>
          <cell r="O16">
            <v>2228.6515982499495</v>
          </cell>
          <cell r="P16">
            <v>2469.0040057279125</v>
          </cell>
          <cell r="Q16">
            <v>2680.4176481509994</v>
          </cell>
          <cell r="R16">
            <v>2886.1882069713333</v>
          </cell>
          <cell r="S16">
            <v>3084.022975803915</v>
          </cell>
          <cell r="T16">
            <v>3271.5016941917893</v>
          </cell>
          <cell r="U16">
            <v>3446.0723746794361</v>
          </cell>
        </row>
        <row r="17">
          <cell r="B17" t="str">
            <v xml:space="preserve">Additions </v>
          </cell>
          <cell r="E17">
            <v>703.92816802569837</v>
          </cell>
          <cell r="F17">
            <v>198.78870112532414</v>
          </cell>
          <cell r="G17">
            <v>133.9918473545483</v>
          </cell>
          <cell r="H17">
            <v>406.30828465347446</v>
          </cell>
          <cell r="I17">
            <v>252.77085555769847</v>
          </cell>
          <cell r="J17">
            <v>288.58085766466667</v>
          </cell>
          <cell r="K17">
            <v>413.43170470900401</v>
          </cell>
          <cell r="L17">
            <v>492.47227196433255</v>
          </cell>
          <cell r="M17">
            <v>492.52085609056655</v>
          </cell>
          <cell r="N17">
            <v>503.4420871160246</v>
          </cell>
          <cell r="O17">
            <v>536.40830836969508</v>
          </cell>
          <cell r="P17">
            <v>539.71724643656034</v>
          </cell>
          <cell r="Q17">
            <v>568.54896458425958</v>
          </cell>
          <cell r="R17">
            <v>597.26570005092321</v>
          </cell>
          <cell r="S17">
            <v>625.68357234830069</v>
          </cell>
          <cell r="T17">
            <v>653.60615628032349</v>
          </cell>
          <cell r="U17">
            <v>680.83171012678611</v>
          </cell>
        </row>
        <row r="18">
          <cell r="B18" t="str">
            <v>Current year charge</v>
          </cell>
          <cell r="D18">
            <v>-98.902357379510306</v>
          </cell>
          <cell r="E18">
            <v>-124.37579057789004</v>
          </cell>
          <cell r="F18">
            <v>-125.08796507740951</v>
          </cell>
          <cell r="G18">
            <v>-123.83399808660613</v>
          </cell>
          <cell r="H18">
            <v>-138.17761631621579</v>
          </cell>
          <cell r="I18">
            <v>-146.38733948391678</v>
          </cell>
          <cell r="J18">
            <v>-158.92180282020408</v>
          </cell>
          <cell r="K18">
            <v>-180.34046033708228</v>
          </cell>
          <cell r="L18">
            <v>-207.56910629547056</v>
          </cell>
          <cell r="M18">
            <v>-235.38295026312267</v>
          </cell>
          <cell r="N18">
            <v>-264.42037656033506</v>
          </cell>
          <cell r="O18">
            <v>-296.05590089173205</v>
          </cell>
          <cell r="P18">
            <v>-328.30360401347343</v>
          </cell>
          <cell r="Q18">
            <v>-362.77840576392549</v>
          </cell>
          <cell r="R18">
            <v>-399.4309312183413</v>
          </cell>
          <cell r="S18">
            <v>-438.20485396042665</v>
          </cell>
          <cell r="T18">
            <v>-479.03547579267655</v>
          </cell>
          <cell r="U18">
            <v>-523.6222824171175</v>
          </cell>
        </row>
        <row r="19">
          <cell r="B19" t="str">
            <v>Closing Cost of Lease Assets</v>
          </cell>
          <cell r="D19">
            <v>978.4550009077883</v>
          </cell>
          <cell r="E19">
            <v>1558.0073783555965</v>
          </cell>
          <cell r="F19">
            <v>1631.7081144035112</v>
          </cell>
          <cell r="G19">
            <v>1641.8659636714533</v>
          </cell>
          <cell r="H19">
            <v>1909.9966320087119</v>
          </cell>
          <cell r="I19">
            <v>1084.8385169815699</v>
          </cell>
          <cell r="J19">
            <v>1214.4975718260325</v>
          </cell>
          <cell r="K19">
            <v>1447.5888161979542</v>
          </cell>
          <cell r="L19">
            <v>1732.4919818668161</v>
          </cell>
          <cell r="M19">
            <v>1989.6298876942599</v>
          </cell>
          <cell r="N19">
            <v>2228.6515982499495</v>
          </cell>
          <cell r="O19">
            <v>2469.0040057279125</v>
          </cell>
          <cell r="P19">
            <v>2680.4176481509994</v>
          </cell>
          <cell r="Q19">
            <v>2886.1882069713333</v>
          </cell>
          <cell r="R19">
            <v>3084.022975803915</v>
          </cell>
          <cell r="S19">
            <v>3271.5016941917893</v>
          </cell>
          <cell r="T19">
            <v>3446.0723746794361</v>
          </cell>
          <cell r="U19">
            <v>3603.281802389105</v>
          </cell>
        </row>
        <row r="21">
          <cell r="B21" t="str">
            <v>Carying Value of Assets Held Under Operating Leases</v>
          </cell>
          <cell r="D21">
            <v>978.4550009077883</v>
          </cell>
          <cell r="E21">
            <v>1558.0073783555965</v>
          </cell>
          <cell r="F21">
            <v>1631.7081144035112</v>
          </cell>
          <cell r="G21">
            <v>1641.8659636714533</v>
          </cell>
          <cell r="H21">
            <v>1909.9966320087119</v>
          </cell>
          <cell r="I21">
            <v>1084.8385169815699</v>
          </cell>
          <cell r="J21">
            <v>1214.4975718260325</v>
          </cell>
          <cell r="K21">
            <v>1447.5888161979542</v>
          </cell>
          <cell r="L21">
            <v>1732.4919818668161</v>
          </cell>
          <cell r="M21">
            <v>1989.6298876942599</v>
          </cell>
          <cell r="N21">
            <v>2228.6515982499495</v>
          </cell>
          <cell r="O21">
            <v>2469.0040057279125</v>
          </cell>
          <cell r="P21">
            <v>2680.4176481509994</v>
          </cell>
          <cell r="Q21">
            <v>2886.1882069713333</v>
          </cell>
          <cell r="R21">
            <v>3084.022975803915</v>
          </cell>
          <cell r="S21">
            <v>3271.5016941917893</v>
          </cell>
          <cell r="T21">
            <v>3446.0723746794361</v>
          </cell>
          <cell r="U21">
            <v>3603.281802389105</v>
          </cell>
        </row>
        <row r="22">
          <cell r="B22" t="str">
            <v>Ratio of carrying value to oustanding debt value for take on balance</v>
          </cell>
          <cell r="D22">
            <v>0.93</v>
          </cell>
        </row>
        <row r="24">
          <cell r="B24" t="str">
            <v>OPERATING LEASE DEBT SCHEDULE</v>
          </cell>
          <cell r="D24" t="str">
            <v>2004A</v>
          </cell>
          <cell r="E24" t="str">
            <v>2005A</v>
          </cell>
          <cell r="F24" t="str">
            <v>2006A</v>
          </cell>
          <cell r="G24" t="str">
            <v>2007A</v>
          </cell>
          <cell r="H24" t="str">
            <v>2008A</v>
          </cell>
          <cell r="I24" t="str">
            <v>2009A</v>
          </cell>
          <cell r="J24" t="str">
            <v>2010A</v>
          </cell>
          <cell r="K24" t="str">
            <v>2011E</v>
          </cell>
          <cell r="L24" t="str">
            <v>2012E</v>
          </cell>
          <cell r="M24" t="str">
            <v>2013E</v>
          </cell>
          <cell r="N24" t="str">
            <v>2014E</v>
          </cell>
          <cell r="O24" t="str">
            <v>2015E</v>
          </cell>
          <cell r="P24" t="str">
            <v>2016E</v>
          </cell>
          <cell r="Q24" t="str">
            <v>2017E</v>
          </cell>
          <cell r="R24" t="str">
            <v>2018E</v>
          </cell>
          <cell r="S24" t="str">
            <v>2019E</v>
          </cell>
          <cell r="T24" t="str">
            <v>2020E</v>
          </cell>
          <cell r="U24" t="str">
            <v>2021E</v>
          </cell>
        </row>
        <row r="25">
          <cell r="B25" t="str">
            <v>Beginning Balance of Implied Debt</v>
          </cell>
          <cell r="E25">
            <v>1052.1021515137509</v>
          </cell>
          <cell r="F25">
            <v>1726.2092318455507</v>
          </cell>
          <cell r="G25">
            <v>1848.2766623760099</v>
          </cell>
          <cell r="H25">
            <v>1898.023350989122</v>
          </cell>
          <cell r="I25">
            <v>2217.9598459235126</v>
          </cell>
          <cell r="J25">
            <v>2379.9319435119978</v>
          </cell>
          <cell r="K25">
            <v>2562.9578960329418</v>
          </cell>
          <cell r="L25">
            <v>2857.6321222663432</v>
          </cell>
          <cell r="M25">
            <v>3214.4217797862302</v>
          </cell>
          <cell r="N25">
            <v>3555.1475063584749</v>
          </cell>
          <cell r="O25">
            <v>3891.2591763494474</v>
          </cell>
          <cell r="P25">
            <v>4244.1135591812517</v>
          </cell>
          <cell r="Q25">
            <v>4584.8181980467034</v>
          </cell>
          <cell r="R25">
            <v>4938.4672381169366</v>
          </cell>
          <cell r="S25">
            <v>5304.4188688217737</v>
          </cell>
          <cell r="T25">
            <v>5681.8893575835154</v>
          </cell>
          <cell r="U25">
            <v>6069.9478144582836</v>
          </cell>
        </row>
        <row r="26">
          <cell r="B26" t="str">
            <v>Interest</v>
          </cell>
          <cell r="E26">
            <v>138.84891230610134</v>
          </cell>
          <cell r="F26">
            <v>160.27872940513501</v>
          </cell>
          <cell r="G26">
            <v>162.15484125856389</v>
          </cell>
          <cell r="H26">
            <v>177.52821028091611</v>
          </cell>
          <cell r="I26">
            <v>184.30124203078685</v>
          </cell>
          <cell r="J26">
            <v>194.44509485627711</v>
          </cell>
          <cell r="K26">
            <v>207.64628379266355</v>
          </cell>
          <cell r="L26">
            <v>218.63276289281259</v>
          </cell>
          <cell r="M26">
            <v>231.93286756959651</v>
          </cell>
          <cell r="N26">
            <v>247.29249602066477</v>
          </cell>
          <cell r="O26">
            <v>263.41477457528686</v>
          </cell>
          <cell r="P26">
            <v>281.70783478780191</v>
          </cell>
          <cell r="Q26">
            <v>300.91913880130136</v>
          </cell>
          <cell r="R26">
            <v>320.87670676528205</v>
          </cell>
          <cell r="S26">
            <v>341.53359026649576</v>
          </cell>
          <cell r="T26">
            <v>362.83477753552808</v>
          </cell>
          <cell r="U26">
            <v>384.71704296585875</v>
          </cell>
        </row>
        <row r="27">
          <cell r="B27" t="str">
            <v>Repayment</v>
          </cell>
          <cell r="E27">
            <v>-168.67</v>
          </cell>
          <cell r="F27">
            <v>-237</v>
          </cell>
          <cell r="G27">
            <v>-246.4</v>
          </cell>
          <cell r="H27">
            <v>-263.89999999999998</v>
          </cell>
          <cell r="I27">
            <v>-275.10000000000002</v>
          </cell>
          <cell r="J27">
            <v>-300</v>
          </cell>
          <cell r="K27">
            <v>-326.40376226826606</v>
          </cell>
          <cell r="L27">
            <v>-354.31537733725844</v>
          </cell>
          <cell r="M27">
            <v>-383.72799708791865</v>
          </cell>
          <cell r="N27">
            <v>-414.62291314571689</v>
          </cell>
          <cell r="O27">
            <v>-446.96870011317787</v>
          </cell>
          <cell r="P27">
            <v>-480.7204423589107</v>
          </cell>
          <cell r="Q27">
            <v>-515.81906331532832</v>
          </cell>
          <cell r="R27">
            <v>-552.19077611136879</v>
          </cell>
          <cell r="S27">
            <v>-589.74667385305452</v>
          </cell>
          <cell r="T27">
            <v>-628.38247694108304</v>
          </cell>
          <cell r="U27">
            <v>-667.97845346654435</v>
          </cell>
        </row>
        <row r="28">
          <cell r="B28" t="str">
            <v>Debt Issuances (Reductions)</v>
          </cell>
          <cell r="E28">
            <v>703.92816802569837</v>
          </cell>
          <cell r="F28">
            <v>198.78870112532414</v>
          </cell>
          <cell r="G28">
            <v>133.9918473545483</v>
          </cell>
          <cell r="H28">
            <v>406.30828465347446</v>
          </cell>
          <cell r="I28">
            <v>252.77085555769847</v>
          </cell>
          <cell r="J28">
            <v>288.58085766466667</v>
          </cell>
          <cell r="K28">
            <v>413.43170470900401</v>
          </cell>
          <cell r="L28">
            <v>492.47227196433255</v>
          </cell>
          <cell r="M28">
            <v>492.52085609056655</v>
          </cell>
          <cell r="N28">
            <v>503.4420871160246</v>
          </cell>
          <cell r="O28">
            <v>536.40830836969508</v>
          </cell>
          <cell r="P28">
            <v>539.71724643656034</v>
          </cell>
          <cell r="Q28">
            <v>568.54896458425958</v>
          </cell>
          <cell r="R28">
            <v>597.26570005092321</v>
          </cell>
          <cell r="S28">
            <v>625.68357234830069</v>
          </cell>
          <cell r="T28">
            <v>653.60615628032349</v>
          </cell>
          <cell r="U28">
            <v>680.83171012678611</v>
          </cell>
        </row>
        <row r="29">
          <cell r="B29" t="str">
            <v>Ending Balance of Implied Debt</v>
          </cell>
          <cell r="D29">
            <v>1052.1021515137509</v>
          </cell>
          <cell r="E29">
            <v>1726.2092318455507</v>
          </cell>
          <cell r="F29">
            <v>1848.2766623760099</v>
          </cell>
          <cell r="G29">
            <v>1898.023350989122</v>
          </cell>
          <cell r="H29">
            <v>2217.9598459235126</v>
          </cell>
          <cell r="I29">
            <v>2379.9319435119978</v>
          </cell>
          <cell r="J29">
            <v>2562.9578960329418</v>
          </cell>
          <cell r="K29">
            <v>2857.6321222663432</v>
          </cell>
          <cell r="L29">
            <v>3214.4217797862302</v>
          </cell>
          <cell r="M29">
            <v>3555.1475063584749</v>
          </cell>
          <cell r="N29">
            <v>3891.2591763494474</v>
          </cell>
          <cell r="O29">
            <v>4244.1135591812517</v>
          </cell>
          <cell r="P29">
            <v>4584.8181980467034</v>
          </cell>
          <cell r="Q29">
            <v>4938.4672381169366</v>
          </cell>
          <cell r="R29">
            <v>5304.4188688217737</v>
          </cell>
          <cell r="S29">
            <v>5681.8893575835154</v>
          </cell>
          <cell r="T29">
            <v>6069.9478144582836</v>
          </cell>
          <cell r="U29">
            <v>6467.5181140843843</v>
          </cell>
        </row>
        <row r="32">
          <cell r="B32" t="str">
            <v>Asset over liability</v>
          </cell>
          <cell r="D32">
            <v>0.93</v>
          </cell>
          <cell r="E32">
            <v>0.90255998497347645</v>
          </cell>
          <cell r="F32">
            <v>0.8828267691839522</v>
          </cell>
          <cell r="G32">
            <v>0.86503991787868328</v>
          </cell>
          <cell r="H32">
            <v>0.86115023025289661</v>
          </cell>
          <cell r="I32">
            <v>0.45582753739617637</v>
          </cell>
          <cell r="J32">
            <v>0.47386559635095254</v>
          </cell>
          <cell r="K32">
            <v>0.50656933932065906</v>
          </cell>
          <cell r="L32">
            <v>0.53897468986849406</v>
          </cell>
          <cell r="M32">
            <v>0.55964763322358757</v>
          </cell>
          <cell r="N32">
            <v>0.57273275750826258</v>
          </cell>
          <cell r="O32">
            <v>0.58174786590870997</v>
          </cell>
          <cell r="P32">
            <v>0.58462899342289154</v>
          </cell>
          <cell r="Q32">
            <v>0.58442995929883945</v>
          </cell>
          <cell r="R32">
            <v>0.58140638061807948</v>
          </cell>
          <cell r="S32">
            <v>0.57577708545580442</v>
          </cell>
          <cell r="T32">
            <v>0.56772685367592124</v>
          </cell>
          <cell r="U32">
            <v>0.55713516975579847</v>
          </cell>
        </row>
        <row r="35">
          <cell r="B35" t="str">
            <v>Weighted average interest rate of lease portfolio</v>
          </cell>
          <cell r="D35">
            <v>7.5700377094660445E-2</v>
          </cell>
          <cell r="E35">
            <v>8.4105716156318733E-2</v>
          </cell>
          <cell r="F35">
            <v>8.3226735005993979E-2</v>
          </cell>
          <cell r="G35">
            <v>8.1739453666680242E-2</v>
          </cell>
          <cell r="H35">
            <v>7.6858121525678655E-2</v>
          </cell>
          <cell r="I35">
            <v>7.4507433096905482E-2</v>
          </cell>
          <cell r="J35">
            <v>7.2798882147860636E-2</v>
          </cell>
          <cell r="K35">
            <v>6.9638380168793951E-2</v>
          </cell>
          <cell r="L35">
            <v>6.5076725998212293E-2</v>
          </cell>
          <cell r="M35">
            <v>6.2460006826979504E-2</v>
          </cell>
          <cell r="N35">
            <v>6.086488365107131E-2</v>
          </cell>
          <cell r="O35">
            <v>5.9433561976222633E-2</v>
          </cell>
          <cell r="P35">
            <v>5.8863796770971914E-2</v>
          </cell>
          <cell r="Q35">
            <v>5.8372223489434161E-2</v>
          </cell>
          <cell r="R35">
            <v>5.7946854842071759E-2</v>
          </cell>
          <cell r="S35">
            <v>5.7577753129838864E-2</v>
          </cell>
          <cell r="T35">
            <v>5.7256692854446761E-2</v>
          </cell>
          <cell r="U35">
            <v>5.6976791543083674E-2</v>
          </cell>
        </row>
        <row r="36">
          <cell r="B36" t="str">
            <v>Interest implicit in new leases signed</v>
          </cell>
          <cell r="E36">
            <v>8.4105716156318733E-2</v>
          </cell>
          <cell r="F36">
            <v>7.5933217731524172E-2</v>
          </cell>
          <cell r="G36">
            <v>6.2159074792023129E-2</v>
          </cell>
          <cell r="H36">
            <v>5.5093187537524117E-2</v>
          </cell>
          <cell r="I36">
            <v>5.4725512651376179E-2</v>
          </cell>
          <cell r="J36">
            <v>5.9333369990067573E-2</v>
          </cell>
          <cell r="K36">
            <v>5.0953552254198467E-2</v>
          </cell>
          <cell r="L36">
            <v>3.9863951530845494E-2</v>
          </cell>
          <cell r="M36">
            <v>4.6188545890895175E-2</v>
          </cell>
          <cell r="N36">
            <v>5.0130807789971026E-2</v>
          </cell>
          <cell r="O36">
            <v>4.9540130411812031E-2</v>
          </cell>
          <cell r="P36">
            <v>5.4593490811377245E-2</v>
          </cell>
          <cell r="Q36">
            <v>5.4593947211430557E-2</v>
          </cell>
          <cell r="R36">
            <v>5.4594451755544386E-2</v>
          </cell>
          <cell r="S36">
            <v>5.4595008664089506E-2</v>
          </cell>
          <cell r="T36">
            <v>5.4596111818477344E-2</v>
          </cell>
          <cell r="U36">
            <v>5.4597787908524625E-2</v>
          </cell>
        </row>
        <row r="38">
          <cell r="D38" t="str">
            <v>2004A</v>
          </cell>
          <cell r="E38" t="str">
            <v>2005A</v>
          </cell>
          <cell r="F38" t="str">
            <v>2006A</v>
          </cell>
          <cell r="G38" t="str">
            <v>2007A</v>
          </cell>
          <cell r="H38" t="str">
            <v>2008A</v>
          </cell>
          <cell r="I38" t="str">
            <v>2009A</v>
          </cell>
          <cell r="J38" t="str">
            <v>2010A</v>
          </cell>
          <cell r="K38" t="str">
            <v>2011E</v>
          </cell>
          <cell r="L38" t="str">
            <v>2012E</v>
          </cell>
          <cell r="M38" t="str">
            <v>2013E</v>
          </cell>
          <cell r="N38" t="str">
            <v>2014E</v>
          </cell>
          <cell r="O38" t="str">
            <v>2015E</v>
          </cell>
          <cell r="P38" t="str">
            <v>2016E</v>
          </cell>
          <cell r="Q38" t="str">
            <v>2017E</v>
          </cell>
          <cell r="R38" t="str">
            <v>2018E</v>
          </cell>
          <cell r="S38" t="str">
            <v>2019E</v>
          </cell>
          <cell r="T38" t="str">
            <v>2020E</v>
          </cell>
          <cell r="U38" t="str">
            <v>2021E</v>
          </cell>
        </row>
        <row r="39">
          <cell r="B39" t="str">
            <v>Capital expenditure financed through operating leases</v>
          </cell>
          <cell r="D39">
            <v>1111.3851796096048</v>
          </cell>
          <cell r="E39">
            <v>703.92816802569837</v>
          </cell>
          <cell r="F39">
            <v>198.78870112532414</v>
          </cell>
          <cell r="G39">
            <v>133.9918473545483</v>
          </cell>
          <cell r="H39">
            <v>406.30828465347446</v>
          </cell>
          <cell r="I39">
            <v>252.77085555769847</v>
          </cell>
          <cell r="J39">
            <v>288.58085766466667</v>
          </cell>
          <cell r="K39">
            <v>413.43170470900401</v>
          </cell>
          <cell r="L39">
            <v>492.47227196433255</v>
          </cell>
          <cell r="M39">
            <v>492.52085609056655</v>
          </cell>
          <cell r="N39">
            <v>503.4420871160246</v>
          </cell>
          <cell r="O39">
            <v>536.40830836969508</v>
          </cell>
          <cell r="P39">
            <v>539.71724643656034</v>
          </cell>
          <cell r="Q39">
            <v>568.54896458425958</v>
          </cell>
          <cell r="R39">
            <v>597.26570005092321</v>
          </cell>
          <cell r="S39">
            <v>625.68357234830069</v>
          </cell>
          <cell r="T39">
            <v>653.60615628032349</v>
          </cell>
          <cell r="U39">
            <v>680.83171012678611</v>
          </cell>
        </row>
        <row r="40">
          <cell r="F40">
            <v>-0.71760087157349428</v>
          </cell>
          <cell r="G40">
            <v>-0.32595843427703364</v>
          </cell>
          <cell r="H40">
            <v>2.0323358672588858</v>
          </cell>
          <cell r="I40">
            <v>-0.37788407200882568</v>
          </cell>
          <cell r="J40">
            <v>0.14166982197357814</v>
          </cell>
          <cell r="K40">
            <v>0.43263731369672165</v>
          </cell>
          <cell r="L40">
            <v>0.19118167850954171</v>
          </cell>
          <cell r="M40">
            <v>9.8653526299452565E-5</v>
          </cell>
          <cell r="N40">
            <v>2.2174149359169171E-2</v>
          </cell>
          <cell r="O40">
            <v>6.5481655382683579E-2</v>
          </cell>
          <cell r="P40">
            <v>6.1686927947146586E-3</v>
          </cell>
          <cell r="Q40">
            <v>5.3420042324121342E-2</v>
          </cell>
          <cell r="R40">
            <v>5.0508816751890784E-2</v>
          </cell>
          <cell r="S40">
            <v>4.7579950254894143E-2</v>
          </cell>
          <cell r="T40">
            <v>4.4627324683025327E-2</v>
          </cell>
          <cell r="U40">
            <v>4.1654371803049317E-2</v>
          </cell>
        </row>
        <row r="42">
          <cell r="B42" t="str">
            <v>Current Year Operating Lease Payments</v>
          </cell>
          <cell r="D42">
            <v>118.741</v>
          </cell>
          <cell r="E42">
            <v>168.67</v>
          </cell>
          <cell r="F42">
            <v>237</v>
          </cell>
          <cell r="G42">
            <v>246.4</v>
          </cell>
          <cell r="H42">
            <v>263.89999999999998</v>
          </cell>
          <cell r="I42">
            <v>275.10000000000002</v>
          </cell>
          <cell r="J42">
            <v>300</v>
          </cell>
          <cell r="K42">
            <v>326.40376226826606</v>
          </cell>
          <cell r="L42">
            <v>354.31537733725844</v>
          </cell>
          <cell r="M42">
            <v>383.72799708791865</v>
          </cell>
          <cell r="N42">
            <v>414.62291314571689</v>
          </cell>
          <cell r="O42">
            <v>446.96870011317787</v>
          </cell>
          <cell r="P42">
            <v>480.7204423589107</v>
          </cell>
          <cell r="Q42">
            <v>515.81906331532832</v>
          </cell>
          <cell r="R42">
            <v>552.19077611136879</v>
          </cell>
          <cell r="S42">
            <v>589.74667385305452</v>
          </cell>
          <cell r="T42">
            <v>628.38247694108304</v>
          </cell>
          <cell r="U42">
            <v>667.97845346654435</v>
          </cell>
        </row>
        <row r="43">
          <cell r="B43" t="str">
            <v>YOY % Change in Current Year Operating Lease Expense</v>
          </cell>
          <cell r="E43">
            <v>0.42048660530061222</v>
          </cell>
          <cell r="F43">
            <v>0.40511057093733327</v>
          </cell>
          <cell r="G43">
            <v>3.9662447257383882E-2</v>
          </cell>
          <cell r="H43">
            <v>7.1022727272727071E-2</v>
          </cell>
          <cell r="I43">
            <v>4.244031830238737E-2</v>
          </cell>
          <cell r="J43">
            <v>9.0512540894220228E-2</v>
          </cell>
          <cell r="K43">
            <v>8.8012540894220226E-2</v>
          </cell>
          <cell r="L43">
            <v>8.5512540894220224E-2</v>
          </cell>
          <cell r="M43">
            <v>8.3012540894220221E-2</v>
          </cell>
          <cell r="N43">
            <v>8.0512540894220219E-2</v>
          </cell>
          <cell r="O43">
            <v>7.8012540894220217E-2</v>
          </cell>
          <cell r="P43">
            <v>7.5512540894220215E-2</v>
          </cell>
          <cell r="Q43">
            <v>7.3012540894220213E-2</v>
          </cell>
          <cell r="R43">
            <v>7.051254089422021E-2</v>
          </cell>
          <cell r="S43">
            <v>6.8012540894220208E-2</v>
          </cell>
          <cell r="T43">
            <v>6.5512540894220206E-2</v>
          </cell>
          <cell r="U43">
            <v>6.3012540894220204E-2</v>
          </cell>
        </row>
        <row r="45">
          <cell r="B45" t="str">
            <v>Total Reported Lease Commitments</v>
          </cell>
          <cell r="D45">
            <v>2101.0460000000003</v>
          </cell>
          <cell r="E45">
            <v>3412.5940000000001</v>
          </cell>
          <cell r="F45">
            <v>3516.1319999999996</v>
          </cell>
          <cell r="G45">
            <v>3483.0720000000001</v>
          </cell>
          <cell r="H45">
            <v>3949.6899999999996</v>
          </cell>
          <cell r="I45">
            <v>4039.6559999999999</v>
          </cell>
          <cell r="J45">
            <v>3832.5730000000003</v>
          </cell>
          <cell r="K45">
            <v>4845.6687543639864</v>
          </cell>
          <cell r="L45">
            <v>5260.0342018813817</v>
          </cell>
          <cell r="M45">
            <v>5696.6830061700557</v>
          </cell>
          <cell r="N45">
            <v>6155.3374296657312</v>
          </cell>
          <cell r="O45">
            <v>6635.5309426152544</v>
          </cell>
          <cell r="P45">
            <v>7136.5967442743513</v>
          </cell>
          <cell r="Q45">
            <v>7657.6578059112435</v>
          </cell>
          <cell r="R45">
            <v>8197.6187151045033</v>
          </cell>
          <cell r="S45">
            <v>8755.1595932007749</v>
          </cell>
          <cell r="T45">
            <v>9328.7323440857617</v>
          </cell>
          <cell r="U45">
            <v>9916.5594724087005</v>
          </cell>
        </row>
        <row r="46">
          <cell r="B46" t="str">
            <v>Growth in Aggregate Lease Obligations</v>
          </cell>
          <cell r="E46">
            <v>0.6242357378182104</v>
          </cell>
          <cell r="F46">
            <v>3.0339970122434501E-2</v>
          </cell>
          <cell r="G46">
            <v>-9.4023773851492631E-3</v>
          </cell>
          <cell r="H46">
            <v>0.13396737133197356</v>
          </cell>
          <cell r="I46">
            <v>0.92268803253236698</v>
          </cell>
          <cell r="J46">
            <v>-5.1262533245404973E-2</v>
          </cell>
          <cell r="K46">
            <v>0.26433827988768543</v>
          </cell>
          <cell r="L46">
            <v>8.5512540894220113E-2</v>
          </cell>
          <cell r="M46">
            <v>8.3012540894219944E-2</v>
          </cell>
          <cell r="N46">
            <v>8.0512540894220219E-2</v>
          </cell>
          <cell r="O46">
            <v>7.8012540894220272E-2</v>
          </cell>
          <cell r="P46">
            <v>7.5512540894220104E-2</v>
          </cell>
          <cell r="Q46">
            <v>7.3012540894220601E-2</v>
          </cell>
          <cell r="R46">
            <v>7.0512540894219988E-2</v>
          </cell>
          <cell r="S46">
            <v>6.8012540894220486E-2</v>
          </cell>
          <cell r="T46">
            <v>6.5512540894219873E-2</v>
          </cell>
          <cell r="U46">
            <v>6.3012540894220148E-2</v>
          </cell>
        </row>
        <row r="47">
          <cell r="B47" t="str">
            <v>Cumulative Payments After Year 5</v>
          </cell>
          <cell r="D47">
            <v>1570.1110000000001</v>
          </cell>
          <cell r="E47">
            <v>2507.444</v>
          </cell>
          <cell r="F47">
            <v>2529.4839999999999</v>
          </cell>
          <cell r="G47">
            <v>2451.4960000000001</v>
          </cell>
          <cell r="H47">
            <v>2859.415</v>
          </cell>
          <cell r="I47">
            <v>2814.9079999999999</v>
          </cell>
          <cell r="J47">
            <v>2584.3319999999999</v>
          </cell>
          <cell r="K47">
            <v>3487.5668923056437</v>
          </cell>
          <cell r="L47">
            <v>3785.797598805259</v>
          </cell>
          <cell r="M47">
            <v>4100.06627679332</v>
          </cell>
          <cell r="N47">
            <v>4430.1730305726551</v>
          </cell>
          <cell r="O47">
            <v>4775.7820852886762</v>
          </cell>
          <cell r="P47">
            <v>5136.4135253059212</v>
          </cell>
          <cell r="Q47">
            <v>5511.4361278719471</v>
          </cell>
          <cell r="R47">
            <v>5900.0614932243998</v>
          </cell>
          <cell r="S47">
            <v>6301.3396668107389</v>
          </cell>
          <cell r="T47">
            <v>6714.1564394210473</v>
          </cell>
          <cell r="U47">
            <v>7137.2324966302576</v>
          </cell>
        </row>
        <row r="48">
          <cell r="D48">
            <v>0.74729967835068811</v>
          </cell>
          <cell r="E48">
            <v>0.73476188494734507</v>
          </cell>
          <cell r="F48">
            <v>0.71939392491521936</v>
          </cell>
          <cell r="G48">
            <v>0.70383156018595083</v>
          </cell>
          <cell r="H48">
            <v>0.72395934870837975</v>
          </cell>
          <cell r="I48">
            <v>0.69681873902134239</v>
          </cell>
          <cell r="J48">
            <v>0.67430731260696131</v>
          </cell>
          <cell r="K48">
            <v>0.71972870394096944</v>
          </cell>
          <cell r="L48">
            <v>0.71972870394096955</v>
          </cell>
          <cell r="M48">
            <v>0.71972870394096944</v>
          </cell>
          <cell r="N48">
            <v>0.71972870394096944</v>
          </cell>
          <cell r="O48">
            <v>0.71972870394096944</v>
          </cell>
          <cell r="P48">
            <v>0.71972870394096944</v>
          </cell>
          <cell r="Q48">
            <v>0.71972870394096944</v>
          </cell>
          <cell r="R48">
            <v>0.71972870394096944</v>
          </cell>
          <cell r="S48">
            <v>0.71972870394096944</v>
          </cell>
          <cell r="T48">
            <v>0.71972870394096944</v>
          </cell>
          <cell r="U48">
            <v>0.71972870394096944</v>
          </cell>
        </row>
        <row r="50">
          <cell r="B50" t="str">
            <v>Implied Total Total Lease Life</v>
          </cell>
          <cell r="D50">
            <v>19.786282689971468</v>
          </cell>
          <cell r="E50">
            <v>18.850986024415839</v>
          </cell>
          <cell r="F50">
            <v>17.818573594635573</v>
          </cell>
          <cell r="G50">
            <v>16.882284969793794</v>
          </cell>
          <cell r="H50">
            <v>18.113274173946941</v>
          </cell>
          <cell r="I50">
            <v>16.491784432389355</v>
          </cell>
          <cell r="J50">
            <v>15.351895186907013</v>
          </cell>
        </row>
        <row r="51">
          <cell r="B51" t="str">
            <v>Implied Remaining Duration on Reported Lease Payements</v>
          </cell>
          <cell r="D51">
            <v>14.786282689971468</v>
          </cell>
          <cell r="E51">
            <v>13.850986024415841</v>
          </cell>
          <cell r="F51">
            <v>12.818573594635575</v>
          </cell>
          <cell r="G51">
            <v>11.882284969793792</v>
          </cell>
          <cell r="H51">
            <v>13.113274173946941</v>
          </cell>
          <cell r="I51">
            <v>11.491784432389355</v>
          </cell>
          <cell r="J51">
            <v>10.351895186907013</v>
          </cell>
        </row>
        <row r="54">
          <cell r="B54" t="str">
            <v>Lease Payment Schedule - Non Cancelable Leases Only</v>
          </cell>
          <cell r="D54" t="str">
            <v>2004A</v>
          </cell>
          <cell r="E54" t="str">
            <v>2005A</v>
          </cell>
          <cell r="F54" t="str">
            <v>2006A</v>
          </cell>
          <cell r="G54" t="str">
            <v>2007A</v>
          </cell>
          <cell r="H54" t="str">
            <v>2008A</v>
          </cell>
          <cell r="I54" t="str">
            <v>2009A</v>
          </cell>
          <cell r="J54" t="str">
            <v>2010A</v>
          </cell>
          <cell r="K54" t="str">
            <v>2011E</v>
          </cell>
          <cell r="L54" t="str">
            <v>2012E</v>
          </cell>
          <cell r="M54" t="str">
            <v>2013E</v>
          </cell>
          <cell r="N54" t="str">
            <v>2014E</v>
          </cell>
          <cell r="O54" t="str">
            <v>2015E</v>
          </cell>
          <cell r="P54" t="str">
            <v>2016E</v>
          </cell>
          <cell r="Q54" t="str">
            <v>2017E</v>
          </cell>
          <cell r="R54" t="str">
            <v>2018E</v>
          </cell>
          <cell r="S54" t="str">
            <v>2019E</v>
          </cell>
          <cell r="T54" t="str">
            <v>2020E</v>
          </cell>
          <cell r="U54" t="str">
            <v>2021E</v>
          </cell>
        </row>
        <row r="56">
          <cell r="B56" t="str">
            <v>Current year rental payment</v>
          </cell>
          <cell r="D56">
            <v>118.741</v>
          </cell>
          <cell r="E56">
            <v>168.67</v>
          </cell>
          <cell r="F56">
            <v>237</v>
          </cell>
          <cell r="G56">
            <v>246.4</v>
          </cell>
          <cell r="H56">
            <v>263.89999999999998</v>
          </cell>
          <cell r="I56">
            <v>275.10000000000002</v>
          </cell>
          <cell r="J56">
            <v>300</v>
          </cell>
          <cell r="K56">
            <v>326.40376226826606</v>
          </cell>
          <cell r="L56">
            <v>354.31537733725844</v>
          </cell>
          <cell r="M56">
            <v>383.72799708791865</v>
          </cell>
          <cell r="N56">
            <v>414.62291314571689</v>
          </cell>
          <cell r="O56">
            <v>446.96870011317787</v>
          </cell>
          <cell r="P56">
            <v>480.7204423589107</v>
          </cell>
          <cell r="Q56">
            <v>515.81906331532832</v>
          </cell>
          <cell r="R56">
            <v>552.19077611136879</v>
          </cell>
          <cell r="S56">
            <v>589.74667385305452</v>
          </cell>
          <cell r="T56">
            <v>628.38247694108304</v>
          </cell>
          <cell r="U56">
            <v>667.97845346654435</v>
          </cell>
        </row>
        <row r="57">
          <cell r="B57" t="str">
            <v>Expected payments forecast year 1</v>
          </cell>
          <cell r="D57">
            <v>106.116</v>
          </cell>
          <cell r="E57">
            <v>190.12899999999999</v>
          </cell>
          <cell r="F57">
            <v>208.25700000000001</v>
          </cell>
          <cell r="G57">
            <v>217.96899999999999</v>
          </cell>
          <cell r="H57">
            <v>229.79900000000001</v>
          </cell>
          <cell r="I57">
            <v>258.42700000000002</v>
          </cell>
          <cell r="J57">
            <v>257.971</v>
          </cell>
          <cell r="K57">
            <v>280.67568318702291</v>
          </cell>
          <cell r="L57">
            <v>304.6769740235664</v>
          </cell>
          <cell r="M57">
            <v>329.96898378922498</v>
          </cell>
          <cell r="N57">
            <v>356.53562509037926</v>
          </cell>
          <cell r="O57">
            <v>384.34987512298886</v>
          </cell>
          <cell r="P57">
            <v>413.37311078590204</v>
          </cell>
          <cell r="Q57">
            <v>443.55453194172873</v>
          </cell>
          <cell r="R57">
            <v>474.8306890140866</v>
          </cell>
          <cell r="S57">
            <v>507.12513066848794</v>
          </cell>
          <cell r="T57">
            <v>540.34818652989395</v>
          </cell>
          <cell r="U57">
            <v>574.39689873072655</v>
          </cell>
        </row>
        <row r="58">
          <cell r="B58" t="str">
            <v>Expected payments forecast year 2</v>
          </cell>
          <cell r="D58">
            <v>106.319</v>
          </cell>
          <cell r="E58">
            <v>183.595</v>
          </cell>
          <cell r="F58">
            <v>202.21199999999999</v>
          </cell>
          <cell r="G58">
            <v>215.76300000000001</v>
          </cell>
          <cell r="H58">
            <v>222.06299999999999</v>
          </cell>
          <cell r="I58">
            <v>251.553</v>
          </cell>
          <cell r="J58">
            <v>254.57499999999999</v>
          </cell>
          <cell r="K58">
            <v>276.98079259814614</v>
          </cell>
          <cell r="L58">
            <v>300.66612395210859</v>
          </cell>
          <cell r="M58">
            <v>325.62518286218966</v>
          </cell>
          <cell r="N58">
            <v>351.84209371356962</v>
          </cell>
          <cell r="O58">
            <v>379.29018943770757</v>
          </cell>
          <cell r="P58">
            <v>407.93135537839902</v>
          </cell>
          <cell r="Q58">
            <v>437.71546014499904</v>
          </cell>
          <cell r="R58">
            <v>468.57988942850568</v>
          </cell>
          <cell r="S58">
            <v>500.44919832047111</v>
          </cell>
          <cell r="T58">
            <v>533.2348968909206</v>
          </cell>
          <cell r="U58">
            <v>566.83538263748494</v>
          </cell>
        </row>
        <row r="59">
          <cell r="B59" t="str">
            <v>Expected payments forecast year 3</v>
          </cell>
          <cell r="D59">
            <v>106.095</v>
          </cell>
          <cell r="E59">
            <v>180.91</v>
          </cell>
          <cell r="F59">
            <v>199.286</v>
          </cell>
          <cell r="G59">
            <v>208.548</v>
          </cell>
          <cell r="H59">
            <v>217.77099999999999</v>
          </cell>
          <cell r="I59">
            <v>243.45699999999999</v>
          </cell>
          <cell r="J59">
            <v>251.268</v>
          </cell>
          <cell r="K59">
            <v>273.38273512540894</v>
          </cell>
          <cell r="L59">
            <v>296.76038744259421</v>
          </cell>
          <cell r="M59">
            <v>321.3952212409572</v>
          </cell>
          <cell r="N59">
            <v>347.27156713432674</v>
          </cell>
          <cell r="O59">
            <v>374.36310446679335</v>
          </cell>
          <cell r="P59">
            <v>402.63221370212938</v>
          </cell>
          <cell r="Q59">
            <v>432.02941467038647</v>
          </cell>
          <cell r="R59">
            <v>462.49290643983812</v>
          </cell>
          <cell r="S59">
            <v>493.94822415236439</v>
          </cell>
          <cell r="T59">
            <v>526.30802738677357</v>
          </cell>
          <cell r="U59">
            <v>559.47203348543894</v>
          </cell>
        </row>
        <row r="60">
          <cell r="B60" t="str">
            <v>Expected payments forecast year 4</v>
          </cell>
          <cell r="D60">
            <v>106.191</v>
          </cell>
          <cell r="E60">
            <v>178.45599999999999</v>
          </cell>
          <cell r="F60">
            <v>192.48699999999999</v>
          </cell>
          <cell r="G60">
            <v>199.024</v>
          </cell>
          <cell r="H60">
            <v>212.87100000000001</v>
          </cell>
          <cell r="I60">
            <v>237.828</v>
          </cell>
          <cell r="J60">
            <v>246.392</v>
          </cell>
          <cell r="K60">
            <v>268.07758597600872</v>
          </cell>
          <cell r="L60">
            <v>291.00158150960596</v>
          </cell>
          <cell r="M60">
            <v>315.15836219495486</v>
          </cell>
          <cell r="N60">
            <v>340.53256271933162</v>
          </cell>
          <cell r="O60">
            <v>367.09837319428709</v>
          </cell>
          <cell r="P60">
            <v>394.81890411232246</v>
          </cell>
          <cell r="Q60">
            <v>423.64563549463458</v>
          </cell>
          <cell r="R60">
            <v>453.51796569210791</v>
          </cell>
          <cell r="S60">
            <v>484.36287488000596</v>
          </cell>
          <cell r="T60">
            <v>516.09471752822435</v>
          </cell>
          <cell r="U60">
            <v>548.61515702176257</v>
          </cell>
        </row>
        <row r="61">
          <cell r="B61" t="str">
            <v>Expected payments forecast year 5</v>
          </cell>
          <cell r="D61">
            <v>106.214</v>
          </cell>
          <cell r="E61">
            <v>172.06</v>
          </cell>
          <cell r="F61">
            <v>184.40600000000001</v>
          </cell>
          <cell r="G61">
            <v>190.27199999999999</v>
          </cell>
          <cell r="H61">
            <v>207.77099999999999</v>
          </cell>
          <cell r="I61">
            <v>233.483</v>
          </cell>
          <cell r="J61">
            <v>238.035</v>
          </cell>
          <cell r="K61">
            <v>258.98506517175571</v>
          </cell>
          <cell r="L61">
            <v>281.13153614824773</v>
          </cell>
          <cell r="M61">
            <v>304.46897928940911</v>
          </cell>
          <cell r="N61">
            <v>328.98255043546914</v>
          </cell>
          <cell r="O61">
            <v>354.64731510480107</v>
          </cell>
          <cell r="P61">
            <v>381.42763498967781</v>
          </cell>
          <cell r="Q61">
            <v>409.27663578754732</v>
          </cell>
          <cell r="R61">
            <v>438.13577130556564</v>
          </cell>
          <cell r="S61">
            <v>467.93449836870616</v>
          </cell>
          <cell r="T61">
            <v>498.5900763289024</v>
          </cell>
          <cell r="U61">
            <v>530.00750390302971</v>
          </cell>
        </row>
        <row r="62">
          <cell r="B62" t="str">
            <v>Expected payments forecast year 6</v>
          </cell>
          <cell r="D62">
            <v>106.18699999999998</v>
          </cell>
          <cell r="E62">
            <v>181.03000000000003</v>
          </cell>
          <cell r="F62">
            <v>197.32959999999997</v>
          </cell>
          <cell r="G62">
            <v>206.3152</v>
          </cell>
          <cell r="H62">
            <v>218.05499999999998</v>
          </cell>
          <cell r="I62">
            <v>244.94960000000003</v>
          </cell>
          <cell r="J62">
            <v>267.12061068702292</v>
          </cell>
          <cell r="K62">
            <v>290.63057435880364</v>
          </cell>
          <cell r="L62">
            <v>315.48313323377153</v>
          </cell>
          <cell r="M62">
            <v>341.6721897327767</v>
          </cell>
          <cell r="N62">
            <v>369.18108588105463</v>
          </cell>
          <cell r="O62">
            <v>397.98184044072303</v>
          </cell>
          <cell r="P62">
            <v>428.0344604421602</v>
          </cell>
          <cell r="Q62">
            <v>459.28634398932888</v>
          </cell>
          <cell r="R62">
            <v>491.67179110203335</v>
          </cell>
          <cell r="S62">
            <v>525.11163890089495</v>
          </cell>
          <cell r="T62">
            <v>559.51303661842076</v>
          </cell>
          <cell r="U62">
            <v>594.76937471918825</v>
          </cell>
        </row>
        <row r="63">
          <cell r="B63" t="str">
            <v>Expected payments forecast year 7</v>
          </cell>
          <cell r="D63">
            <v>106.18699999999998</v>
          </cell>
          <cell r="E63">
            <v>181.03000000000003</v>
          </cell>
          <cell r="F63">
            <v>197.32959999999997</v>
          </cell>
          <cell r="G63">
            <v>206.3152</v>
          </cell>
          <cell r="H63">
            <v>218.05499999999998</v>
          </cell>
          <cell r="I63">
            <v>244.94960000000003</v>
          </cell>
          <cell r="J63">
            <v>267.12061068702292</v>
          </cell>
          <cell r="K63">
            <v>290.63057435880364</v>
          </cell>
          <cell r="L63">
            <v>315.48313323377153</v>
          </cell>
          <cell r="M63">
            <v>341.6721897327767</v>
          </cell>
          <cell r="N63">
            <v>369.18108588105463</v>
          </cell>
          <cell r="O63">
            <v>397.98184044072303</v>
          </cell>
          <cell r="P63">
            <v>428.0344604421602</v>
          </cell>
          <cell r="Q63">
            <v>459.28634398932888</v>
          </cell>
          <cell r="R63">
            <v>491.67179110203335</v>
          </cell>
          <cell r="S63">
            <v>525.11163890089495</v>
          </cell>
          <cell r="T63">
            <v>559.51303661842076</v>
          </cell>
          <cell r="U63">
            <v>594.76937471918825</v>
          </cell>
        </row>
        <row r="64">
          <cell r="B64" t="str">
            <v>Expected payments forecast year 8</v>
          </cell>
          <cell r="D64">
            <v>106.18699999999998</v>
          </cell>
          <cell r="E64">
            <v>181.03000000000003</v>
          </cell>
          <cell r="F64">
            <v>197.32959999999997</v>
          </cell>
          <cell r="G64">
            <v>206.3152</v>
          </cell>
          <cell r="H64">
            <v>218.05499999999998</v>
          </cell>
          <cell r="I64">
            <v>244.94960000000003</v>
          </cell>
          <cell r="J64">
            <v>267.12061068702292</v>
          </cell>
          <cell r="K64">
            <v>290.63057435880364</v>
          </cell>
          <cell r="L64">
            <v>315.48313323377153</v>
          </cell>
          <cell r="M64">
            <v>341.6721897327767</v>
          </cell>
          <cell r="N64">
            <v>369.18108588105463</v>
          </cell>
          <cell r="O64">
            <v>397.98184044072303</v>
          </cell>
          <cell r="P64">
            <v>428.0344604421602</v>
          </cell>
          <cell r="Q64">
            <v>459.28634398932888</v>
          </cell>
          <cell r="R64">
            <v>491.67179110203335</v>
          </cell>
          <cell r="S64">
            <v>525.11163890089495</v>
          </cell>
          <cell r="T64">
            <v>559.51303661842076</v>
          </cell>
          <cell r="U64">
            <v>594.76937471918825</v>
          </cell>
        </row>
        <row r="65">
          <cell r="B65" t="str">
            <v>Expected payments forecast year 9</v>
          </cell>
          <cell r="D65">
            <v>106.18699999999998</v>
          </cell>
          <cell r="E65">
            <v>181.03000000000003</v>
          </cell>
          <cell r="F65">
            <v>197.32959999999997</v>
          </cell>
          <cell r="G65">
            <v>206.3152</v>
          </cell>
          <cell r="H65">
            <v>218.05499999999998</v>
          </cell>
          <cell r="I65">
            <v>244.94960000000003</v>
          </cell>
          <cell r="J65">
            <v>267.12061068702292</v>
          </cell>
          <cell r="K65">
            <v>290.63057435880364</v>
          </cell>
          <cell r="L65">
            <v>315.48313323377153</v>
          </cell>
          <cell r="M65">
            <v>341.6721897327767</v>
          </cell>
          <cell r="N65">
            <v>369.18108588105463</v>
          </cell>
          <cell r="O65">
            <v>397.98184044072303</v>
          </cell>
          <cell r="P65">
            <v>428.0344604421602</v>
          </cell>
          <cell r="Q65">
            <v>459.28634398932888</v>
          </cell>
          <cell r="R65">
            <v>491.67179110203335</v>
          </cell>
          <cell r="S65">
            <v>525.11163890089495</v>
          </cell>
          <cell r="T65">
            <v>559.51303661842076</v>
          </cell>
          <cell r="U65">
            <v>594.76937471918825</v>
          </cell>
        </row>
        <row r="66">
          <cell r="B66" t="str">
            <v>Expected payments forecast year 10</v>
          </cell>
          <cell r="D66">
            <v>106.18699999999998</v>
          </cell>
          <cell r="E66">
            <v>181.03000000000003</v>
          </cell>
          <cell r="F66">
            <v>197.32959999999997</v>
          </cell>
          <cell r="G66">
            <v>206.3152</v>
          </cell>
          <cell r="H66">
            <v>218.05499999999998</v>
          </cell>
          <cell r="I66">
            <v>244.94960000000003</v>
          </cell>
          <cell r="J66">
            <v>267.12061068702292</v>
          </cell>
          <cell r="K66">
            <v>290.63057435880364</v>
          </cell>
          <cell r="L66">
            <v>315.48313323377153</v>
          </cell>
          <cell r="M66">
            <v>341.6721897327767</v>
          </cell>
          <cell r="N66">
            <v>369.18108588105463</v>
          </cell>
          <cell r="O66">
            <v>397.98184044072303</v>
          </cell>
          <cell r="P66">
            <v>428.0344604421602</v>
          </cell>
          <cell r="Q66">
            <v>459.28634398932888</v>
          </cell>
          <cell r="R66">
            <v>491.67179110203335</v>
          </cell>
          <cell r="S66">
            <v>525.11163890089495</v>
          </cell>
          <cell r="T66">
            <v>559.51303661842076</v>
          </cell>
          <cell r="U66">
            <v>594.76937471918825</v>
          </cell>
        </row>
        <row r="67">
          <cell r="B67" t="str">
            <v>Expected payments forecast year 11</v>
          </cell>
          <cell r="D67">
            <v>106.18699999999998</v>
          </cell>
          <cell r="E67">
            <v>181.03000000000003</v>
          </cell>
          <cell r="F67">
            <v>197.32959999999997</v>
          </cell>
          <cell r="G67">
            <v>206.3152</v>
          </cell>
          <cell r="H67">
            <v>218.05499999999998</v>
          </cell>
          <cell r="I67">
            <v>244.94960000000003</v>
          </cell>
          <cell r="J67">
            <v>267.12061068702292</v>
          </cell>
          <cell r="K67">
            <v>290.63057435880364</v>
          </cell>
          <cell r="L67">
            <v>315.48313323377153</v>
          </cell>
          <cell r="M67">
            <v>341.6721897327767</v>
          </cell>
          <cell r="N67">
            <v>369.18108588105463</v>
          </cell>
          <cell r="O67">
            <v>397.98184044072303</v>
          </cell>
          <cell r="P67">
            <v>428.0344604421602</v>
          </cell>
          <cell r="Q67">
            <v>459.28634398932888</v>
          </cell>
          <cell r="R67">
            <v>491.67179110203335</v>
          </cell>
          <cell r="S67">
            <v>525.11163890089495</v>
          </cell>
          <cell r="T67">
            <v>559.51303661842076</v>
          </cell>
          <cell r="U67">
            <v>594.76937471918825</v>
          </cell>
        </row>
        <row r="68">
          <cell r="B68" t="str">
            <v>Expected payments forecast year 12</v>
          </cell>
          <cell r="D68">
            <v>106.18699999999998</v>
          </cell>
          <cell r="E68">
            <v>181.03000000000003</v>
          </cell>
          <cell r="F68">
            <v>197.32959999999997</v>
          </cell>
          <cell r="G68">
            <v>206.3152</v>
          </cell>
          <cell r="H68">
            <v>218.05499999999998</v>
          </cell>
          <cell r="I68">
            <v>244.94960000000003</v>
          </cell>
          <cell r="J68">
            <v>267.12061068702292</v>
          </cell>
          <cell r="K68">
            <v>290.63057435880364</v>
          </cell>
          <cell r="L68">
            <v>315.48313323377153</v>
          </cell>
          <cell r="M68">
            <v>341.6721897327767</v>
          </cell>
          <cell r="N68">
            <v>369.18108588105463</v>
          </cell>
          <cell r="O68">
            <v>397.98184044072303</v>
          </cell>
          <cell r="P68">
            <v>428.0344604421602</v>
          </cell>
          <cell r="Q68">
            <v>459.28634398932888</v>
          </cell>
          <cell r="R68">
            <v>491.67179110203335</v>
          </cell>
          <cell r="S68">
            <v>525.11163890089495</v>
          </cell>
          <cell r="T68">
            <v>559.51303661842076</v>
          </cell>
          <cell r="U68">
            <v>594.76937471918825</v>
          </cell>
        </row>
        <row r="69">
          <cell r="B69" t="str">
            <v>Expected payments forecast year 13</v>
          </cell>
          <cell r="D69">
            <v>106.18699999999998</v>
          </cell>
          <cell r="E69">
            <v>181.03000000000003</v>
          </cell>
          <cell r="F69">
            <v>197.32959999999997</v>
          </cell>
          <cell r="G69">
            <v>206.3152</v>
          </cell>
          <cell r="H69">
            <v>218.05499999999998</v>
          </cell>
          <cell r="I69">
            <v>244.94960000000003</v>
          </cell>
          <cell r="J69">
            <v>267.12061068702292</v>
          </cell>
          <cell r="K69">
            <v>290.63057435880364</v>
          </cell>
          <cell r="L69">
            <v>315.48313323377153</v>
          </cell>
          <cell r="M69">
            <v>341.6721897327767</v>
          </cell>
          <cell r="N69">
            <v>369.18108588105463</v>
          </cell>
          <cell r="O69">
            <v>397.98184044072303</v>
          </cell>
          <cell r="P69">
            <v>428.0344604421602</v>
          </cell>
          <cell r="Q69">
            <v>459.28634398932888</v>
          </cell>
          <cell r="R69">
            <v>491.67179110203335</v>
          </cell>
          <cell r="S69">
            <v>525.11163890089495</v>
          </cell>
          <cell r="T69">
            <v>559.51303661842076</v>
          </cell>
          <cell r="U69">
            <v>594.76937471918825</v>
          </cell>
        </row>
        <row r="70">
          <cell r="B70" t="str">
            <v>Expected payments forecast year 14</v>
          </cell>
          <cell r="D70">
            <v>106.18699999999998</v>
          </cell>
          <cell r="E70">
            <v>181.03000000000003</v>
          </cell>
          <cell r="F70">
            <v>197.32959999999997</v>
          </cell>
          <cell r="G70">
            <v>206.3152</v>
          </cell>
          <cell r="H70">
            <v>218.05499999999998</v>
          </cell>
          <cell r="I70">
            <v>244.94960000000003</v>
          </cell>
          <cell r="J70">
            <v>267.12061068702292</v>
          </cell>
          <cell r="K70">
            <v>290.63057435880364</v>
          </cell>
          <cell r="L70">
            <v>315.48313323377153</v>
          </cell>
          <cell r="M70">
            <v>341.6721897327767</v>
          </cell>
          <cell r="N70">
            <v>369.18108588105463</v>
          </cell>
          <cell r="O70">
            <v>397.98184044072303</v>
          </cell>
          <cell r="P70">
            <v>428.0344604421602</v>
          </cell>
          <cell r="Q70">
            <v>459.28634398932888</v>
          </cell>
          <cell r="R70">
            <v>491.67179110203335</v>
          </cell>
          <cell r="S70">
            <v>525.11163890089495</v>
          </cell>
          <cell r="T70">
            <v>559.51303661842076</v>
          </cell>
          <cell r="U70">
            <v>594.76937471918825</v>
          </cell>
        </row>
        <row r="71">
          <cell r="B71" t="str">
            <v>Expected payments forecast year 15</v>
          </cell>
          <cell r="D71">
            <v>106.18699999999998</v>
          </cell>
          <cell r="E71">
            <v>181.03000000000003</v>
          </cell>
          <cell r="F71">
            <v>197.32959999999997</v>
          </cell>
          <cell r="G71">
            <v>206.3152</v>
          </cell>
          <cell r="H71">
            <v>218.05499999999998</v>
          </cell>
          <cell r="I71">
            <v>244.94960000000003</v>
          </cell>
          <cell r="J71">
            <v>267.12061068702292</v>
          </cell>
          <cell r="K71">
            <v>290.63057435880364</v>
          </cell>
          <cell r="L71">
            <v>315.48313323377153</v>
          </cell>
          <cell r="M71">
            <v>341.6721897327767</v>
          </cell>
          <cell r="N71">
            <v>369.18108588105463</v>
          </cell>
          <cell r="O71">
            <v>397.98184044072303</v>
          </cell>
          <cell r="P71">
            <v>428.0344604421602</v>
          </cell>
          <cell r="Q71">
            <v>459.28634398932888</v>
          </cell>
          <cell r="R71">
            <v>491.67179110203335</v>
          </cell>
          <cell r="S71">
            <v>525.11163890089495</v>
          </cell>
          <cell r="T71">
            <v>559.51303661842076</v>
          </cell>
          <cell r="U71">
            <v>594.76937471918825</v>
          </cell>
        </row>
        <row r="72">
          <cell r="B72" t="str">
            <v>Expected payments forecast year 16</v>
          </cell>
          <cell r="D72">
            <v>106.18699999999998</v>
          </cell>
          <cell r="E72">
            <v>181.03000000000003</v>
          </cell>
          <cell r="F72">
            <v>197.32959999999997</v>
          </cell>
          <cell r="G72">
            <v>206.3152</v>
          </cell>
          <cell r="H72">
            <v>218.05499999999998</v>
          </cell>
          <cell r="I72">
            <v>244.94960000000003</v>
          </cell>
          <cell r="J72">
            <v>267.12061068702292</v>
          </cell>
          <cell r="K72">
            <v>290.63057435880364</v>
          </cell>
          <cell r="L72">
            <v>315.48313323377153</v>
          </cell>
          <cell r="M72">
            <v>341.6721897327767</v>
          </cell>
          <cell r="N72">
            <v>369.18108588105463</v>
          </cell>
          <cell r="O72">
            <v>397.98184044072303</v>
          </cell>
          <cell r="P72">
            <v>428.0344604421602</v>
          </cell>
          <cell r="Q72">
            <v>459.28634398932888</v>
          </cell>
          <cell r="R72">
            <v>491.67179110203335</v>
          </cell>
          <cell r="S72">
            <v>525.11163890089495</v>
          </cell>
          <cell r="T72">
            <v>559.51303661842076</v>
          </cell>
          <cell r="U72">
            <v>594.76937471918825</v>
          </cell>
        </row>
        <row r="73">
          <cell r="B73" t="str">
            <v>Expected payments forecast year 17</v>
          </cell>
          <cell r="D73">
            <v>106.18699999999998</v>
          </cell>
          <cell r="E73">
            <v>181.03000000000003</v>
          </cell>
          <cell r="F73">
            <v>197.32959999999997</v>
          </cell>
          <cell r="G73">
            <v>206.3152</v>
          </cell>
          <cell r="H73">
            <v>218.05499999999998</v>
          </cell>
          <cell r="I73">
            <v>244.94960000000003</v>
          </cell>
          <cell r="J73">
            <v>267.12061068702292</v>
          </cell>
          <cell r="K73">
            <v>290.63057435880364</v>
          </cell>
          <cell r="L73">
            <v>315.48313323377153</v>
          </cell>
          <cell r="M73">
            <v>341.6721897327767</v>
          </cell>
          <cell r="N73">
            <v>369.18108588105463</v>
          </cell>
          <cell r="O73">
            <v>397.98184044072303</v>
          </cell>
          <cell r="P73">
            <v>428.0344604421602</v>
          </cell>
          <cell r="Q73">
            <v>459.28634398932888</v>
          </cell>
          <cell r="R73">
            <v>491.67179110203335</v>
          </cell>
          <cell r="S73">
            <v>525.11163890089495</v>
          </cell>
          <cell r="T73">
            <v>559.51303661842076</v>
          </cell>
          <cell r="U73">
            <v>594.76937471918825</v>
          </cell>
        </row>
        <row r="74">
          <cell r="B74" t="str">
            <v>Expected payments forecast year 18</v>
          </cell>
          <cell r="D74">
            <v>106.18699999999998</v>
          </cell>
          <cell r="E74">
            <v>181.03000000000003</v>
          </cell>
          <cell r="F74">
            <v>197.32959999999997</v>
          </cell>
          <cell r="G74">
            <v>0</v>
          </cell>
          <cell r="H74">
            <v>218.05499999999998</v>
          </cell>
          <cell r="I74">
            <v>0</v>
          </cell>
          <cell r="J74">
            <v>0</v>
          </cell>
          <cell r="K74">
            <v>0</v>
          </cell>
          <cell r="L74">
            <v>0</v>
          </cell>
          <cell r="M74">
            <v>0</v>
          </cell>
          <cell r="N74">
            <v>0</v>
          </cell>
          <cell r="O74">
            <v>0</v>
          </cell>
          <cell r="P74">
            <v>0</v>
          </cell>
          <cell r="Q74">
            <v>0</v>
          </cell>
          <cell r="R74">
            <v>0</v>
          </cell>
          <cell r="S74">
            <v>0</v>
          </cell>
          <cell r="T74">
            <v>0</v>
          </cell>
          <cell r="U74">
            <v>0</v>
          </cell>
        </row>
        <row r="75">
          <cell r="B75" t="str">
            <v>Expected payments forecast year 19</v>
          </cell>
          <cell r="D75">
            <v>106.18699999999998</v>
          </cell>
          <cell r="E75">
            <v>181.03000000000003</v>
          </cell>
          <cell r="F75">
            <v>0</v>
          </cell>
          <cell r="G75">
            <v>0</v>
          </cell>
          <cell r="H75">
            <v>218.05499999999998</v>
          </cell>
          <cell r="I75">
            <v>0</v>
          </cell>
          <cell r="J75">
            <v>0</v>
          </cell>
          <cell r="K75">
            <v>0</v>
          </cell>
          <cell r="L75">
            <v>0</v>
          </cell>
          <cell r="M75">
            <v>0</v>
          </cell>
          <cell r="N75">
            <v>0</v>
          </cell>
          <cell r="O75">
            <v>0</v>
          </cell>
          <cell r="P75">
            <v>0</v>
          </cell>
          <cell r="Q75">
            <v>0</v>
          </cell>
          <cell r="R75">
            <v>0</v>
          </cell>
          <cell r="S75">
            <v>0</v>
          </cell>
          <cell r="T75">
            <v>0</v>
          </cell>
          <cell r="U75">
            <v>0</v>
          </cell>
        </row>
        <row r="76">
          <cell r="B76" t="str">
            <v>Expected payments forecast year 20</v>
          </cell>
          <cell r="D76">
            <v>106.18699999999998</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7">
          <cell r="B77" t="str">
            <v>Expected payments forecast year 21</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row>
        <row r="78">
          <cell r="B78" t="str">
            <v>Expected payments forecast year 22</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row>
        <row r="79">
          <cell r="B79" t="str">
            <v>Expected payments forecast year 23</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row>
        <row r="80">
          <cell r="B80" t="str">
            <v>Expected payments forecast year 24</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row>
        <row r="81">
          <cell r="B81" t="str">
            <v>Expected payments forecast year 25</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row>
        <row r="82">
          <cell r="B82" t="str">
            <v>Expected payments forecast year 26</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row>
        <row r="83">
          <cell r="B83" t="str">
            <v>Expected payments forecast year 27</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row>
        <row r="84">
          <cell r="B84" t="str">
            <v>Rental Payments Schedule</v>
          </cell>
        </row>
        <row r="86">
          <cell r="E86" t="str">
            <v>PV of incremental payments</v>
          </cell>
        </row>
        <row r="87">
          <cell r="A87" t="str">
            <v>Period</v>
          </cell>
          <cell r="B87" t="str">
            <v>Present Value of Incremental Lease Payments</v>
          </cell>
          <cell r="D87" t="str">
            <v>2004A</v>
          </cell>
          <cell r="E87" t="str">
            <v>2005A</v>
          </cell>
          <cell r="F87" t="str">
            <v>2006A</v>
          </cell>
          <cell r="G87" t="str">
            <v>2007A</v>
          </cell>
          <cell r="H87" t="str">
            <v>2008A</v>
          </cell>
          <cell r="I87" t="str">
            <v>2009A</v>
          </cell>
          <cell r="J87" t="str">
            <v>2010A</v>
          </cell>
          <cell r="K87" t="str">
            <v>2011E</v>
          </cell>
          <cell r="L87" t="str">
            <v>2012E</v>
          </cell>
          <cell r="M87" t="str">
            <v>2013E</v>
          </cell>
          <cell r="N87" t="str">
            <v>2014E</v>
          </cell>
          <cell r="O87" t="str">
            <v>2015E</v>
          </cell>
          <cell r="P87" t="str">
            <v>2016E</v>
          </cell>
          <cell r="Q87" t="str">
            <v>2017E</v>
          </cell>
          <cell r="R87" t="str">
            <v>2018E</v>
          </cell>
          <cell r="S87" t="str">
            <v>2019E</v>
          </cell>
          <cell r="T87" t="str">
            <v>2020E</v>
          </cell>
          <cell r="U87" t="str">
            <v>2021E</v>
          </cell>
        </row>
        <row r="88">
          <cell r="A88">
            <v>1</v>
          </cell>
          <cell r="B88" t="str">
            <v>Increase in current year lease payments versus previous years expected</v>
          </cell>
          <cell r="D88">
            <v>110.38482697264214</v>
          </cell>
          <cell r="E88">
            <v>57.701014825181716</v>
          </cell>
          <cell r="F88">
            <v>43.563112679820293</v>
          </cell>
          <cell r="G88">
            <v>35.910816849602888</v>
          </cell>
          <cell r="H88">
            <v>43.532647677498595</v>
          </cell>
          <cell r="I88">
            <v>42.950511253038769</v>
          </cell>
          <cell r="J88">
            <v>39.244492034070234</v>
          </cell>
          <cell r="K88">
            <v>65.114925508823958</v>
          </cell>
          <cell r="L88">
            <v>70.816662162224361</v>
          </cell>
          <cell r="M88">
            <v>75.560971657394063</v>
          </cell>
          <cell r="N88">
            <v>80.612747220175777</v>
          </cell>
          <cell r="O88">
            <v>86.164475661654848</v>
          </cell>
          <cell r="P88">
            <v>91.38172013727943</v>
          </cell>
          <cell r="Q88">
            <v>97.142556905731396</v>
          </cell>
          <cell r="R88">
            <v>103.01234184268401</v>
          </cell>
          <cell r="S88">
            <v>108.96693412624624</v>
          </cell>
          <cell r="T88">
            <v>114.9798912718413</v>
          </cell>
          <cell r="U88">
            <v>121.02269547688545</v>
          </cell>
        </row>
        <row r="89">
          <cell r="A89">
            <v>2</v>
          </cell>
          <cell r="B89" t="str">
            <v>PV of Increase in forecast year 1 lease commitments</v>
          </cell>
          <cell r="D89">
            <v>91.706101012452038</v>
          </cell>
          <cell r="E89">
            <v>71.310350652608108</v>
          </cell>
          <cell r="F89">
            <v>21.303828714831365</v>
          </cell>
          <cell r="G89">
            <v>13.966719371869715</v>
          </cell>
          <cell r="H89">
            <v>12.608450614342582</v>
          </cell>
          <cell r="I89">
            <v>32.688330974071725</v>
          </cell>
          <cell r="J89">
            <v>5.719188442178524</v>
          </cell>
          <cell r="K89">
            <v>23.631148550280344</v>
          </cell>
          <cell r="L89">
            <v>25.613377446175733</v>
          </cell>
          <cell r="M89">
            <v>26.772571432765968</v>
          </cell>
          <cell r="N89">
            <v>28.029698043163577</v>
          </cell>
          <cell r="O89">
            <v>29.51136059915768</v>
          </cell>
          <cell r="P89">
            <v>30.645494915982606</v>
          </cell>
          <cell r="Q89">
            <v>32.03038026587322</v>
          </cell>
          <cell r="R89">
            <v>33.371918832157782</v>
          </cell>
          <cell r="S89">
            <v>34.657668635159851</v>
          </cell>
          <cell r="T89">
            <v>35.874805158947652</v>
          </cell>
          <cell r="U89">
            <v>37.010314506903953</v>
          </cell>
        </row>
        <row r="90">
          <cell r="A90">
            <v>3</v>
          </cell>
          <cell r="B90" t="str">
            <v>PV of Increase in forecast year 2 lease commitments</v>
          </cell>
          <cell r="D90">
            <v>85.41554583382873</v>
          </cell>
          <cell r="E90">
            <v>60.825655728330332</v>
          </cell>
          <cell r="F90">
            <v>17.102690349205968</v>
          </cell>
          <cell r="G90">
            <v>13.750213763774452</v>
          </cell>
          <cell r="H90">
            <v>11.506509312249603</v>
          </cell>
          <cell r="I90">
            <v>28.791679805902753</v>
          </cell>
          <cell r="J90">
            <v>9.3525213905116686</v>
          </cell>
          <cell r="K90">
            <v>22.151272484332569</v>
          </cell>
          <cell r="L90">
            <v>24.264354558961053</v>
          </cell>
          <cell r="M90">
            <v>25.208012244852853</v>
          </cell>
          <cell r="N90">
            <v>26.291325946105346</v>
          </cell>
          <cell r="O90">
            <v>27.695263032922597</v>
          </cell>
          <cell r="P90">
            <v>28.620252001920818</v>
          </cell>
          <cell r="Q90">
            <v>29.9118966088934</v>
          </cell>
          <cell r="R90">
            <v>31.162807426475798</v>
          </cell>
          <cell r="S90">
            <v>32.361350938844723</v>
          </cell>
          <cell r="T90">
            <v>33.495522112288867</v>
          </cell>
          <cell r="U90">
            <v>34.553153955687286</v>
          </cell>
        </row>
        <row r="91">
          <cell r="A91">
            <v>4</v>
          </cell>
          <cell r="B91" t="str">
            <v>PV of Increase in forecast year 3 lease commitments</v>
          </cell>
          <cell r="D91">
            <v>79.237293625636653</v>
          </cell>
          <cell r="E91">
            <v>54.093429148740704</v>
          </cell>
          <cell r="F91">
            <v>15.543470971527421</v>
          </cell>
          <cell r="G91">
            <v>12.618691598441494</v>
          </cell>
          <cell r="H91">
            <v>15.127546748797762</v>
          </cell>
          <cell r="I91">
            <v>24.715242682463931</v>
          </cell>
          <cell r="J91">
            <v>10.672561252268197</v>
          </cell>
          <cell r="K91">
            <v>22.124864694595345</v>
          </cell>
          <cell r="L91">
            <v>24.53101256520679</v>
          </cell>
          <cell r="M91">
            <v>25.37130859707128</v>
          </cell>
          <cell r="N91">
            <v>26.406451976539788</v>
          </cell>
          <cell r="O91">
            <v>27.881283117507341</v>
          </cell>
          <cell r="P91">
            <v>28.727762581581608</v>
          </cell>
          <cell r="Q91">
            <v>30.083234659707632</v>
          </cell>
          <cell r="R91">
            <v>31.406430972355675</v>
          </cell>
          <cell r="S91">
            <v>32.686142642259242</v>
          </cell>
          <cell r="T91">
            <v>33.910728093193043</v>
          </cell>
          <cell r="U91">
            <v>35.068343484019067</v>
          </cell>
        </row>
        <row r="92">
          <cell r="A92">
            <v>5</v>
          </cell>
          <cell r="B92" t="str">
            <v>PV of Increase in forecast year 4 lease commitments</v>
          </cell>
          <cell r="D92">
            <v>73.727771351727839</v>
          </cell>
          <cell r="E92">
            <v>48.242698130968172</v>
          </cell>
          <cell r="F92">
            <v>14.167003771692105</v>
          </cell>
          <cell r="G92">
            <v>10.812848990835043</v>
          </cell>
          <cell r="H92">
            <v>17.283636645893324</v>
          </cell>
          <cell r="I92">
            <v>23.02758399510785</v>
          </cell>
          <cell r="J92">
            <v>9.6767458502456538</v>
          </cell>
          <cell r="K92">
            <v>23.432557987945774</v>
          </cell>
          <cell r="L92">
            <v>26.332461651343383</v>
          </cell>
          <cell r="M92">
            <v>27.150112687083716</v>
          </cell>
          <cell r="N92">
            <v>28.239166876397171</v>
          </cell>
          <cell r="O92">
            <v>29.930229970585344</v>
          </cell>
          <cell r="P92">
            <v>30.795948068859811</v>
          </cell>
          <cell r="Q92">
            <v>32.364677870830931</v>
          </cell>
          <cell r="R92">
            <v>33.915698248086521</v>
          </cell>
          <cell r="S92">
            <v>35.437912002900411</v>
          </cell>
          <cell r="T92">
            <v>36.919654277671519</v>
          </cell>
          <cell r="U92">
            <v>38.348953556601067</v>
          </cell>
        </row>
        <row r="93">
          <cell r="A93">
            <v>6</v>
          </cell>
          <cell r="B93" t="str">
            <v>PV of Increase in forecast year 5 lease commitments</v>
          </cell>
          <cell r="D93">
            <v>68.554164043610371</v>
          </cell>
          <cell r="E93">
            <v>40.576785262923266</v>
          </cell>
          <cell r="F93">
            <v>2.1761585941625228</v>
          </cell>
          <cell r="G93">
            <v>-4.9149562543105825</v>
          </cell>
          <cell r="H93">
            <v>1.0552535006304402</v>
          </cell>
          <cell r="I93">
            <v>11.206575535181456</v>
          </cell>
          <cell r="J93">
            <v>-4.8929541115704387</v>
          </cell>
          <cell r="K93">
            <v>-6.037894834597358</v>
          </cell>
          <cell r="L93">
            <v>-7.5131229628034717</v>
          </cell>
          <cell r="M93">
            <v>-8.4002338631708717</v>
          </cell>
          <cell r="N93">
            <v>-9.4621293312750812</v>
          </cell>
          <cell r="O93">
            <v>-10.873866888040641</v>
          </cell>
          <cell r="P93">
            <v>-12.033662368013191</v>
          </cell>
          <cell r="Q93">
            <v>-13.635492394537017</v>
          </cell>
          <cell r="R93">
            <v>-15.374791609312551</v>
          </cell>
          <cell r="S93">
            <v>-17.255077592977493</v>
          </cell>
          <cell r="T93">
            <v>-19.278893890611972</v>
          </cell>
          <cell r="U93">
            <v>-21.447778898333738</v>
          </cell>
        </row>
        <row r="94">
          <cell r="A94">
            <v>7</v>
          </cell>
          <cell r="B94" t="str">
            <v>PV of Increase in forecast year 6 lease commitments</v>
          </cell>
          <cell r="D94">
            <v>63.713594208520988</v>
          </cell>
          <cell r="E94">
            <v>42.525531187098863</v>
          </cell>
          <cell r="F94">
            <v>9.76516836712414</v>
          </cell>
          <cell r="G94">
            <v>5.8914220265200195</v>
          </cell>
          <cell r="H94">
            <v>8.0653824495599569</v>
          </cell>
          <cell r="I94">
            <v>18.522044818724165</v>
          </cell>
          <cell r="J94">
            <v>14.810063446284577</v>
          </cell>
          <cell r="K94">
            <v>16.602263440619012</v>
          </cell>
          <cell r="L94">
            <v>18.903205271174713</v>
          </cell>
          <cell r="M94">
            <v>19.091942882773559</v>
          </cell>
          <cell r="N94">
            <v>19.533018730847228</v>
          </cell>
          <cell r="O94">
            <v>20.531019861009145</v>
          </cell>
          <cell r="P94">
            <v>20.715085726369118</v>
          </cell>
          <cell r="Q94">
            <v>21.541665437620761</v>
          </cell>
          <cell r="R94">
            <v>22.322946690047022</v>
          </cell>
          <cell r="S94">
            <v>23.049648743788925</v>
          </cell>
          <cell r="T94">
            <v>23.712258869052025</v>
          </cell>
          <cell r="U94">
            <v>24.30128339447921</v>
          </cell>
        </row>
        <row r="95">
          <cell r="A95">
            <v>8</v>
          </cell>
          <cell r="B95" t="str">
            <v>PV of Increase in forecast year 7 lease commitments</v>
          </cell>
          <cell r="D95">
            <v>59.229870663989054</v>
          </cell>
          <cell r="E95">
            <v>39.226369304529193</v>
          </cell>
          <cell r="F95">
            <v>9.0759985900545228</v>
          </cell>
          <cell r="G95">
            <v>5.5466475468126992</v>
          </cell>
          <cell r="H95">
            <v>7.6442370634424304</v>
          </cell>
          <cell r="I95">
            <v>17.561009567468723</v>
          </cell>
          <cell r="J95">
            <v>13.980550283640584</v>
          </cell>
          <cell r="K95">
            <v>15.797333198035908</v>
          </cell>
          <cell r="L95">
            <v>18.178536955095119</v>
          </cell>
          <cell r="M95">
            <v>18.249045984837824</v>
          </cell>
          <cell r="N95">
            <v>18.600557745710748</v>
          </cell>
          <cell r="O95">
            <v>19.561919802869578</v>
          </cell>
          <cell r="P95">
            <v>19.642721017016196</v>
          </cell>
          <cell r="Q95">
            <v>20.42650206231648</v>
          </cell>
          <cell r="R95">
            <v>21.167328021579134</v>
          </cell>
          <cell r="S95">
            <v>21.856398479438202</v>
          </cell>
          <cell r="T95">
            <v>22.484682622396683</v>
          </cell>
          <cell r="U95">
            <v>23.043176908870102</v>
          </cell>
        </row>
        <row r="96">
          <cell r="A96">
            <v>9</v>
          </cell>
          <cell r="B96" t="str">
            <v>PV of Increase in forecast year 8 lease commitments</v>
          </cell>
          <cell r="D96">
            <v>55.061680673536557</v>
          </cell>
          <cell r="E96">
            <v>36.183158819239253</v>
          </cell>
          <cell r="F96">
            <v>8.43546647736202</v>
          </cell>
          <cell r="G96">
            <v>5.2220497649081095</v>
          </cell>
          <cell r="H96">
            <v>7.2450823810959024</v>
          </cell>
          <cell r="I96">
            <v>16.649838613767614</v>
          </cell>
          <cell r="J96">
            <v>13.197498237756511</v>
          </cell>
          <cell r="K96">
            <v>15.031428519511719</v>
          </cell>
          <cell r="L96">
            <v>17.481649333389637</v>
          </cell>
          <cell r="M96">
            <v>17.443362438362023</v>
          </cell>
          <cell r="N96">
            <v>17.712610284099874</v>
          </cell>
          <cell r="O96">
            <v>18.638562962994087</v>
          </cell>
          <cell r="P96">
            <v>18.625869767035628</v>
          </cell>
          <cell r="Q96">
            <v>19.369068176740889</v>
          </cell>
          <cell r="R96">
            <v>20.071533646268165</v>
          </cell>
          <cell r="S96">
            <v>20.724921225565865</v>
          </cell>
          <cell r="T96">
            <v>21.320657615194079</v>
          </cell>
          <cell r="U96">
            <v>21.850204099677914</v>
          </cell>
        </row>
        <row r="97">
          <cell r="A97">
            <v>10</v>
          </cell>
          <cell r="B97" t="str">
            <v>PV of Increase in forecast year 9 lease commitments</v>
          </cell>
          <cell r="D97">
            <v>51.186819160788666</v>
          </cell>
          <cell r="E97">
            <v>33.376042834204512</v>
          </cell>
          <cell r="F97">
            <v>7.8401394606509003</v>
          </cell>
          <cell r="G97">
            <v>4.9164479114680795</v>
          </cell>
          <cell r="H97">
            <v>6.8667701267270616</v>
          </cell>
          <cell r="I97">
            <v>15.785944697510098</v>
          </cell>
          <cell r="J97">
            <v>12.45830501674865</v>
          </cell>
          <cell r="K97">
            <v>14.302657322267658</v>
          </cell>
          <cell r="L97">
            <v>16.811477412649861</v>
          </cell>
          <cell r="M97">
            <v>16.673249298010525</v>
          </cell>
          <cell r="N97">
            <v>16.86705137370129</v>
          </cell>
          <cell r="O97">
            <v>17.75879018144909</v>
          </cell>
          <cell r="P97">
            <v>17.661658192774699</v>
          </cell>
          <cell r="Q97">
            <v>18.366375255572823</v>
          </cell>
          <cell r="R97">
            <v>19.032466568410086</v>
          </cell>
          <cell r="S97">
            <v>19.652019073956364</v>
          </cell>
          <cell r="T97">
            <v>20.216893819597079</v>
          </cell>
          <cell r="U97">
            <v>20.718992918628413</v>
          </cell>
        </row>
        <row r="98">
          <cell r="A98">
            <v>11</v>
          </cell>
          <cell r="B98" t="str">
            <v>PV of Increase in forecast year 10 lease commitments</v>
          </cell>
          <cell r="D98">
            <v>47.584643689572935</v>
          </cell>
          <cell r="E98">
            <v>30.786704965027578</v>
          </cell>
          <cell r="F98">
            <v>7.2868272225862603</v>
          </cell>
          <cell r="G98">
            <v>4.6287303174722192</v>
          </cell>
          <cell r="H98">
            <v>6.5082119833920808</v>
          </cell>
          <cell r="I98">
            <v>14.966874801224145</v>
          </cell>
          <cell r="J98">
            <v>11.760514083366845</v>
          </cell>
          <cell r="K98">
            <v>13.609219257682492</v>
          </cell>
          <cell r="L98">
            <v>16.166997026775171</v>
          </cell>
          <cell r="M98">
            <v>15.937136153418891</v>
          </cell>
          <cell r="N98">
            <v>16.06185748344862</v>
          </cell>
          <cell r="O98">
            <v>16.920544214427522</v>
          </cell>
          <cell r="P98">
            <v>16.747361278691631</v>
          </cell>
          <cell r="Q98">
            <v>17.415589482698437</v>
          </cell>
          <cell r="R98">
            <v>18.047190118179973</v>
          </cell>
          <cell r="S98">
            <v>18.634659667933192</v>
          </cell>
          <cell r="T98">
            <v>19.170271531474143</v>
          </cell>
          <cell r="U98">
            <v>19.646345892416733</v>
          </cell>
        </row>
        <row r="99">
          <cell r="A99">
            <v>12</v>
          </cell>
          <cell r="B99" t="str">
            <v>PV of Increase in forecast year 11 lease commitments</v>
          </cell>
          <cell r="D99">
            <v>44.235964496074111</v>
          </cell>
          <cell r="E99">
            <v>28.398249825839311</v>
          </cell>
          <cell r="F99">
            <v>6.77256460019857</v>
          </cell>
          <cell r="G99">
            <v>4.357850370368066</v>
          </cell>
          <cell r="H99">
            <v>6.1683764621602375</v>
          </cell>
          <cell r="I99">
            <v>14.190303184759715</v>
          </cell>
          <cell r="J99">
            <v>11.101806491262623</v>
          </cell>
          <cell r="K99">
            <v>12.949401263730419</v>
          </cell>
          <cell r="L99">
            <v>15.547223271827795</v>
          </cell>
          <cell r="M99">
            <v>15.233521926821918</v>
          </cell>
          <cell r="N99">
            <v>15.295101680952717</v>
          </cell>
          <cell r="O99">
            <v>16.121864923629307</v>
          </cell>
          <cell r="P99">
            <v>15.880395076027481</v>
          </cell>
          <cell r="Q99">
            <v>16.514023742264918</v>
          </cell>
          <cell r="R99">
            <v>17.112919651850511</v>
          </cell>
          <cell r="S99">
            <v>17.669967631971527</v>
          </cell>
          <cell r="T99">
            <v>18.177832552803714</v>
          </cell>
          <cell r="U99">
            <v>18.629231084752519</v>
          </cell>
        </row>
        <row r="100">
          <cell r="A100">
            <v>13</v>
          </cell>
          <cell r="B100" t="str">
            <v>PV of Increase in forecast year 12 lease commitments</v>
          </cell>
          <cell r="D100">
            <v>41.122942259767747</v>
          </cell>
          <cell r="E100">
            <v>26.19509278719136</v>
          </cell>
          <cell r="F100">
            <v>6.2945956947752828</v>
          </cell>
          <cell r="G100">
            <v>4.1028227068731278</v>
          </cell>
          <cell r="H100">
            <v>5.8462859347585932</v>
          </cell>
          <cell r="I100">
            <v>13.454024781374667</v>
          </cell>
          <cell r="J100">
            <v>10.47999317850878</v>
          </cell>
          <cell r="K100">
            <v>12.321573333050873</v>
          </cell>
          <cell r="L100">
            <v>14.951209000888824</v>
          </cell>
          <cell r="M100">
            <v>14.56097181206435</v>
          </cell>
          <cell r="N100">
            <v>14.564949021104981</v>
          </cell>
          <cell r="O100">
            <v>15.360884692711572</v>
          </cell>
          <cell r="P100">
            <v>15.058309400155231</v>
          </cell>
          <cell r="Q100">
            <v>15.659130024339216</v>
          </cell>
          <cell r="R100">
            <v>16.227014681675278</v>
          </cell>
          <cell r="S100">
            <v>16.755216444988676</v>
          </cell>
          <cell r="T100">
            <v>17.236771830553252</v>
          </cell>
          <cell r="U100">
            <v>17.664773526310878</v>
          </cell>
        </row>
        <row r="101">
          <cell r="A101">
            <v>14</v>
          </cell>
          <cell r="B101" t="str">
            <v>PV of Increase in forecast year 13 lease commitments</v>
          </cell>
          <cell r="D101">
            <v>38.228993068530805</v>
          </cell>
          <cell r="E101">
            <v>24.162858286612199</v>
          </cell>
          <cell r="F101">
            <v>5.850359103185494</v>
          </cell>
          <cell r="G101">
            <v>3.8627196285796308</v>
          </cell>
          <cell r="H101">
            <v>5.5410138211613402</v>
          </cell>
          <cell r="I101">
            <v>12.755948936471491</v>
          </cell>
          <cell r="J101">
            <v>9.8930076927596833</v>
          </cell>
          <cell r="K101">
            <v>11.724184486195641</v>
          </cell>
          <cell r="L101">
            <v>14.378043376615047</v>
          </cell>
          <cell r="M101">
            <v>13.918114348752281</v>
          </cell>
          <cell r="N101">
            <v>13.86965215481804</v>
          </cell>
          <cell r="O101">
            <v>14.635824060090361</v>
          </cell>
          <cell r="P101">
            <v>14.278780905967619</v>
          </cell>
          <cell r="Q101">
            <v>14.848492223708725</v>
          </cell>
          <cell r="R101">
            <v>15.386971413193734</v>
          </cell>
          <cell r="S101">
            <v>15.887820734343684</v>
          </cell>
          <cell r="T101">
            <v>16.34442952841091</v>
          </cell>
          <cell r="U101">
            <v>16.750247088364947</v>
          </cell>
        </row>
        <row r="102">
          <cell r="A102">
            <v>15</v>
          </cell>
          <cell r="B102" t="str">
            <v>PV of Increase in forecast year 14 lease commitments</v>
          </cell>
          <cell r="D102">
            <v>35.538700071652656</v>
          </cell>
          <cell r="E102">
            <v>22.288286028304753</v>
          </cell>
          <cell r="F102">
            <v>5.4374741914932914</v>
          </cell>
          <cell r="G102">
            <v>3.6366677273232106</v>
          </cell>
          <cell r="H102">
            <v>5.2516819240331571</v>
          </cell>
          <cell r="I102">
            <v>12.094093471206076</v>
          </cell>
          <cell r="J102">
            <v>9.3388993238761486</v>
          </cell>
          <cell r="K102">
            <v>11.155758940105724</v>
          </cell>
          <cell r="L102">
            <v>13.8268504792846</v>
          </cell>
          <cell r="M102">
            <v>13.303638625578843</v>
          </cell>
          <cell r="N102">
            <v>13.207547147395003</v>
          </cell>
          <cell r="O102">
            <v>13.944987557881801</v>
          </cell>
          <cell r="P102">
            <v>13.539606521733688</v>
          </cell>
          <cell r="Q102">
            <v>14.079819311471756</v>
          </cell>
          <cell r="R102">
            <v>14.590415668866465</v>
          </cell>
          <cell r="S102">
            <v>15.065328968766519</v>
          </cell>
          <cell r="T102">
            <v>15.498283508961201</v>
          </cell>
          <cell r="U102">
            <v>15.883066777130256</v>
          </cell>
        </row>
        <row r="103">
          <cell r="A103">
            <v>16</v>
          </cell>
          <cell r="B103" t="str">
            <v>PV of Increase in forecast year 15 lease commitments</v>
          </cell>
          <cell r="D103">
            <v>33.037731350098149</v>
          </cell>
          <cell r="E103">
            <v>20.559144459940267</v>
          </cell>
          <cell r="F103">
            <v>5.0537283373010373</v>
          </cell>
          <cell r="G103">
            <v>3.4238447080398879</v>
          </cell>
          <cell r="H103">
            <v>4.9774579023583936</v>
          </cell>
          <cell r="I103">
            <v>11.466579054112254</v>
          </cell>
          <cell r="J103">
            <v>8.8158266211926382</v>
          </cell>
          <cell r="K103">
            <v>10.614892462352547</v>
          </cell>
          <cell r="L103">
            <v>13.296787968204178</v>
          </cell>
          <cell r="M103">
            <v>12.716291607121319</v>
          </cell>
          <cell r="N103">
            <v>12.577049496520008</v>
          </cell>
          <cell r="O103">
            <v>13.286759747252498</v>
          </cell>
          <cell r="P103">
            <v>12.83869722286704</v>
          </cell>
          <cell r="Q103">
            <v>13.350938860119362</v>
          </cell>
          <cell r="R103">
            <v>13.835096178041084</v>
          </cell>
          <cell r="S103">
            <v>14.285416529564801</v>
          </cell>
          <cell r="T103">
            <v>14.695942205056081</v>
          </cell>
          <cell r="U103">
            <v>15.060781427040071</v>
          </cell>
        </row>
        <row r="104">
          <cell r="A104">
            <v>17</v>
          </cell>
          <cell r="B104" t="str">
            <v>PV of Increase in forecast year 16 lease commitments</v>
          </cell>
          <cell r="D104">
            <v>30.712763566495301</v>
          </cell>
          <cell r="E104">
            <v>18.964150961985901</v>
          </cell>
          <cell r="F104">
            <v>4.6970650724551621</v>
          </cell>
          <cell r="G104">
            <v>3.2234763975540073</v>
          </cell>
          <cell r="H104">
            <v>4.7175528769882922</v>
          </cell>
          <cell r="I104">
            <v>10.871623864760309</v>
          </cell>
          <cell r="J104">
            <v>8.322051273883023</v>
          </cell>
          <cell r="K104">
            <v>10.100248902137093</v>
          </cell>
          <cell r="L104">
            <v>12.787045794432231</v>
          </cell>
          <cell r="M104">
            <v>12.154875578658336</v>
          </cell>
          <cell r="N104">
            <v>11.976650340340697</v>
          </cell>
          <cell r="O104">
            <v>12.659601440908336</v>
          </cell>
          <cell r="P104">
            <v>12.174072128009509</v>
          </cell>
          <cell r="Q104">
            <v>12.659790903809062</v>
          </cell>
          <cell r="R104">
            <v>13.118878214284468</v>
          </cell>
          <cell r="S104">
            <v>13.545879140525123</v>
          </cell>
          <cell r="T104">
            <v>13.935137860232908</v>
          </cell>
          <cell r="U104">
            <v>14.281066772298633</v>
          </cell>
        </row>
        <row r="105">
          <cell r="A105">
            <v>18</v>
          </cell>
          <cell r="B105" t="str">
            <v>PV of Increase in forecast year 17 lease commitments</v>
          </cell>
          <cell r="D105">
            <v>28.551410988110696</v>
          </cell>
          <cell r="E105">
            <v>17.492898228802837</v>
          </cell>
          <cell r="F105">
            <v>4.3655730625720048</v>
          </cell>
          <cell r="G105">
            <v>3.0348339284162149</v>
          </cell>
          <cell r="H105">
            <v>83.048407485594325</v>
          </cell>
          <cell r="I105">
            <v>10.307538534297088</v>
          </cell>
          <cell r="J105">
            <v>94.649787157682766</v>
          </cell>
          <cell r="K105">
            <v>118.80586919193428</v>
          </cell>
          <cell r="L105">
            <v>156.09850065288751</v>
          </cell>
          <cell r="M105">
            <v>151.57596267816965</v>
          </cell>
          <cell r="N105">
            <v>153.05878092597879</v>
          </cell>
          <cell r="O105">
            <v>166.67880343068464</v>
          </cell>
          <cell r="P105">
            <v>164.41717386230135</v>
          </cell>
          <cell r="Q105">
            <v>176.42031518709754</v>
          </cell>
          <cell r="R105">
            <v>188.85853348608012</v>
          </cell>
          <cell r="S105">
            <v>201.70136495502476</v>
          </cell>
          <cell r="T105">
            <v>214.91128731326103</v>
          </cell>
          <cell r="U105">
            <v>228.44685815505341</v>
          </cell>
        </row>
        <row r="106">
          <cell r="A106">
            <v>19</v>
          </cell>
          <cell r="B106" t="str">
            <v>PV of Increase in forecast year 18 lease commitments</v>
          </cell>
          <cell r="D106">
            <v>26.542159504698397</v>
          </cell>
          <cell r="E106">
            <v>16.135786361152725</v>
          </cell>
          <cell r="F106">
            <v>4.0574758643257542</v>
          </cell>
          <cell r="G106">
            <v>0</v>
          </cell>
          <cell r="H106">
            <v>78.711917076652284</v>
          </cell>
          <cell r="I106">
            <v>-79.234893013744312</v>
          </cell>
          <cell r="J106">
            <v>0</v>
          </cell>
          <cell r="K106">
            <v>0</v>
          </cell>
          <cell r="L106">
            <v>0</v>
          </cell>
          <cell r="M106">
            <v>0</v>
          </cell>
          <cell r="N106">
            <v>0</v>
          </cell>
          <cell r="O106">
            <v>0</v>
          </cell>
          <cell r="P106">
            <v>0</v>
          </cell>
          <cell r="Q106">
            <v>0</v>
          </cell>
          <cell r="R106">
            <v>0</v>
          </cell>
          <cell r="S106">
            <v>0</v>
          </cell>
          <cell r="T106">
            <v>0</v>
          </cell>
          <cell r="U106">
            <v>0</v>
          </cell>
        </row>
        <row r="107">
          <cell r="A107">
            <v>20</v>
          </cell>
          <cell r="B107" t="str">
            <v>PV of Increase in forecast year 19 lease commitments</v>
          </cell>
          <cell r="D107">
            <v>24.674305289717971</v>
          </cell>
          <cell r="E107">
            <v>14.883960227017274</v>
          </cell>
          <cell r="F107">
            <v>0</v>
          </cell>
          <cell r="G107">
            <v>0</v>
          </cell>
          <cell r="H107">
            <v>74.601862666138118</v>
          </cell>
          <cell r="I107">
            <v>0</v>
          </cell>
          <cell r="J107">
            <v>0</v>
          </cell>
          <cell r="K107">
            <v>0</v>
          </cell>
          <cell r="L107">
            <v>0</v>
          </cell>
          <cell r="M107">
            <v>0</v>
          </cell>
          <cell r="N107">
            <v>0</v>
          </cell>
          <cell r="O107">
            <v>0</v>
          </cell>
          <cell r="P107">
            <v>0</v>
          </cell>
          <cell r="Q107">
            <v>0</v>
          </cell>
          <cell r="R107">
            <v>0</v>
          </cell>
          <cell r="S107">
            <v>0</v>
          </cell>
          <cell r="T107">
            <v>0</v>
          </cell>
          <cell r="U107">
            <v>0</v>
          </cell>
        </row>
        <row r="108">
          <cell r="A108">
            <v>21</v>
          </cell>
          <cell r="B108" t="str">
            <v>PV of Increase in forecast year 20 lease commitments</v>
          </cell>
          <cell r="D108">
            <v>22.937897778153015</v>
          </cell>
          <cell r="E108">
            <v>0</v>
          </cell>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row>
        <row r="109">
          <cell r="A109">
            <v>22</v>
          </cell>
          <cell r="B109" t="str">
            <v>PV of Increase in forecast year 21 lease commitments</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row>
        <row r="110">
          <cell r="A110">
            <v>23</v>
          </cell>
          <cell r="B110" t="str">
            <v>PV of Increase in forecast year 22 lease commitments</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row>
        <row r="111">
          <cell r="A111">
            <v>24</v>
          </cell>
          <cell r="B111" t="str">
            <v>PV of Increase in forecast year 23 lease commitments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row>
        <row r="112">
          <cell r="A112">
            <v>25</v>
          </cell>
          <cell r="B112" t="str">
            <v>PV of Increase in forecast year 24 lease commitments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row>
        <row r="113">
          <cell r="A113">
            <v>26</v>
          </cell>
          <cell r="B113" t="str">
            <v>PV of Increase in forecast year 25 lease commitments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row>
        <row r="114">
          <cell r="A114">
            <v>27</v>
          </cell>
          <cell r="B114" t="str">
            <v>PV of Increase in forecast year 26 lease commitments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row>
        <row r="115">
          <cell r="A115">
            <v>28</v>
          </cell>
          <cell r="B115" t="str">
            <v>PV of Increase in forecast year 27 lease commitments</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row>
        <row r="116">
          <cell r="B116" t="str">
            <v>Estimated additions to leased assets in period</v>
          </cell>
          <cell r="D116">
            <v>1111.3851796096048</v>
          </cell>
          <cell r="E116">
            <v>703.92816802569837</v>
          </cell>
          <cell r="F116">
            <v>198.78870112532414</v>
          </cell>
          <cell r="G116">
            <v>133.9918473545483</v>
          </cell>
          <cell r="H116">
            <v>406.30828465347446</v>
          </cell>
          <cell r="I116">
            <v>252.77085555769847</v>
          </cell>
          <cell r="J116">
            <v>288.58085766466667</v>
          </cell>
          <cell r="K116">
            <v>413.43170470900401</v>
          </cell>
          <cell r="L116">
            <v>492.47227196433255</v>
          </cell>
          <cell r="M116">
            <v>492.52085609056655</v>
          </cell>
          <cell r="N116">
            <v>503.4420871160246</v>
          </cell>
          <cell r="O116">
            <v>536.40830836969508</v>
          </cell>
          <cell r="P116">
            <v>539.71724643656034</v>
          </cell>
          <cell r="Q116">
            <v>568.54896458425958</v>
          </cell>
          <cell r="R116">
            <v>597.26570005092321</v>
          </cell>
          <cell r="S116">
            <v>625.68357234830069</v>
          </cell>
          <cell r="T116">
            <v>653.60615628032349</v>
          </cell>
          <cell r="U116">
            <v>680.83171012678611</v>
          </cell>
        </row>
        <row r="118">
          <cell r="B118" t="str">
            <v>Calculation of Capital expenditure financed through operating leases</v>
          </cell>
        </row>
        <row r="121">
          <cell r="B121" t="str">
            <v>Depreciation schedule</v>
          </cell>
          <cell r="D121" t="str">
            <v>2004A</v>
          </cell>
          <cell r="E121" t="str">
            <v>2005A</v>
          </cell>
          <cell r="F121" t="str">
            <v>2006A</v>
          </cell>
          <cell r="G121" t="str">
            <v>2007A</v>
          </cell>
          <cell r="H121" t="str">
            <v>2008A</v>
          </cell>
          <cell r="I121" t="str">
            <v>2009A</v>
          </cell>
          <cell r="J121" t="str">
            <v>2010A</v>
          </cell>
          <cell r="K121" t="str">
            <v>2011E</v>
          </cell>
          <cell r="L121" t="str">
            <v>2012E</v>
          </cell>
          <cell r="M121" t="str">
            <v>2013E</v>
          </cell>
          <cell r="N121" t="str">
            <v>2014E</v>
          </cell>
          <cell r="O121" t="str">
            <v>2015E</v>
          </cell>
          <cell r="P121" t="str">
            <v>2016E</v>
          </cell>
          <cell r="Q121" t="str">
            <v>2017E</v>
          </cell>
          <cell r="R121" t="str">
            <v>2018E</v>
          </cell>
          <cell r="S121" t="str">
            <v>2019E</v>
          </cell>
          <cell r="T121" t="str">
            <v>2020E</v>
          </cell>
          <cell r="U121" t="str">
            <v>2021E</v>
          </cell>
        </row>
        <row r="123">
          <cell r="B123" t="str">
            <v>Assumed Average Lease Life</v>
          </cell>
          <cell r="D123">
            <v>19.786282689971468</v>
          </cell>
          <cell r="E123">
            <v>18.850986024415839</v>
          </cell>
          <cell r="F123">
            <v>17.818573594635573</v>
          </cell>
          <cell r="G123">
            <v>16.882284969793794</v>
          </cell>
          <cell r="H123">
            <v>18.113274173946941</v>
          </cell>
          <cell r="I123">
            <v>16.491784432389355</v>
          </cell>
          <cell r="J123">
            <v>15.351895186907013</v>
          </cell>
          <cell r="K123">
            <v>15.351895186907013</v>
          </cell>
          <cell r="L123">
            <v>15.351895186907013</v>
          </cell>
          <cell r="M123">
            <v>15.351895186907013</v>
          </cell>
          <cell r="N123">
            <v>15.351895186907013</v>
          </cell>
          <cell r="O123">
            <v>15.351895186907013</v>
          </cell>
          <cell r="P123">
            <v>15.351895186907013</v>
          </cell>
          <cell r="Q123">
            <v>15.351895186907013</v>
          </cell>
          <cell r="R123">
            <v>15.351895186907013</v>
          </cell>
          <cell r="S123">
            <v>15.351895186907013</v>
          </cell>
          <cell r="T123">
            <v>15.351895186907013</v>
          </cell>
          <cell r="U123">
            <v>15.351895186907013</v>
          </cell>
        </row>
        <row r="124">
          <cell r="B124" t="str">
            <v>Fade rate for depreciation of opening balance</v>
          </cell>
          <cell r="D124">
            <v>0.88</v>
          </cell>
        </row>
        <row r="125">
          <cell r="B125" t="str">
            <v>Depreciation of take on book value</v>
          </cell>
          <cell r="D125">
            <v>98.902357379510306</v>
          </cell>
          <cell r="E125">
            <v>87.034074493969072</v>
          </cell>
          <cell r="F125">
            <v>76.589985554692788</v>
          </cell>
          <cell r="G125">
            <v>67.399187288129653</v>
          </cell>
          <cell r="H125">
            <v>59.311284813554096</v>
          </cell>
          <cell r="I125">
            <v>52.193930635927607</v>
          </cell>
          <cell r="J125">
            <v>45.930658959616295</v>
          </cell>
          <cell r="K125">
            <v>40.418979884462338</v>
          </cell>
          <cell r="L125">
            <v>35.568702298326855</v>
          </cell>
          <cell r="M125">
            <v>31.300458022527632</v>
          </cell>
          <cell r="N125">
            <v>27.544403059824315</v>
          </cell>
          <cell r="O125">
            <v>24.239074692645399</v>
          </cell>
          <cell r="P125">
            <v>21.330385729527951</v>
          </cell>
          <cell r="Q125">
            <v>18.770739441984595</v>
          </cell>
          <cell r="R125">
            <v>16.518250708946443</v>
          </cell>
          <cell r="S125">
            <v>14.536060623872871</v>
          </cell>
          <cell r="T125">
            <v>12.791733349008126</v>
          </cell>
          <cell r="U125">
            <v>11.256725347127151</v>
          </cell>
        </row>
        <row r="126">
          <cell r="B126">
            <v>2005</v>
          </cell>
          <cell r="E126">
            <v>37.341716083920971</v>
          </cell>
          <cell r="F126">
            <v>37.341716083920971</v>
          </cell>
          <cell r="G126">
            <v>37.341716083920971</v>
          </cell>
          <cell r="H126">
            <v>37.341716083920971</v>
          </cell>
          <cell r="I126">
            <v>37.341716083920971</v>
          </cell>
          <cell r="J126">
            <v>37.341716083920971</v>
          </cell>
          <cell r="K126">
            <v>37.341716083920971</v>
          </cell>
          <cell r="L126">
            <v>37.341716083920971</v>
          </cell>
          <cell r="M126">
            <v>37.341716083920971</v>
          </cell>
          <cell r="N126">
            <v>37.341716083920971</v>
          </cell>
          <cell r="O126">
            <v>37.341716083920971</v>
          </cell>
          <cell r="P126">
            <v>37.341716083920971</v>
          </cell>
          <cell r="Q126">
            <v>37.341716083920971</v>
          </cell>
          <cell r="R126">
            <v>37.341716083920971</v>
          </cell>
          <cell r="S126">
            <v>37.341716083920971</v>
          </cell>
          <cell r="T126">
            <v>37.341716083920971</v>
          </cell>
          <cell r="U126">
            <v>37.341716083920971</v>
          </cell>
        </row>
        <row r="127">
          <cell r="B127">
            <v>2006</v>
          </cell>
          <cell r="F127">
            <v>11.156263438795746</v>
          </cell>
          <cell r="G127">
            <v>11.156263438795746</v>
          </cell>
          <cell r="H127">
            <v>11.156263438795746</v>
          </cell>
          <cell r="I127">
            <v>11.156263438795746</v>
          </cell>
          <cell r="J127">
            <v>11.156263438795746</v>
          </cell>
          <cell r="K127">
            <v>11.156263438795746</v>
          </cell>
          <cell r="L127">
            <v>11.156263438795746</v>
          </cell>
          <cell r="M127">
            <v>11.156263438795746</v>
          </cell>
          <cell r="N127">
            <v>11.156263438795746</v>
          </cell>
          <cell r="O127">
            <v>11.156263438795746</v>
          </cell>
          <cell r="P127">
            <v>11.156263438795746</v>
          </cell>
          <cell r="Q127">
            <v>11.156263438795746</v>
          </cell>
          <cell r="R127">
            <v>11.156263438795746</v>
          </cell>
          <cell r="S127">
            <v>11.156263438795746</v>
          </cell>
          <cell r="T127">
            <v>11.156263438795746</v>
          </cell>
          <cell r="U127">
            <v>11.156263438795746</v>
          </cell>
        </row>
        <row r="128">
          <cell r="B128">
            <v>2007</v>
          </cell>
          <cell r="G128">
            <v>7.9368312757597597</v>
          </cell>
          <cell r="H128">
            <v>7.9368312757597597</v>
          </cell>
          <cell r="I128">
            <v>7.9368312757597597</v>
          </cell>
          <cell r="J128">
            <v>7.9368312757597597</v>
          </cell>
          <cell r="K128">
            <v>7.9368312757597597</v>
          </cell>
          <cell r="L128">
            <v>7.9368312757597597</v>
          </cell>
          <cell r="M128">
            <v>7.9368312757597597</v>
          </cell>
          <cell r="N128">
            <v>7.9368312757597597</v>
          </cell>
          <cell r="O128">
            <v>7.9368312757597597</v>
          </cell>
          <cell r="P128">
            <v>7.9368312757597597</v>
          </cell>
          <cell r="Q128">
            <v>7.9368312757597597</v>
          </cell>
          <cell r="R128">
            <v>7.9368312757597597</v>
          </cell>
          <cell r="S128">
            <v>7.9368312757597597</v>
          </cell>
          <cell r="T128">
            <v>7.9368312757597597</v>
          </cell>
          <cell r="U128">
            <v>7.9368312757597597</v>
          </cell>
        </row>
        <row r="129">
          <cell r="B129">
            <v>2008</v>
          </cell>
          <cell r="H129">
            <v>22.431520704185232</v>
          </cell>
          <cell r="I129">
            <v>22.431520704185232</v>
          </cell>
          <cell r="J129">
            <v>22.431520704185232</v>
          </cell>
          <cell r="K129">
            <v>22.431520704185232</v>
          </cell>
          <cell r="L129">
            <v>22.431520704185232</v>
          </cell>
          <cell r="M129">
            <v>22.431520704185232</v>
          </cell>
          <cell r="N129">
            <v>22.431520704185232</v>
          </cell>
          <cell r="O129">
            <v>22.431520704185232</v>
          </cell>
          <cell r="P129">
            <v>22.431520704185232</v>
          </cell>
          <cell r="Q129">
            <v>22.431520704185232</v>
          </cell>
          <cell r="R129">
            <v>22.431520704185232</v>
          </cell>
          <cell r="S129">
            <v>22.431520704185232</v>
          </cell>
          <cell r="T129">
            <v>22.431520704185232</v>
          </cell>
          <cell r="U129">
            <v>22.431520704185232</v>
          </cell>
        </row>
        <row r="130">
          <cell r="B130">
            <v>2009</v>
          </cell>
          <cell r="I130">
            <v>15.32707734532743</v>
          </cell>
          <cell r="J130">
            <v>15.32707734532743</v>
          </cell>
          <cell r="K130">
            <v>15.32707734532743</v>
          </cell>
          <cell r="L130">
            <v>15.32707734532743</v>
          </cell>
          <cell r="M130">
            <v>15.32707734532743</v>
          </cell>
          <cell r="N130">
            <v>15.32707734532743</v>
          </cell>
          <cell r="O130">
            <v>15.32707734532743</v>
          </cell>
          <cell r="P130">
            <v>15.32707734532743</v>
          </cell>
          <cell r="Q130">
            <v>15.32707734532743</v>
          </cell>
          <cell r="R130">
            <v>15.32707734532743</v>
          </cell>
          <cell r="S130">
            <v>15.32707734532743</v>
          </cell>
          <cell r="T130">
            <v>15.32707734532743</v>
          </cell>
          <cell r="U130">
            <v>15.32707734532743</v>
          </cell>
        </row>
        <row r="131">
          <cell r="B131">
            <v>2010</v>
          </cell>
          <cell r="J131">
            <v>18.79773501259865</v>
          </cell>
          <cell r="K131">
            <v>18.79773501259865</v>
          </cell>
          <cell r="L131">
            <v>18.79773501259865</v>
          </cell>
          <cell r="M131">
            <v>18.79773501259865</v>
          </cell>
          <cell r="N131">
            <v>18.79773501259865</v>
          </cell>
          <cell r="O131">
            <v>18.79773501259865</v>
          </cell>
          <cell r="P131">
            <v>18.79773501259865</v>
          </cell>
          <cell r="Q131">
            <v>18.79773501259865</v>
          </cell>
          <cell r="R131">
            <v>18.79773501259865</v>
          </cell>
          <cell r="S131">
            <v>18.79773501259865</v>
          </cell>
          <cell r="T131">
            <v>18.79773501259865</v>
          </cell>
          <cell r="U131">
            <v>18.79773501259865</v>
          </cell>
        </row>
        <row r="132">
          <cell r="B132">
            <v>2011</v>
          </cell>
          <cell r="K132">
            <v>26.930336592032138</v>
          </cell>
          <cell r="L132">
            <v>26.930336592032138</v>
          </cell>
          <cell r="M132">
            <v>26.930336592032138</v>
          </cell>
          <cell r="N132">
            <v>26.930336592032138</v>
          </cell>
          <cell r="O132">
            <v>26.930336592032138</v>
          </cell>
          <cell r="P132">
            <v>26.930336592032138</v>
          </cell>
          <cell r="Q132">
            <v>26.930336592032138</v>
          </cell>
          <cell r="R132">
            <v>26.930336592032138</v>
          </cell>
          <cell r="S132">
            <v>26.930336592032138</v>
          </cell>
          <cell r="T132">
            <v>26.930336592032138</v>
          </cell>
          <cell r="U132">
            <v>26.930336592032138</v>
          </cell>
        </row>
        <row r="133">
          <cell r="B133">
            <v>2012</v>
          </cell>
          <cell r="L133">
            <v>32.078923544523768</v>
          </cell>
          <cell r="M133">
            <v>32.078923544523768</v>
          </cell>
          <cell r="N133">
            <v>32.078923544523768</v>
          </cell>
          <cell r="O133">
            <v>32.078923544523768</v>
          </cell>
          <cell r="P133">
            <v>32.078923544523768</v>
          </cell>
          <cell r="Q133">
            <v>32.078923544523768</v>
          </cell>
          <cell r="R133">
            <v>32.078923544523768</v>
          </cell>
          <cell r="S133">
            <v>32.078923544523768</v>
          </cell>
          <cell r="T133">
            <v>32.078923544523768</v>
          </cell>
          <cell r="U133">
            <v>32.078923544523768</v>
          </cell>
        </row>
        <row r="134">
          <cell r="B134">
            <v>2013</v>
          </cell>
          <cell r="M134">
            <v>32.082088243451331</v>
          </cell>
          <cell r="N134">
            <v>32.082088243451331</v>
          </cell>
          <cell r="O134">
            <v>32.082088243451331</v>
          </cell>
          <cell r="P134">
            <v>32.082088243451331</v>
          </cell>
          <cell r="Q134">
            <v>32.082088243451331</v>
          </cell>
          <cell r="R134">
            <v>32.082088243451331</v>
          </cell>
          <cell r="S134">
            <v>32.082088243451331</v>
          </cell>
          <cell r="T134">
            <v>32.082088243451331</v>
          </cell>
          <cell r="U134">
            <v>32.082088243451331</v>
          </cell>
        </row>
        <row r="135">
          <cell r="B135">
            <v>2014</v>
          </cell>
          <cell r="N135">
            <v>32.793481259915666</v>
          </cell>
          <cell r="O135">
            <v>32.793481259915666</v>
          </cell>
          <cell r="P135">
            <v>32.793481259915666</v>
          </cell>
          <cell r="Q135">
            <v>32.793481259915666</v>
          </cell>
          <cell r="R135">
            <v>32.793481259915666</v>
          </cell>
          <cell r="S135">
            <v>32.793481259915666</v>
          </cell>
          <cell r="T135">
            <v>32.793481259915666</v>
          </cell>
          <cell r="U135">
            <v>32.793481259915666</v>
          </cell>
        </row>
        <row r="136">
          <cell r="B136">
            <v>2015</v>
          </cell>
          <cell r="O136">
            <v>34.940852698575952</v>
          </cell>
          <cell r="P136">
            <v>34.940852698575952</v>
          </cell>
          <cell r="Q136">
            <v>34.940852698575952</v>
          </cell>
          <cell r="R136">
            <v>34.940852698575952</v>
          </cell>
          <cell r="S136">
            <v>34.940852698575952</v>
          </cell>
          <cell r="T136">
            <v>34.940852698575952</v>
          </cell>
          <cell r="U136">
            <v>34.940852698575952</v>
          </cell>
        </row>
        <row r="137">
          <cell r="B137">
            <v>2016</v>
          </cell>
          <cell r="P137">
            <v>35.156392084858844</v>
          </cell>
          <cell r="Q137">
            <v>35.156392084858844</v>
          </cell>
          <cell r="R137">
            <v>35.156392084858844</v>
          </cell>
          <cell r="S137">
            <v>35.156392084858844</v>
          </cell>
          <cell r="T137">
            <v>35.156392084858844</v>
          </cell>
          <cell r="U137">
            <v>35.156392084858844</v>
          </cell>
        </row>
        <row r="138">
          <cell r="B138">
            <v>2017</v>
          </cell>
          <cell r="Q138">
            <v>37.034448037995411</v>
          </cell>
          <cell r="R138">
            <v>37.034448037995411</v>
          </cell>
          <cell r="S138">
            <v>37.034448037995411</v>
          </cell>
          <cell r="T138">
            <v>37.034448037995411</v>
          </cell>
          <cell r="U138">
            <v>37.034448037995411</v>
          </cell>
        </row>
        <row r="139">
          <cell r="B139">
            <v>2018</v>
          </cell>
          <cell r="R139">
            <v>38.905014187453943</v>
          </cell>
          <cell r="S139">
            <v>38.905014187453943</v>
          </cell>
          <cell r="T139">
            <v>38.905014187453943</v>
          </cell>
          <cell r="U139">
            <v>38.905014187453943</v>
          </cell>
        </row>
        <row r="140">
          <cell r="B140">
            <v>2019</v>
          </cell>
          <cell r="S140">
            <v>40.756112827158951</v>
          </cell>
          <cell r="T140">
            <v>40.756112827158951</v>
          </cell>
          <cell r="U140">
            <v>40.756112827158951</v>
          </cell>
        </row>
        <row r="141">
          <cell r="B141">
            <v>2020</v>
          </cell>
          <cell r="T141">
            <v>42.574949107114591</v>
          </cell>
          <cell r="U141">
            <v>44.348381866718249</v>
          </cell>
        </row>
        <row r="142">
          <cell r="U142">
            <v>44.348381866718249</v>
          </cell>
        </row>
        <row r="143">
          <cell r="D143">
            <v>98.902357379510306</v>
          </cell>
          <cell r="E143">
            <v>124.37579057789004</v>
          </cell>
          <cell r="F143">
            <v>125.08796507740951</v>
          </cell>
          <cell r="G143">
            <v>123.83399808660613</v>
          </cell>
          <cell r="H143">
            <v>138.17761631621579</v>
          </cell>
          <cell r="I143">
            <v>146.38733948391678</v>
          </cell>
          <cell r="J143">
            <v>158.92180282020408</v>
          </cell>
          <cell r="K143">
            <v>180.34046033708228</v>
          </cell>
          <cell r="L143">
            <v>207.56910629547056</v>
          </cell>
          <cell r="M143">
            <v>235.38295026312267</v>
          </cell>
          <cell r="N143">
            <v>264.42037656033506</v>
          </cell>
          <cell r="O143">
            <v>296.05590089173205</v>
          </cell>
          <cell r="P143">
            <v>328.30360401347343</v>
          </cell>
          <cell r="Q143">
            <v>362.77840576392549</v>
          </cell>
          <cell r="R143">
            <v>399.4309312183413</v>
          </cell>
          <cell r="S143">
            <v>438.20485396042665</v>
          </cell>
          <cell r="T143">
            <v>479.03547579267655</v>
          </cell>
          <cell r="U143">
            <v>523.6222824171175</v>
          </cell>
        </row>
        <row r="144">
          <cell r="B144" t="str">
            <v>Depreciation Schedule</v>
          </cell>
        </row>
      </sheetData>
      <sheetData sheetId="7" refreshError="1">
        <row r="1">
          <cell r="A1" t="str">
            <v>Simon Flannery / simon.flannery@morganstanley.com / 212-761-6432</v>
          </cell>
          <cell r="H1" t="str">
            <v>AMT</v>
          </cell>
        </row>
        <row r="2">
          <cell r="A2" t="str">
            <v>American Tower</v>
          </cell>
          <cell r="E2" t="str">
            <v>Mode:</v>
          </cell>
          <cell r="F2">
            <v>2</v>
          </cell>
        </row>
        <row r="3">
          <cell r="A3" t="str">
            <v>Discounted Cash Flow</v>
          </cell>
          <cell r="E3" t="str">
            <v>1 = Bull</v>
          </cell>
          <cell r="F3" t="str">
            <v>2 = Base</v>
          </cell>
          <cell r="G3" t="str">
            <v>3 = Bear</v>
          </cell>
        </row>
        <row r="4">
          <cell r="A4" t="str">
            <v>(US$ in Thousands, Except per Share Data)</v>
          </cell>
        </row>
        <row r="7">
          <cell r="A7" t="str">
            <v>Update and Check Before Running Valuation</v>
          </cell>
          <cell r="I7" t="str">
            <v>COMMENTS</v>
          </cell>
        </row>
        <row r="8">
          <cell r="A8" t="str">
            <v>Next Calendar Year</v>
          </cell>
          <cell r="H8">
            <v>40543</v>
          </cell>
        </row>
        <row r="9">
          <cell r="A9" t="str">
            <v>One Year Forward Valuation Date</v>
          </cell>
          <cell r="H9">
            <v>40908</v>
          </cell>
        </row>
        <row r="10">
          <cell r="A10" t="str">
            <v>Implied Days Before Valuation Date</v>
          </cell>
          <cell r="H10">
            <v>365</v>
          </cell>
        </row>
        <row r="11">
          <cell r="A11" t="str">
            <v>Implied Days Left After Valuation Date</v>
          </cell>
          <cell r="H11">
            <v>0</v>
          </cell>
        </row>
        <row r="12">
          <cell r="A12" t="str">
            <v>Years to Discount</v>
          </cell>
          <cell r="H12">
            <v>10</v>
          </cell>
        </row>
        <row r="13">
          <cell r="A13" t="str">
            <v>Low Perpetuity Growth Rate</v>
          </cell>
          <cell r="H13">
            <v>0.5</v>
          </cell>
        </row>
        <row r="14">
          <cell r="A14" t="str">
            <v>High Perpetuity Growth Rate</v>
          </cell>
          <cell r="H14">
            <v>3</v>
          </cell>
        </row>
        <row r="15">
          <cell r="A15" t="str">
            <v>Base WACC</v>
          </cell>
          <cell r="H15">
            <v>6.9824999999999999</v>
          </cell>
        </row>
        <row r="17">
          <cell r="A17" t="str">
            <v>Inputs</v>
          </cell>
          <cell r="H17">
            <v>40937</v>
          </cell>
        </row>
        <row r="18">
          <cell r="A18" t="str">
            <v>Current Cash Balance</v>
          </cell>
          <cell r="H18">
            <v>49.43480890566741</v>
          </cell>
        </row>
        <row r="19">
          <cell r="A19" t="str">
            <v>Current Total Debt + Minority Interest</v>
          </cell>
          <cell r="H19">
            <v>6836.7297507774983</v>
          </cell>
        </row>
        <row r="20">
          <cell r="A20" t="str">
            <v>Net Debt</v>
          </cell>
          <cell r="H20">
            <v>6787.2949418718308</v>
          </cell>
        </row>
        <row r="21">
          <cell r="A21" t="str">
            <v>Current Share Price</v>
          </cell>
          <cell r="H21">
            <v>62.32</v>
          </cell>
        </row>
        <row r="22">
          <cell r="A22" t="str">
            <v>Current Diluted Shares</v>
          </cell>
          <cell r="H22">
            <v>393.18930297842235</v>
          </cell>
        </row>
        <row r="23">
          <cell r="A23" t="str">
            <v>Market Capitalization</v>
          </cell>
          <cell r="H23">
            <v>24503.55736161528</v>
          </cell>
        </row>
        <row r="24">
          <cell r="A24" t="str">
            <v>Enterprise Value</v>
          </cell>
          <cell r="H24">
            <v>31290.85230348711</v>
          </cell>
        </row>
        <row r="25">
          <cell r="A25" t="str">
            <v>Equity Beta</v>
          </cell>
          <cell r="H25">
            <v>0.89333333333333331</v>
          </cell>
        </row>
        <row r="26">
          <cell r="A26" t="str">
            <v>Equity Market Cost of Capital</v>
          </cell>
          <cell r="H26">
            <v>0.12</v>
          </cell>
        </row>
        <row r="27">
          <cell r="A27" t="str">
            <v>Debt Cost of Capital</v>
          </cell>
          <cell r="H27">
            <v>4.4999999999999998E-2</v>
          </cell>
        </row>
        <row r="28">
          <cell r="A28" t="str">
            <v>Risk-free Rate</v>
          </cell>
          <cell r="H28">
            <v>0.03</v>
          </cell>
          <cell r="I28" t="str">
            <v>Current 10-Yr</v>
          </cell>
        </row>
        <row r="29">
          <cell r="A29" t="str">
            <v>Tax Rate</v>
          </cell>
          <cell r="H29">
            <v>0.35</v>
          </cell>
          <cell r="I29" t="str">
            <v>US Corp Tax Rate</v>
          </cell>
        </row>
        <row r="30">
          <cell r="A30" t="str">
            <v>Shareholders' Equity</v>
          </cell>
          <cell r="H30">
            <v>3236.7816192649143</v>
          </cell>
        </row>
        <row r="31">
          <cell r="A31" t="str">
            <v>Total Capital</v>
          </cell>
          <cell r="H31">
            <v>10073.511370042412</v>
          </cell>
        </row>
        <row r="32">
          <cell r="A32" t="str">
            <v>Debt / Total Capital (Target)</v>
          </cell>
          <cell r="H32">
            <v>0.5</v>
          </cell>
        </row>
        <row r="34">
          <cell r="C34" t="str">
            <v>Actual Calendar Year ending December 31,</v>
          </cell>
          <cell r="G34" t="str">
            <v>Projected Calendar Year ending December 31,</v>
          </cell>
        </row>
        <row r="35">
          <cell r="C35">
            <v>2006</v>
          </cell>
          <cell r="D35">
            <v>2007</v>
          </cell>
          <cell r="E35">
            <v>2008</v>
          </cell>
          <cell r="F35">
            <v>2009</v>
          </cell>
          <cell r="G35">
            <v>2010</v>
          </cell>
          <cell r="H35">
            <v>2011</v>
          </cell>
          <cell r="I35">
            <v>2012</v>
          </cell>
          <cell r="J35">
            <v>2013</v>
          </cell>
          <cell r="K35">
            <v>2014</v>
          </cell>
          <cell r="L35">
            <v>2015</v>
          </cell>
          <cell r="M35">
            <v>2016</v>
          </cell>
          <cell r="N35">
            <v>2017</v>
          </cell>
          <cell r="O35">
            <v>2018</v>
          </cell>
          <cell r="P35">
            <v>2019</v>
          </cell>
          <cell r="Q35">
            <v>2020</v>
          </cell>
          <cell r="R35">
            <v>2021</v>
          </cell>
        </row>
        <row r="37">
          <cell r="A37" t="str">
            <v>Net Revenue</v>
          </cell>
          <cell r="C37">
            <v>1317.385</v>
          </cell>
          <cell r="D37">
            <v>1456.5939999999998</v>
          </cell>
          <cell r="E37">
            <v>1593.5039999999999</v>
          </cell>
          <cell r="F37">
            <v>1724.114</v>
          </cell>
          <cell r="G37">
            <v>1985.335</v>
          </cell>
          <cell r="H37">
            <v>2442.4844406660486</v>
          </cell>
          <cell r="I37">
            <v>2911.4640299651196</v>
          </cell>
          <cell r="J37">
            <v>3227.6786398245722</v>
          </cell>
          <cell r="K37">
            <v>3388.5406501778916</v>
          </cell>
          <cell r="L37">
            <v>3526.7089335217506</v>
          </cell>
          <cell r="M37">
            <v>3659.6765510326509</v>
          </cell>
          <cell r="N37">
            <v>3778.2293790847666</v>
          </cell>
          <cell r="O37">
            <v>3881.2017590953283</v>
          </cell>
          <cell r="P37">
            <v>3968.3319358093891</v>
          </cell>
          <cell r="Q37">
            <v>4037.2462401908761</v>
          </cell>
          <cell r="R37">
            <v>4089.8958364881769</v>
          </cell>
        </row>
        <row r="38">
          <cell r="A38" t="str">
            <v>% Net Revenue Growth</v>
          </cell>
          <cell r="D38">
            <v>0.10567070370468756</v>
          </cell>
          <cell r="E38">
            <v>9.3993247260389712E-2</v>
          </cell>
          <cell r="F38">
            <v>8.1964023937185049E-2</v>
          </cell>
          <cell r="G38">
            <v>0.1515102829627275</v>
          </cell>
          <cell r="H38">
            <v>0.23026312469484922</v>
          </cell>
          <cell r="I38">
            <v>0.19200924333060798</v>
          </cell>
          <cell r="J38">
            <v>0.10861017227241554</v>
          </cell>
          <cell r="K38">
            <v>4.9838298140505888E-2</v>
          </cell>
          <cell r="L38">
            <v>4.0775158868643135E-2</v>
          </cell>
          <cell r="M38">
            <v>3.7703031357940731E-2</v>
          </cell>
          <cell r="N38">
            <v>3.2394345893399734E-2</v>
          </cell>
          <cell r="O38">
            <v>2.7254136707683285E-2</v>
          </cell>
          <cell r="P38">
            <v>2.2449277858301864E-2</v>
          </cell>
          <cell r="Q38">
            <v>1.7366063498776008E-2</v>
          </cell>
          <cell r="R38">
            <v>1.304096732400728E-2</v>
          </cell>
        </row>
        <row r="39">
          <cell r="A39" t="str">
            <v>Operating Income Incl. Stock Comp</v>
          </cell>
          <cell r="C39">
            <v>283.90100000000001</v>
          </cell>
          <cell r="D39">
            <v>378.36299999999977</v>
          </cell>
          <cell r="E39">
            <v>606.75399999999979</v>
          </cell>
          <cell r="F39">
            <v>672.25800000000015</v>
          </cell>
          <cell r="G39">
            <v>784.37800000000004</v>
          </cell>
          <cell r="H39">
            <v>938.72454897960154</v>
          </cell>
          <cell r="I39">
            <v>1239.1073013543553</v>
          </cell>
          <cell r="J39">
            <v>1445.3806544980666</v>
          </cell>
          <cell r="K39">
            <v>1596.4362951839876</v>
          </cell>
          <cell r="L39">
            <v>1688.6098437478581</v>
          </cell>
          <cell r="M39">
            <v>1770.311360539743</v>
          </cell>
          <cell r="N39">
            <v>1839.4036820198212</v>
          </cell>
          <cell r="O39">
            <v>1895.6405135065384</v>
          </cell>
          <cell r="P39">
            <v>1938.872028524846</v>
          </cell>
          <cell r="Q39">
            <v>1967.7537235673794</v>
          </cell>
          <cell r="R39">
            <v>1983.7947557232892</v>
          </cell>
        </row>
        <row r="40">
          <cell r="A40" t="str">
            <v>Plus: Stock-Based Compensation</v>
          </cell>
          <cell r="C40">
            <v>39.501999999999995</v>
          </cell>
          <cell r="D40">
            <v>54.198999999999998</v>
          </cell>
          <cell r="E40">
            <v>54.805999999999997</v>
          </cell>
          <cell r="F40">
            <v>60.67</v>
          </cell>
          <cell r="G40">
            <v>52.555999999999997</v>
          </cell>
          <cell r="H40">
            <v>47.832000000000008</v>
          </cell>
          <cell r="I40">
            <v>51.832000000000008</v>
          </cell>
          <cell r="J40">
            <v>55.832000000000008</v>
          </cell>
          <cell r="K40">
            <v>55.832000000000008</v>
          </cell>
          <cell r="L40">
            <v>55.832000000000008</v>
          </cell>
          <cell r="M40">
            <v>55.832000000000008</v>
          </cell>
          <cell r="N40">
            <v>55.832000000000008</v>
          </cell>
          <cell r="O40">
            <v>55.832000000000008</v>
          </cell>
          <cell r="P40">
            <v>55.832000000000008</v>
          </cell>
          <cell r="Q40">
            <v>55.832000000000008</v>
          </cell>
          <cell r="R40">
            <v>55.832000000000008</v>
          </cell>
        </row>
        <row r="41">
          <cell r="A41" t="str">
            <v>Plus: Depreciation and Amortization</v>
          </cell>
          <cell r="C41">
            <v>528.05099999999993</v>
          </cell>
          <cell r="D41">
            <v>522.928</v>
          </cell>
          <cell r="E41">
            <v>405.33199999999999</v>
          </cell>
          <cell r="F41">
            <v>414.61900000000003</v>
          </cell>
          <cell r="G41">
            <v>460.726</v>
          </cell>
          <cell r="H41">
            <v>547.75882625000008</v>
          </cell>
          <cell r="I41">
            <v>594.75337906825234</v>
          </cell>
          <cell r="J41">
            <v>606.8734629797018</v>
          </cell>
          <cell r="K41">
            <v>578.48581668173165</v>
          </cell>
          <cell r="L41">
            <v>577.67173501355853</v>
          </cell>
          <cell r="M41">
            <v>583.85939484553603</v>
          </cell>
          <cell r="N41">
            <v>593.05830258320475</v>
          </cell>
          <cell r="O41">
            <v>604.98233227858793</v>
          </cell>
          <cell r="P41">
            <v>619.37272067495758</v>
          </cell>
          <cell r="Q41">
            <v>635.99543509633793</v>
          </cell>
          <cell r="R41">
            <v>654.63879586817382</v>
          </cell>
        </row>
        <row r="42">
          <cell r="A42" t="str">
            <v>EBITDA (1)</v>
          </cell>
          <cell r="C42">
            <v>868.23399999999992</v>
          </cell>
          <cell r="D42">
            <v>978.89499999999975</v>
          </cell>
          <cell r="E42">
            <v>1092.3339999999998</v>
          </cell>
          <cell r="F42">
            <v>1180.9250000000002</v>
          </cell>
          <cell r="G42">
            <v>1347.748</v>
          </cell>
          <cell r="H42">
            <v>1584.1703752296016</v>
          </cell>
          <cell r="I42">
            <v>1899.6846804226077</v>
          </cell>
          <cell r="J42">
            <v>2122.0781174777685</v>
          </cell>
          <cell r="K42">
            <v>2244.7461118657193</v>
          </cell>
          <cell r="L42">
            <v>2336.1055787614168</v>
          </cell>
          <cell r="M42">
            <v>2423.9947553852789</v>
          </cell>
          <cell r="N42">
            <v>2502.285984603026</v>
          </cell>
          <cell r="O42">
            <v>2570.4468457851262</v>
          </cell>
          <cell r="P42">
            <v>2628.0687491998037</v>
          </cell>
          <cell r="Q42">
            <v>2673.5731586637175</v>
          </cell>
          <cell r="R42">
            <v>2708.2575515914632</v>
          </cell>
        </row>
        <row r="43">
          <cell r="A43" t="str">
            <v>EBITDA as % of Net Revenue</v>
          </cell>
          <cell r="C43">
            <v>0.65905866546226044</v>
          </cell>
          <cell r="D43">
            <v>0.67204382278109065</v>
          </cell>
          <cell r="E43">
            <v>0.68549184689840748</v>
          </cell>
          <cell r="F43">
            <v>0.68494600705057795</v>
          </cell>
          <cell r="G43">
            <v>0.67885167994318341</v>
          </cell>
          <cell r="H43">
            <v>0.64858975101499905</v>
          </cell>
          <cell r="I43">
            <v>0.65248433807556494</v>
          </cell>
          <cell r="J43">
            <v>0.65746263933918336</v>
          </cell>
          <cell r="K43">
            <v>0.66245217148210234</v>
          </cell>
          <cell r="L43">
            <v>0.6624038509547755</v>
          </cell>
          <cell r="M43">
            <v>0.6623521837473042</v>
          </cell>
          <cell r="N43">
            <v>0.66229064822135719</v>
          </cell>
          <cell r="O43">
            <v>0.66228117097016703</v>
          </cell>
          <cell r="P43">
            <v>0.66226031282430442</v>
          </cell>
          <cell r="Q43">
            <v>0.6622269238988292</v>
          </cell>
          <cell r="R43">
            <v>0.66218252490188867</v>
          </cell>
        </row>
        <row r="44">
          <cell r="A44" t="str">
            <v xml:space="preserve">Cash Taxes from Operations </v>
          </cell>
          <cell r="C44">
            <v>0</v>
          </cell>
          <cell r="D44">
            <v>0</v>
          </cell>
          <cell r="E44">
            <v>0</v>
          </cell>
          <cell r="F44">
            <v>0</v>
          </cell>
          <cell r="G44">
            <v>0</v>
          </cell>
          <cell r="H44">
            <v>0</v>
          </cell>
          <cell r="I44">
            <v>-148.69287616252265</v>
          </cell>
          <cell r="J44">
            <v>-173.44567853976798</v>
          </cell>
          <cell r="K44">
            <v>-191.57235542207852</v>
          </cell>
          <cell r="L44">
            <v>-202.63318124974296</v>
          </cell>
          <cell r="M44">
            <v>-212.43736326476915</v>
          </cell>
          <cell r="N44">
            <v>-220.72844184237852</v>
          </cell>
          <cell r="O44">
            <v>-227.47686162078458</v>
          </cell>
          <cell r="P44">
            <v>-232.6646434229815</v>
          </cell>
          <cell r="Q44">
            <v>-236.13044682808555</v>
          </cell>
          <cell r="R44">
            <v>-238.0553706867947</v>
          </cell>
        </row>
        <row r="45">
          <cell r="A45" t="str">
            <v>Cash Taxes as % of EBITDA</v>
          </cell>
          <cell r="C45">
            <v>0</v>
          </cell>
          <cell r="D45">
            <v>0</v>
          </cell>
          <cell r="E45">
            <v>0</v>
          </cell>
          <cell r="F45">
            <v>0</v>
          </cell>
          <cell r="G45">
            <v>0</v>
          </cell>
          <cell r="H45">
            <v>0</v>
          </cell>
          <cell r="I45">
            <v>7.8272398411637523E-2</v>
          </cell>
          <cell r="J45">
            <v>8.1733880157965039E-2</v>
          </cell>
          <cell r="K45">
            <v>8.5342549168223425E-2</v>
          </cell>
          <cell r="L45">
            <v>8.6739736034181017E-2</v>
          </cell>
          <cell r="M45">
            <v>8.7639365882622777E-2</v>
          </cell>
          <cell r="N45">
            <v>8.8210717400231883E-2</v>
          </cell>
          <cell r="O45">
            <v>8.849701054654692E-2</v>
          </cell>
          <cell r="P45">
            <v>8.8530653352893979E-2</v>
          </cell>
          <cell r="Q45">
            <v>8.8320174094695891E-2</v>
          </cell>
          <cell r="R45">
            <v>8.789982715894408E-2</v>
          </cell>
        </row>
        <row r="46">
          <cell r="A46" t="str">
            <v>Capital Expenditures / Acqusitions</v>
          </cell>
          <cell r="C46">
            <v>-141.435</v>
          </cell>
          <cell r="D46">
            <v>-198.34300000000002</v>
          </cell>
          <cell r="E46">
            <v>-286.30099999999999</v>
          </cell>
          <cell r="F46">
            <v>-545.86599999999999</v>
          </cell>
          <cell r="G46">
            <v>-1246.2643</v>
          </cell>
          <cell r="H46">
            <v>-2716.8336528140776</v>
          </cell>
          <cell r="I46">
            <v>-828.46184825202045</v>
          </cell>
          <cell r="J46">
            <v>-449.81266773343339</v>
          </cell>
          <cell r="K46">
            <v>-422.2</v>
          </cell>
          <cell r="L46">
            <v>-432.5</v>
          </cell>
          <cell r="M46">
            <v>-426</v>
          </cell>
          <cell r="N46">
            <v>-433.5</v>
          </cell>
          <cell r="O46">
            <v>-421</v>
          </cell>
          <cell r="P46">
            <v>-426</v>
          </cell>
          <cell r="Q46">
            <v>-406</v>
          </cell>
          <cell r="R46">
            <v>-408.5</v>
          </cell>
        </row>
        <row r="47">
          <cell r="A47" t="str">
            <v>% Y/Y Capex Growth</v>
          </cell>
          <cell r="D47">
            <v>0.4023615088203063</v>
          </cell>
          <cell r="E47">
            <v>0.443464100069072</v>
          </cell>
          <cell r="F47">
            <v>0.90661576452754278</v>
          </cell>
          <cell r="G47">
            <v>1.2830956681676455</v>
          </cell>
          <cell r="H47">
            <v>1.179981929045129</v>
          </cell>
          <cell r="I47">
            <v>-0.69506346205852343</v>
          </cell>
          <cell r="J47">
            <v>-0.45705083621835163</v>
          </cell>
          <cell r="K47">
            <v>-6.1387038903486624E-2</v>
          </cell>
          <cell r="L47">
            <v>2.439602084320236E-2</v>
          </cell>
          <cell r="M47">
            <v>-1.5028901734104094E-2</v>
          </cell>
          <cell r="N47">
            <v>1.7605633802816989E-2</v>
          </cell>
          <cell r="O47">
            <v>-2.8835063437139596E-2</v>
          </cell>
          <cell r="P47">
            <v>1.1876484560570111E-2</v>
          </cell>
          <cell r="Q47">
            <v>-4.6948356807511749E-2</v>
          </cell>
          <cell r="R47">
            <v>6.1576354679802048E-3</v>
          </cell>
        </row>
        <row r="48">
          <cell r="A48" t="str">
            <v>% of Net Revenue</v>
          </cell>
          <cell r="C48">
            <v>0.10736041476106074</v>
          </cell>
          <cell r="D48">
            <v>0.13616903543471964</v>
          </cell>
          <cell r="E48">
            <v>0.17966757535594513</v>
          </cell>
          <cell r="F48">
            <v>0.31660667450064206</v>
          </cell>
          <cell r="G48">
            <v>0.62773501701224232</v>
          </cell>
          <cell r="H48">
            <v>1.1123238320704372</v>
          </cell>
          <cell r="I48">
            <v>0.28455163440983527</v>
          </cell>
          <cell r="J48">
            <v>0.13936104486470227</v>
          </cell>
          <cell r="K48">
            <v>0.12459640995536982</v>
          </cell>
          <cell r="L48">
            <v>0.12263558126077279</v>
          </cell>
          <cell r="M48">
            <v>0.11640372969020871</v>
          </cell>
          <cell r="N48">
            <v>0.11473628424990186</v>
          </cell>
          <cell r="O48">
            <v>0.10847155755647477</v>
          </cell>
          <cell r="P48">
            <v>0.10734989080824263</v>
          </cell>
          <cell r="Q48">
            <v>0.10056359603688796</v>
          </cell>
          <cell r="R48">
            <v>9.9880294347731338E-2</v>
          </cell>
        </row>
        <row r="49">
          <cell r="A49" t="str">
            <v>Change in Net Working Capital</v>
          </cell>
          <cell r="C49">
            <v>-9.0860000000000127</v>
          </cell>
          <cell r="D49">
            <v>59.760999999999996</v>
          </cell>
          <cell r="E49">
            <v>-40.359000000000002</v>
          </cell>
          <cell r="F49">
            <v>-60.759</v>
          </cell>
          <cell r="G49">
            <v>0</v>
          </cell>
          <cell r="H49">
            <v>11.45706464987704</v>
          </cell>
          <cell r="I49">
            <v>-11.782357754088906</v>
          </cell>
          <cell r="J49">
            <v>1.3706603447110126</v>
          </cell>
          <cell r="K49">
            <v>0.87429462280348957</v>
          </cell>
          <cell r="L49">
            <v>-1.194222325363512</v>
          </cell>
          <cell r="M49">
            <v>-1.3602437614032397</v>
          </cell>
          <cell r="N49">
            <v>-1.5367433000519384</v>
          </cell>
          <cell r="O49">
            <v>-1.8296818789723659</v>
          </cell>
          <cell r="P49">
            <v>-1.9612644309338236</v>
          </cell>
          <cell r="Q49">
            <v>-2.0664682579584053</v>
          </cell>
          <cell r="R49">
            <v>-2.1405801891920078</v>
          </cell>
        </row>
        <row r="50">
          <cell r="A50" t="str">
            <v>Change in NWC as % of Net Revenue</v>
          </cell>
          <cell r="C50">
            <v>6.8969967017994075E-3</v>
          </cell>
          <cell r="D50">
            <v>-4.1027904824542737E-2</v>
          </cell>
          <cell r="E50">
            <v>2.5327203445990727E-2</v>
          </cell>
          <cell r="F50">
            <v>3.5240709141042874E-2</v>
          </cell>
          <cell r="G50">
            <v>0</v>
          </cell>
          <cell r="H50">
            <v>-4.6907421227022341E-3</v>
          </cell>
          <cell r="I50">
            <v>4.0468841905046864E-3</v>
          </cell>
          <cell r="J50">
            <v>-4.2465824441106985E-4</v>
          </cell>
          <cell r="K50">
            <v>-2.5801509058408104E-4</v>
          </cell>
          <cell r="L50">
            <v>3.3862230988565556E-4</v>
          </cell>
          <cell r="M50">
            <v>3.7168414815768886E-4</v>
          </cell>
          <cell r="N50">
            <v>4.0673636930540125E-4</v>
          </cell>
          <cell r="O50">
            <v>4.7142148039189995E-4</v>
          </cell>
          <cell r="P50">
            <v>4.9422892607238521E-4</v>
          </cell>
          <cell r="Q50">
            <v>5.1185093378418875E-4</v>
          </cell>
          <cell r="R50">
            <v>5.233825688406859E-4</v>
          </cell>
        </row>
        <row r="51">
          <cell r="A51" t="str">
            <v>Unlevered Free Cash Flow</v>
          </cell>
          <cell r="C51">
            <v>717.71299999999997</v>
          </cell>
          <cell r="D51">
            <v>840.31299999999965</v>
          </cell>
          <cell r="E51">
            <v>765.67399999999986</v>
          </cell>
          <cell r="F51">
            <v>574.30000000000018</v>
          </cell>
          <cell r="G51">
            <v>101.4837</v>
          </cell>
          <cell r="H51">
            <v>-1121.2062129345989</v>
          </cell>
          <cell r="I51">
            <v>910.74759825397564</v>
          </cell>
          <cell r="J51">
            <v>1500.1904315492782</v>
          </cell>
          <cell r="K51">
            <v>1631.8480510664442</v>
          </cell>
          <cell r="L51">
            <v>1699.7781751863104</v>
          </cell>
          <cell r="M51">
            <v>1784.1971483591064</v>
          </cell>
          <cell r="N51">
            <v>1846.5207994605953</v>
          </cell>
          <cell r="O51">
            <v>1920.140302285369</v>
          </cell>
          <cell r="P51">
            <v>1967.4428413458884</v>
          </cell>
          <cell r="Q51">
            <v>2029.3762435776737</v>
          </cell>
          <cell r="R51">
            <v>2059.5616007154767</v>
          </cell>
        </row>
        <row r="52">
          <cell r="A52" t="str">
            <v>% of Net Revenue</v>
          </cell>
          <cell r="C52">
            <v>54.480125399940029</v>
          </cell>
          <cell r="D52">
            <v>57.690269217091362</v>
          </cell>
          <cell r="E52">
            <v>48.049706809647162</v>
          </cell>
          <cell r="F52">
            <v>33.309862340889303</v>
          </cell>
          <cell r="G52">
            <v>5.1116662930941121</v>
          </cell>
          <cell r="H52">
            <v>-45.904333893273588</v>
          </cell>
          <cell r="I52">
            <v>31.28143054080207</v>
          </cell>
          <cell r="J52">
            <v>46.478928014680392</v>
          </cell>
          <cell r="K52">
            <v>48.157841960100889</v>
          </cell>
          <cell r="L52">
            <v>48.197291220427481</v>
          </cell>
          <cell r="M52">
            <v>48.752864453435365</v>
          </cell>
          <cell r="N52">
            <v>48.872649439507938</v>
          </cell>
          <cell r="O52">
            <v>49.472828816117399</v>
          </cell>
          <cell r="P52">
            <v>49.578585490596183</v>
          </cell>
          <cell r="Q52">
            <v>50.266347971921753</v>
          </cell>
          <cell r="R52">
            <v>50.357311849876751</v>
          </cell>
        </row>
        <row r="53">
          <cell r="A53" t="str">
            <v>Period Count</v>
          </cell>
          <cell r="C53">
            <v>0</v>
          </cell>
          <cell r="D53">
            <v>0</v>
          </cell>
          <cell r="E53">
            <v>0</v>
          </cell>
          <cell r="F53">
            <v>0</v>
          </cell>
          <cell r="G53">
            <v>0</v>
          </cell>
          <cell r="H53">
            <v>0</v>
          </cell>
          <cell r="I53">
            <v>0.25</v>
          </cell>
          <cell r="J53">
            <v>1.25</v>
          </cell>
          <cell r="K53">
            <v>2.25</v>
          </cell>
          <cell r="L53">
            <v>3.25</v>
          </cell>
          <cell r="M53">
            <v>4.25</v>
          </cell>
          <cell r="N53">
            <v>5.25</v>
          </cell>
          <cell r="O53">
            <v>6.25</v>
          </cell>
          <cell r="P53">
            <v>7.25</v>
          </cell>
          <cell r="Q53">
            <v>8.25</v>
          </cell>
          <cell r="R53">
            <v>9.25</v>
          </cell>
        </row>
        <row r="54">
          <cell r="A54" t="str">
            <v>Discount Factor</v>
          </cell>
          <cell r="I54">
            <v>0.98326779378673401</v>
          </cell>
          <cell r="J54">
            <v>0.91909218216692823</v>
          </cell>
          <cell r="K54">
            <v>0.85910516408471316</v>
          </cell>
          <cell r="L54">
            <v>0.80303335974081103</v>
          </cell>
          <cell r="M54">
            <v>0.75062123220228627</v>
          </cell>
          <cell r="N54">
            <v>0.70162992283998438</v>
          </cell>
          <cell r="O54">
            <v>0.65583616277427093</v>
          </cell>
          <cell r="P54">
            <v>0.61303125536818714</v>
          </cell>
          <cell r="Q54">
            <v>0.57302012513092071</v>
          </cell>
          <cell r="R54">
            <v>0.53562042869714266</v>
          </cell>
        </row>
        <row r="55">
          <cell r="A55" t="str">
            <v>Present Value of Unlevered FCF</v>
          </cell>
          <cell r="I55">
            <v>223.87719540793836</v>
          </cell>
          <cell r="J55">
            <v>1378.8132973985719</v>
          </cell>
          <cell r="K55">
            <v>1401.9290876727569</v>
          </cell>
          <cell r="L55">
            <v>1364.9785788339677</v>
          </cell>
          <cell r="M55">
            <v>1339.256261993118</v>
          </cell>
          <cell r="N55">
            <v>1295.5742460479637</v>
          </cell>
          <cell r="O55">
            <v>1259.2974478390649</v>
          </cell>
          <cell r="P55">
            <v>1206.1039548954229</v>
          </cell>
          <cell r="Q55">
            <v>1162.8734290325965</v>
          </cell>
          <cell r="R55">
            <v>1103.1432675033971</v>
          </cell>
        </row>
        <row r="56">
          <cell r="J56">
            <v>15.639065563587218</v>
          </cell>
        </row>
        <row r="57">
          <cell r="F57" t="str">
            <v>Perpetuity Growth Rate / Terminal Value at 7.0% WACC</v>
          </cell>
        </row>
        <row r="58">
          <cell r="F58">
            <v>0.5</v>
          </cell>
          <cell r="G58">
            <v>1.125</v>
          </cell>
          <cell r="H58">
            <v>1.75</v>
          </cell>
          <cell r="I58">
            <v>2.375</v>
          </cell>
          <cell r="J58">
            <v>3</v>
          </cell>
        </row>
        <row r="59">
          <cell r="F59">
            <v>31929.956169981553</v>
          </cell>
          <cell r="G59">
            <v>35556.665279104149</v>
          </cell>
          <cell r="H59">
            <v>40049.764524185339</v>
          </cell>
          <cell r="I59">
            <v>45761.827210688432</v>
          </cell>
          <cell r="J59">
            <v>53266.753263953324</v>
          </cell>
        </row>
        <row r="61">
          <cell r="M61" t="str">
            <v>Terminal EBITDA Multiple / Terminal Value</v>
          </cell>
        </row>
        <row r="62">
          <cell r="M62">
            <v>11.789852169421049</v>
          </cell>
          <cell r="N62">
            <v>13.128982233691126</v>
          </cell>
          <cell r="O62">
            <v>14.788019145612925</v>
          </cell>
          <cell r="P62">
            <v>16.897147460660545</v>
          </cell>
          <cell r="Q62">
            <v>19.668274619100384</v>
          </cell>
        </row>
        <row r="63">
          <cell r="F63" t="str">
            <v>DCF VALUATION FOR 12/31/11 - 10 YEAR CASH FLOW</v>
          </cell>
          <cell r="M63">
            <v>31929.956169981553</v>
          </cell>
          <cell r="N63">
            <v>35556.665279104149</v>
          </cell>
          <cell r="O63">
            <v>40049.764524185339</v>
          </cell>
          <cell r="P63">
            <v>45761.827210688432</v>
          </cell>
          <cell r="Q63">
            <v>53266.753263953324</v>
          </cell>
        </row>
        <row r="64">
          <cell r="F64" t="str">
            <v>Net Present Value of Cash Flows</v>
          </cell>
          <cell r="J64">
            <v>11735.846766624796</v>
          </cell>
        </row>
        <row r="65">
          <cell r="F65" t="str">
            <v>Plus: NPV of Terminal Value (1.8% Growth)</v>
          </cell>
          <cell r="J65">
            <v>21451.472043663769</v>
          </cell>
          <cell r="L65" t="str">
            <v>WACC</v>
          </cell>
          <cell r="M65" t="str">
            <v>Equity Value as of 12/31/11 Valuation Date</v>
          </cell>
        </row>
        <row r="66">
          <cell r="F66" t="str">
            <v>Plus: Cash, Equivalents and Equity Investments</v>
          </cell>
          <cell r="J66">
            <v>49.43480890566741</v>
          </cell>
          <cell r="L66">
            <v>5.9824999999999996E-2</v>
          </cell>
          <cell r="M66">
            <v>61.463935211453943</v>
          </cell>
          <cell r="N66">
            <v>66.852772257617218</v>
          </cell>
          <cell r="O66">
            <v>73.528956902003969</v>
          </cell>
          <cell r="P66">
            <v>82.016369067928053</v>
          </cell>
          <cell r="Q66">
            <v>93.167752409597313</v>
          </cell>
        </row>
        <row r="67">
          <cell r="F67" t="str">
            <v>Less: Debt and Minority Interest</v>
          </cell>
          <cell r="J67">
            <v>-6836.7297507774983</v>
          </cell>
          <cell r="L67">
            <v>6.4824999999999994E-2</v>
          </cell>
          <cell r="M67">
            <v>58.713130589034058</v>
          </cell>
          <cell r="N67">
            <v>63.872389449033264</v>
          </cell>
          <cell r="O67">
            <v>70.264151620069086</v>
          </cell>
          <cell r="P67">
            <v>78.389978406144465</v>
          </cell>
          <cell r="Q67">
            <v>89.066284409443739</v>
          </cell>
        </row>
        <row r="68">
          <cell r="F68" t="str">
            <v>Implied Equity Value</v>
          </cell>
          <cell r="J68">
            <v>26400.023868416727</v>
          </cell>
          <cell r="L68">
            <v>6.9824999999999998E-2</v>
          </cell>
          <cell r="M68">
            <v>56.082117366274275</v>
          </cell>
          <cell r="N68">
            <v>61.022586176268035</v>
          </cell>
          <cell r="O68">
            <v>67.143291204607166</v>
          </cell>
          <cell r="P68">
            <v>74.9245239129081</v>
          </cell>
          <cell r="Q68">
            <v>85.148076994184819</v>
          </cell>
        </row>
        <row r="69">
          <cell r="F69" t="str">
            <v>Fully Diluted Shares Outstanding (MM)</v>
          </cell>
          <cell r="J69">
            <v>393.18930297842235</v>
          </cell>
          <cell r="L69">
            <v>7.4825000000000003E-2</v>
          </cell>
          <cell r="M69">
            <v>53.564987970243195</v>
          </cell>
          <cell r="N69">
            <v>58.296901008704921</v>
          </cell>
          <cell r="O69">
            <v>64.159228055399282</v>
          </cell>
          <cell r="P69">
            <v>71.611985662781194</v>
          </cell>
          <cell r="Q69">
            <v>81.403964113660237</v>
          </cell>
        </row>
        <row r="70">
          <cell r="F70" t="str">
            <v>Implied Equity Value per Share (1)</v>
          </cell>
          <cell r="J70">
            <v>67.143291204607166</v>
          </cell>
          <cell r="L70">
            <v>7.9825000000000007E-2</v>
          </cell>
          <cell r="M70">
            <v>51.156155523813339</v>
          </cell>
          <cell r="N70">
            <v>55.689224032760848</v>
          </cell>
          <cell r="O70">
            <v>61.305204273420628</v>
          </cell>
          <cell r="P70">
            <v>68.444781974921341</v>
          </cell>
          <cell r="Q70">
            <v>77.825281742178717</v>
          </cell>
        </row>
        <row r="71">
          <cell r="F71" t="str">
            <v>Upside to Current Share Price</v>
          </cell>
          <cell r="J71">
            <v>7.7395558482143301E-2</v>
          </cell>
        </row>
        <row r="73">
          <cell r="A73" t="str">
            <v>Footnotes</v>
          </cell>
        </row>
        <row r="75">
          <cell r="A75" t="str">
            <v>(1) EBITDA equal to operating income excluding stock compensation and extraordinary items plus depreciation and amortization.</v>
          </cell>
        </row>
        <row r="78">
          <cell r="A78" t="str">
            <v>Assumptions</v>
          </cell>
        </row>
        <row r="80">
          <cell r="A80" t="str">
            <v>Revenue:  DCF assumes a % C2009-C2019E revenue CAGR.</v>
          </cell>
        </row>
        <row r="81">
          <cell r="A81" t="str">
            <v>Working Capital: Working Cap is relatively neutral to valuation.</v>
          </cell>
        </row>
        <row r="82">
          <cell r="A82" t="str">
            <v>Capital Expenditures: Capex grows with free cash flow as company reinvests heavily over next ten years.</v>
          </cell>
        </row>
        <row r="83">
          <cell r="A83" t="str">
            <v xml:space="preserve">Methodology: In determining cash flows, we forecast out revenue, EBITDA, cash taxes, working capital changes, and capex through C2020E.  Free cash flow in a year is equal to operating income plus </v>
          </cell>
        </row>
        <row r="84">
          <cell r="A84" t="str">
            <v>depreciation &amp; amortization plus stock compensation minus cash taxes from operations minus working capital uses minus capex.  We then use the WACC to calculate the present value of each year's free cash</v>
          </cell>
        </row>
        <row r="85">
          <cell r="A85" t="str">
            <v xml:space="preserve">flow.  The terminal value is the C2020E terminal adjusted free cash flow multiplied by the future growth rate and divided by the difference between the WACC and the future growth rate.  The net </v>
          </cell>
        </row>
        <row r="86">
          <cell r="A86" t="str">
            <v>present value is the sum of the present value of all the free cash flows.  To determine equity value per share, we subtract debt and add cash to the net present value and then divide by shares outstanding.</v>
          </cell>
        </row>
        <row r="87">
          <cell r="A87" t="str">
            <v>EBITDA = Earnings Before Interest, Taxes, Depreciation, and Amortization; NPV = Net Present Value</v>
          </cell>
        </row>
      </sheetData>
      <sheetData sheetId="8" refreshError="1">
        <row r="1">
          <cell r="B1" t="str">
            <v>3Q06</v>
          </cell>
          <cell r="C1" t="str">
            <v>4Q06</v>
          </cell>
          <cell r="D1" t="str">
            <v>1Q07</v>
          </cell>
          <cell r="E1" t="str">
            <v>2Q07</v>
          </cell>
          <cell r="F1" t="str">
            <v>3Q07</v>
          </cell>
          <cell r="G1" t="str">
            <v>4Q07</v>
          </cell>
          <cell r="H1" t="str">
            <v>1Q08</v>
          </cell>
          <cell r="I1" t="str">
            <v>2Q08</v>
          </cell>
          <cell r="J1" t="str">
            <v>3Q08</v>
          </cell>
          <cell r="K1" t="str">
            <v>4Q08</v>
          </cell>
          <cell r="L1" t="str">
            <v>1Q09</v>
          </cell>
          <cell r="M1" t="str">
            <v>2Q09</v>
          </cell>
          <cell r="N1" t="str">
            <v>3Q09</v>
          </cell>
          <cell r="O1" t="str">
            <v>4Q09</v>
          </cell>
          <cell r="P1" t="str">
            <v>1Q10</v>
          </cell>
          <cell r="Q1" t="str">
            <v>2Q10</v>
          </cell>
          <cell r="R1" t="str">
            <v>3Q10</v>
          </cell>
          <cell r="S1" t="str">
            <v>4Q10</v>
          </cell>
          <cell r="T1" t="str">
            <v>1Q11</v>
          </cell>
          <cell r="U1" t="str">
            <v>2Q11</v>
          </cell>
          <cell r="V1" t="str">
            <v>3Q11</v>
          </cell>
        </row>
        <row r="2">
          <cell r="A2" t="str">
            <v>Straight Line Revenue</v>
          </cell>
          <cell r="F2">
            <v>15.98</v>
          </cell>
          <cell r="G2">
            <v>18.038</v>
          </cell>
          <cell r="H2">
            <v>14.113</v>
          </cell>
          <cell r="I2">
            <v>12.028</v>
          </cell>
          <cell r="J2">
            <v>12.263999999999999</v>
          </cell>
          <cell r="K2">
            <v>11.962999999999999</v>
          </cell>
          <cell r="L2">
            <v>9.8949999999999996</v>
          </cell>
          <cell r="M2">
            <v>8.9979999999999993</v>
          </cell>
          <cell r="N2">
            <v>9.827</v>
          </cell>
          <cell r="O2">
            <v>7.5869999999999997</v>
          </cell>
          <cell r="P2">
            <v>13.585000000000001</v>
          </cell>
          <cell r="Q2">
            <v>18.841000000000001</v>
          </cell>
          <cell r="R2">
            <v>35.378999999999998</v>
          </cell>
          <cell r="S2">
            <v>37.420999999999999</v>
          </cell>
          <cell r="T2">
            <v>29.843</v>
          </cell>
          <cell r="U2">
            <v>30.47</v>
          </cell>
          <cell r="V2">
            <v>32.686999999999998</v>
          </cell>
        </row>
        <row r="4">
          <cell r="A4" t="str">
            <v>Domestic</v>
          </cell>
          <cell r="B4">
            <v>0.87</v>
          </cell>
          <cell r="C4">
            <v>0.87</v>
          </cell>
          <cell r="D4">
            <v>0.87</v>
          </cell>
          <cell r="E4">
            <v>0.87</v>
          </cell>
          <cell r="F4">
            <v>0.87</v>
          </cell>
          <cell r="G4">
            <v>0.87</v>
          </cell>
          <cell r="H4">
            <v>0.86</v>
          </cell>
          <cell r="I4">
            <v>0.86</v>
          </cell>
          <cell r="J4">
            <v>0.85</v>
          </cell>
          <cell r="K4">
            <v>0.87</v>
          </cell>
          <cell r="L4">
            <v>0.86499999999999999</v>
          </cell>
          <cell r="M4">
            <v>0.85399999999999998</v>
          </cell>
          <cell r="N4">
            <v>0.84</v>
          </cell>
          <cell r="O4">
            <v>0.82621433511719977</v>
          </cell>
          <cell r="P4">
            <v>0.83371336899359649</v>
          </cell>
          <cell r="Q4">
            <v>0.83</v>
          </cell>
          <cell r="R4">
            <v>0.8</v>
          </cell>
          <cell r="S4">
            <v>0.78415225649087272</v>
          </cell>
          <cell r="T4">
            <v>0.77878538674841902</v>
          </cell>
          <cell r="U4">
            <v>0.79236106837630738</v>
          </cell>
          <cell r="V4">
            <v>0.81450919621894891</v>
          </cell>
        </row>
        <row r="5">
          <cell r="A5" t="str">
            <v>Site Rental Revs</v>
          </cell>
          <cell r="B5">
            <v>283.97061000000002</v>
          </cell>
          <cell r="C5">
            <v>288.17619000000002</v>
          </cell>
          <cell r="D5">
            <v>301.04523</v>
          </cell>
          <cell r="E5">
            <v>305.17424999999997</v>
          </cell>
          <cell r="F5">
            <v>312.00200999999998</v>
          </cell>
          <cell r="G5">
            <v>322.37675999999999</v>
          </cell>
          <cell r="H5">
            <v>321.62538000000001</v>
          </cell>
          <cell r="I5">
            <v>330.53498000000002</v>
          </cell>
          <cell r="J5">
            <v>335.23660000000001</v>
          </cell>
          <cell r="K5">
            <v>343.05230999999998</v>
          </cell>
          <cell r="L5">
            <v>342.49415499999998</v>
          </cell>
          <cell r="M5">
            <v>347.36535399999997</v>
          </cell>
          <cell r="N5">
            <v>354.94099999999997</v>
          </cell>
          <cell r="O5">
            <v>359.56599999999997</v>
          </cell>
          <cell r="P5">
            <v>370.017</v>
          </cell>
          <cell r="Q5">
            <v>378.87922999999995</v>
          </cell>
          <cell r="R5">
            <v>399.85680000000002</v>
          </cell>
          <cell r="S5">
            <v>420.50400000000002</v>
          </cell>
          <cell r="T5">
            <v>417.62599999999998</v>
          </cell>
          <cell r="U5">
            <v>424.90600000000001</v>
          </cell>
          <cell r="V5">
            <v>436.78300000000002</v>
          </cell>
        </row>
        <row r="6">
          <cell r="A6" t="str">
            <v>Q/Q growth</v>
          </cell>
          <cell r="C6">
            <v>1.4809912899084843E-2</v>
          </cell>
          <cell r="D6">
            <v>4.4656846910218206E-2</v>
          </cell>
          <cell r="E6">
            <v>1.3715613431244167E-2</v>
          </cell>
          <cell r="F6">
            <v>2.2373316228351481E-2</v>
          </cell>
          <cell r="G6">
            <v>3.3252189625316841E-2</v>
          </cell>
          <cell r="H6">
            <v>-2.3307511372717693E-3</v>
          </cell>
          <cell r="I6">
            <v>2.7701793931809826E-2</v>
          </cell>
          <cell r="J6">
            <v>1.4224273630585094E-2</v>
          </cell>
          <cell r="K6">
            <v>2.3314011656245137E-2</v>
          </cell>
          <cell r="L6">
            <v>-1.6270259191666359E-3</v>
          </cell>
          <cell r="M6">
            <v>1.4222721552722639E-2</v>
          </cell>
          <cell r="N6">
            <v>2.1808870437896477E-2</v>
          </cell>
          <cell r="O6">
            <v>1.3030334618993056E-2</v>
          </cell>
          <cell r="P6">
            <v>2.9065595745982664E-2</v>
          </cell>
          <cell r="Q6">
            <v>2.3950872527478406E-2</v>
          </cell>
          <cell r="R6">
            <v>5.5367431991455662E-2</v>
          </cell>
          <cell r="S6">
            <v>5.1636485861938475E-2</v>
          </cell>
          <cell r="T6">
            <v>-6.8441679508400854E-3</v>
          </cell>
          <cell r="U6">
            <v>1.7431864874313474E-2</v>
          </cell>
          <cell r="V6">
            <v>2.7952064691955325E-2</v>
          </cell>
        </row>
        <row r="7">
          <cell r="A7" t="str">
            <v>Y/Y growth</v>
          </cell>
          <cell r="F7">
            <v>9.8712328011690831E-2</v>
          </cell>
          <cell r="G7">
            <v>0.11867937458677602</v>
          </cell>
          <cell r="H7">
            <v>6.8362318844912506E-2</v>
          </cell>
          <cell r="I7">
            <v>8.3102457038888522E-2</v>
          </cell>
          <cell r="J7">
            <v>7.4469359989059125E-2</v>
          </cell>
          <cell r="K7">
            <v>6.4134740978226912E-2</v>
          </cell>
          <cell r="L7">
            <v>6.4885348911208451E-2</v>
          </cell>
          <cell r="M7">
            <v>5.0918586589534076E-2</v>
          </cell>
          <cell r="N7">
            <v>5.8777591706872023E-2</v>
          </cell>
          <cell r="O7">
            <v>4.8137527480867304E-2</v>
          </cell>
          <cell r="P7">
            <v>8.0360042932703601E-2</v>
          </cell>
          <cell r="Q7">
            <v>9.0722565267692179E-2</v>
          </cell>
          <cell r="R7">
            <v>0.12654441160643604</v>
          </cell>
          <cell r="S7">
            <v>0.16947653560125286</v>
          </cell>
          <cell r="T7">
            <v>0.12866706124313199</v>
          </cell>
          <cell r="U7">
            <v>0.12148137547682425</v>
          </cell>
          <cell r="V7">
            <v>9.2348560784760947E-2</v>
          </cell>
        </row>
        <row r="8">
          <cell r="A8" t="str">
            <v>Straight line</v>
          </cell>
          <cell r="F8">
            <v>13.9026</v>
          </cell>
          <cell r="G8">
            <v>15.693060000000001</v>
          </cell>
          <cell r="H8">
            <v>12.137179999999999</v>
          </cell>
          <cell r="I8">
            <v>10.34408</v>
          </cell>
          <cell r="J8">
            <v>10.424399999999999</v>
          </cell>
          <cell r="K8">
            <v>10.40781</v>
          </cell>
          <cell r="L8">
            <v>8.5591749999999998</v>
          </cell>
          <cell r="M8">
            <v>7.6842919999999992</v>
          </cell>
          <cell r="N8">
            <v>8.2546800000000005</v>
          </cell>
          <cell r="O8">
            <v>6.2684881605341944</v>
          </cell>
          <cell r="P8">
            <v>11.32599611777801</v>
          </cell>
          <cell r="Q8">
            <v>15.638030000000001</v>
          </cell>
          <cell r="R8">
            <v>28.3032</v>
          </cell>
          <cell r="S8">
            <v>29.343761590144947</v>
          </cell>
          <cell r="T8">
            <v>23.241292296733068</v>
          </cell>
          <cell r="U8">
            <v>24.143241753426086</v>
          </cell>
          <cell r="V8">
            <v>26.623862096808782</v>
          </cell>
        </row>
        <row r="9">
          <cell r="A9" t="str">
            <v>Site Rental Revs (excl str)</v>
          </cell>
          <cell r="F9">
            <v>298.09940999999998</v>
          </cell>
          <cell r="G9">
            <v>306.68369999999999</v>
          </cell>
          <cell r="H9">
            <v>309.48820000000001</v>
          </cell>
          <cell r="I9">
            <v>320.1909</v>
          </cell>
          <cell r="J9">
            <v>324.81220000000002</v>
          </cell>
          <cell r="K9">
            <v>332.64449999999999</v>
          </cell>
          <cell r="L9">
            <v>333.93498</v>
          </cell>
          <cell r="M9">
            <v>339.681062</v>
          </cell>
          <cell r="N9">
            <v>346.68631999999997</v>
          </cell>
          <cell r="O9">
            <v>353.29751183946576</v>
          </cell>
          <cell r="P9">
            <v>358.69100388222199</v>
          </cell>
          <cell r="Q9">
            <v>363.24119999999994</v>
          </cell>
          <cell r="R9">
            <v>371.55360000000002</v>
          </cell>
          <cell r="S9">
            <v>391.16023840985508</v>
          </cell>
          <cell r="T9">
            <v>394.38470770326688</v>
          </cell>
          <cell r="U9">
            <v>400.76275824657392</v>
          </cell>
          <cell r="V9">
            <v>410.15913790319121</v>
          </cell>
        </row>
        <row r="10">
          <cell r="A10" t="str">
            <v>Q/Q growth</v>
          </cell>
          <cell r="G10">
            <v>2.8796735961335918E-2</v>
          </cell>
          <cell r="H10">
            <v>9.1446007727180589E-3</v>
          </cell>
          <cell r="I10">
            <v>3.458193236446494E-2</v>
          </cell>
          <cell r="J10">
            <v>1.4432952341868699E-2</v>
          </cell>
          <cell r="K10">
            <v>2.4113318403680584E-2</v>
          </cell>
          <cell r="L10">
            <v>3.87945689767899E-3</v>
          </cell>
          <cell r="M10">
            <v>1.7207188057986711E-2</v>
          </cell>
          <cell r="N10">
            <v>2.0623045508495252E-2</v>
          </cell>
          <cell r="O10">
            <v>1.9069664587474389E-2</v>
          </cell>
          <cell r="P10">
            <v>1.5266147827293519E-2</v>
          </cell>
          <cell r="Q10">
            <v>1.2685559628007992E-2</v>
          </cell>
          <cell r="R10">
            <v>2.2883968008034605E-2</v>
          </cell>
          <cell r="S10">
            <v>2.8815865086100789E-2</v>
          </cell>
          <cell r="T10">
            <v>3.1717840557646593E-2</v>
          </cell>
          <cell r="U10">
            <v>3.9633350527273237E-2</v>
          </cell>
          <cell r="V10">
            <v>4.6690784647375194E-2</v>
          </cell>
        </row>
        <row r="11">
          <cell r="A11" t="str">
            <v>Y/Y growth</v>
          </cell>
          <cell r="J11">
            <v>8.9610341731303889E-2</v>
          </cell>
          <cell r="K11">
            <v>8.4650080848770237E-2</v>
          </cell>
          <cell r="L11">
            <v>7.899099222522854E-2</v>
          </cell>
          <cell r="M11">
            <v>6.0870443226212823E-2</v>
          </cell>
          <cell r="N11">
            <v>6.7343899028422971E-2</v>
          </cell>
          <cell r="O11">
            <v>6.2087339004450071E-2</v>
          </cell>
          <cell r="P11">
            <v>7.4134263748655505E-2</v>
          </cell>
          <cell r="Q11">
            <v>6.9359586493520586E-2</v>
          </cell>
          <cell r="R11">
            <v>7.1728472008933286E-2</v>
          </cell>
          <cell r="S11">
            <v>8.1978291948882065E-2</v>
          </cell>
          <cell r="T11">
            <v>0.12748670870923817</v>
          </cell>
          <cell r="U11">
            <v>0.1310080742701496</v>
          </cell>
          <cell r="V11">
            <v>0.13099425430546163</v>
          </cell>
        </row>
        <row r="12">
          <cell r="A12" t="str">
            <v>Segment Operating Expenses</v>
          </cell>
          <cell r="O12">
            <v>79.195999999999998</v>
          </cell>
          <cell r="P12">
            <v>77.353999999999999</v>
          </cell>
          <cell r="S12">
            <v>84.933000000000007</v>
          </cell>
          <cell r="T12">
            <v>83.182000000000002</v>
          </cell>
          <cell r="U12">
            <v>87.597999999999999</v>
          </cell>
          <cell r="V12">
            <v>91.075999999999993</v>
          </cell>
        </row>
        <row r="13">
          <cell r="A13" t="str">
            <v>Segment Gross Margin</v>
          </cell>
          <cell r="O13">
            <v>280.37</v>
          </cell>
          <cell r="P13">
            <v>292.66300000000001</v>
          </cell>
          <cell r="S13">
            <v>335.57100000000003</v>
          </cell>
          <cell r="T13">
            <v>334.44399999999996</v>
          </cell>
          <cell r="U13">
            <v>337.30799999999999</v>
          </cell>
          <cell r="V13">
            <v>345.70699999999999</v>
          </cell>
        </row>
        <row r="14">
          <cell r="A14" t="str">
            <v>Gross Margin (%)</v>
          </cell>
          <cell r="O14">
            <v>0.77974558217406542</v>
          </cell>
          <cell r="P14">
            <v>0.79094474037679352</v>
          </cell>
          <cell r="S14">
            <v>0.79802094629301978</v>
          </cell>
          <cell r="T14">
            <v>0.80082178791550329</v>
          </cell>
          <cell r="U14">
            <v>0.79384146140558143</v>
          </cell>
          <cell r="V14">
            <v>0.79148455869390522</v>
          </cell>
        </row>
        <row r="15">
          <cell r="A15" t="str">
            <v>Segment SG&amp;A</v>
          </cell>
          <cell r="O15">
            <v>14.023</v>
          </cell>
          <cell r="P15">
            <v>14.231999999999999</v>
          </cell>
          <cell r="S15">
            <v>20.38</v>
          </cell>
          <cell r="T15">
            <v>18.178999999999998</v>
          </cell>
          <cell r="U15">
            <v>17.832999999999998</v>
          </cell>
          <cell r="V15">
            <v>20.515999999999998</v>
          </cell>
        </row>
        <row r="16">
          <cell r="A16" t="str">
            <v>Segment Operating Profit</v>
          </cell>
          <cell r="O16">
            <v>266.34699999999998</v>
          </cell>
          <cell r="P16">
            <v>278.43100000000004</v>
          </cell>
          <cell r="S16">
            <v>315.19100000000003</v>
          </cell>
          <cell r="T16">
            <v>316.26499999999999</v>
          </cell>
          <cell r="U16">
            <v>319.47500000000002</v>
          </cell>
          <cell r="V16">
            <v>325.19099999999997</v>
          </cell>
        </row>
        <row r="17">
          <cell r="A17" t="str">
            <v>Operating Profit Margin (%)</v>
          </cell>
          <cell r="O17">
            <v>0.74074578797772872</v>
          </cell>
          <cell r="P17">
            <v>0.75248164273533391</v>
          </cell>
          <cell r="S17">
            <v>0.74955529555010181</v>
          </cell>
          <cell r="T17">
            <v>0.75729240995531888</v>
          </cell>
          <cell r="U17">
            <v>0.75187217878777901</v>
          </cell>
          <cell r="V17">
            <v>0.74451386615321558</v>
          </cell>
        </row>
        <row r="20">
          <cell r="A20" t="str">
            <v>International</v>
          </cell>
          <cell r="B20">
            <v>0.13</v>
          </cell>
          <cell r="C20">
            <v>0.13</v>
          </cell>
          <cell r="D20">
            <v>0.13</v>
          </cell>
          <cell r="E20">
            <v>0.13</v>
          </cell>
          <cell r="F20">
            <v>0.13</v>
          </cell>
          <cell r="G20">
            <v>0.13</v>
          </cell>
          <cell r="H20">
            <v>0.14000000000000001</v>
          </cell>
          <cell r="I20">
            <v>0.14000000000000001</v>
          </cell>
          <cell r="J20">
            <v>0.15</v>
          </cell>
          <cell r="K20">
            <v>0.13</v>
          </cell>
          <cell r="L20">
            <v>0.13500000000000001</v>
          </cell>
          <cell r="M20">
            <v>0.14600000000000002</v>
          </cell>
          <cell r="N20">
            <v>0.16</v>
          </cell>
          <cell r="O20">
            <v>0.1737856648828002</v>
          </cell>
          <cell r="P20">
            <v>0.18</v>
          </cell>
          <cell r="Q20">
            <v>0.192</v>
          </cell>
          <cell r="R20">
            <v>0.19</v>
          </cell>
          <cell r="S20">
            <v>0.21584774350912719</v>
          </cell>
          <cell r="T20">
            <v>0.23603369584106978</v>
          </cell>
          <cell r="U20">
            <v>0.27222059506130969</v>
          </cell>
          <cell r="V20">
            <v>0.28956194454203588</v>
          </cell>
        </row>
        <row r="21">
          <cell r="A21" t="str">
            <v>Site Rental Revs</v>
          </cell>
          <cell r="B21">
            <v>43.350710000000007</v>
          </cell>
          <cell r="C21">
            <v>43.893980000000006</v>
          </cell>
          <cell r="D21">
            <v>45.821620000000003</v>
          </cell>
          <cell r="E21">
            <v>46.594990000000003</v>
          </cell>
          <cell r="F21">
            <v>47.786049999999996</v>
          </cell>
          <cell r="G21">
            <v>49.154560000000004</v>
          </cell>
          <cell r="H21">
            <v>53.505760000000009</v>
          </cell>
          <cell r="I21">
            <v>55.121920000000003</v>
          </cell>
          <cell r="J21">
            <v>61.3902</v>
          </cell>
          <cell r="K21">
            <v>53.082120000000003</v>
          </cell>
          <cell r="L21">
            <v>55.171530000000004</v>
          </cell>
          <cell r="M21">
            <v>61.810268000000001</v>
          </cell>
          <cell r="N21">
            <v>71.056799999999996</v>
          </cell>
          <cell r="O21">
            <v>75.631</v>
          </cell>
          <cell r="P21">
            <v>73.801000000000002</v>
          </cell>
          <cell r="Q21">
            <v>90.227904000000009</v>
          </cell>
          <cell r="R21">
            <v>97.531180000000006</v>
          </cell>
          <cell r="S21">
            <v>115.749</v>
          </cell>
          <cell r="T21">
            <v>129.029</v>
          </cell>
          <cell r="U21">
            <v>158.93299999999999</v>
          </cell>
          <cell r="V21">
            <v>178.02500000000001</v>
          </cell>
        </row>
        <row r="22">
          <cell r="A22" t="str">
            <v>Q/Q growth</v>
          </cell>
          <cell r="C22">
            <v>1.2531974678154034E-2</v>
          </cell>
          <cell r="D22">
            <v>4.3915817157614612E-2</v>
          </cell>
          <cell r="E22">
            <v>1.687784063505382E-2</v>
          </cell>
          <cell r="F22">
            <v>2.5561975654464053E-2</v>
          </cell>
          <cell r="G22">
            <v>2.8638274140675213E-2</v>
          </cell>
          <cell r="H22">
            <v>8.8520780167699709E-2</v>
          </cell>
          <cell r="I22">
            <v>3.0205346116006782E-2</v>
          </cell>
          <cell r="J22">
            <v>0.11371664847668583</v>
          </cell>
          <cell r="K22">
            <v>-0.13533234946294359</v>
          </cell>
          <cell r="L22">
            <v>3.9361841614464543E-2</v>
          </cell>
          <cell r="M22">
            <v>0.12032905377102998</v>
          </cell>
          <cell r="N22">
            <v>0.14959540379278069</v>
          </cell>
          <cell r="O22">
            <v>6.4373853030252004E-2</v>
          </cell>
          <cell r="P22">
            <v>-2.4196427390884678E-2</v>
          </cell>
          <cell r="Q22">
            <v>0.22258375902765559</v>
          </cell>
          <cell r="R22">
            <v>8.0942543007537893E-2</v>
          </cell>
          <cell r="S22">
            <v>0.18678970150878915</v>
          </cell>
          <cell r="T22">
            <v>0.11473101279492703</v>
          </cell>
          <cell r="U22">
            <v>0.23176185198676258</v>
          </cell>
          <cell r="V22">
            <v>0.12012609086847936</v>
          </cell>
        </row>
        <row r="23">
          <cell r="A23" t="str">
            <v>Y/Y growth</v>
          </cell>
          <cell r="F23">
            <v>0.10231297249802807</v>
          </cell>
          <cell r="G23">
            <v>0.11984741415565403</v>
          </cell>
          <cell r="H23">
            <v>0.1676968208457057</v>
          </cell>
          <cell r="I23">
            <v>0.18300100504367522</v>
          </cell>
          <cell r="J23">
            <v>0.28468873238110293</v>
          </cell>
          <cell r="K23">
            <v>7.9902251184834183E-2</v>
          </cell>
          <cell r="L23">
            <v>3.1132536011076128E-2</v>
          </cell>
          <cell r="M23">
            <v>0.12133735544770574</v>
          </cell>
          <cell r="N23">
            <v>0.15746161439447981</v>
          </cell>
          <cell r="O23">
            <v>0.42479237829988703</v>
          </cell>
          <cell r="P23">
            <v>0.33766455271405382</v>
          </cell>
          <cell r="Q23">
            <v>0.45975590981097203</v>
          </cell>
          <cell r="R23">
            <v>0.37258052712759393</v>
          </cell>
          <cell r="S23">
            <v>0.53044386561066226</v>
          </cell>
          <cell r="T23">
            <v>0.74833674340456091</v>
          </cell>
          <cell r="U23">
            <v>0.76146173139520101</v>
          </cell>
          <cell r="V23">
            <v>0.82531370993358211</v>
          </cell>
        </row>
        <row r="24">
          <cell r="A24" t="str">
            <v>Straight line</v>
          </cell>
          <cell r="B24">
            <v>0</v>
          </cell>
          <cell r="C24">
            <v>0</v>
          </cell>
          <cell r="D24">
            <v>0</v>
          </cell>
          <cell r="E24">
            <v>0</v>
          </cell>
          <cell r="F24">
            <v>2.0773999999999999</v>
          </cell>
          <cell r="G24">
            <v>2.3449400000000002</v>
          </cell>
          <cell r="H24">
            <v>1.9758200000000001</v>
          </cell>
          <cell r="I24">
            <v>1.6839200000000003</v>
          </cell>
          <cell r="J24">
            <v>1.8395999999999999</v>
          </cell>
          <cell r="K24">
            <v>1.5551899999999999</v>
          </cell>
          <cell r="L24">
            <v>1.335825</v>
          </cell>
          <cell r="M24">
            <v>1.3137080000000001</v>
          </cell>
          <cell r="N24">
            <v>1.5723200000000002</v>
          </cell>
          <cell r="O24">
            <v>1.3185118394658051</v>
          </cell>
          <cell r="P24">
            <v>2.4453</v>
          </cell>
          <cell r="Q24">
            <v>3.6174720000000002</v>
          </cell>
          <cell r="R24">
            <v>6.7220099999999992</v>
          </cell>
          <cell r="S24">
            <v>7.3202644183603613</v>
          </cell>
          <cell r="T24">
            <v>6.5654599999999999</v>
          </cell>
          <cell r="U24">
            <v>7.16045</v>
          </cell>
          <cell r="V24">
            <v>7.9102540000000001</v>
          </cell>
        </row>
        <row r="25">
          <cell r="A25" t="str">
            <v>Site Rental Revs (excl str)</v>
          </cell>
          <cell r="B25">
            <v>43.350710000000007</v>
          </cell>
          <cell r="C25">
            <v>43.893980000000006</v>
          </cell>
          <cell r="D25">
            <v>45.821620000000003</v>
          </cell>
          <cell r="E25">
            <v>46.594990000000003</v>
          </cell>
          <cell r="F25">
            <v>45.708649999999999</v>
          </cell>
          <cell r="G25">
            <v>46.809620000000002</v>
          </cell>
          <cell r="H25">
            <v>51.529940000000011</v>
          </cell>
          <cell r="I25">
            <v>53.438000000000002</v>
          </cell>
          <cell r="J25">
            <v>59.550600000000003</v>
          </cell>
          <cell r="K25">
            <v>51.52693</v>
          </cell>
          <cell r="L25">
            <v>53.835705000000004</v>
          </cell>
          <cell r="M25">
            <v>60.496560000000002</v>
          </cell>
          <cell r="N25">
            <v>69.484479999999991</v>
          </cell>
          <cell r="O25">
            <v>74.312488160534201</v>
          </cell>
          <cell r="P25">
            <v>71.355699999999999</v>
          </cell>
          <cell r="Q25">
            <v>86.610432000000003</v>
          </cell>
          <cell r="R25">
            <v>90.809170000000009</v>
          </cell>
          <cell r="S25">
            <v>108.42873558163963</v>
          </cell>
          <cell r="T25">
            <v>122.46353999999999</v>
          </cell>
          <cell r="U25">
            <v>151.77255</v>
          </cell>
          <cell r="V25">
            <v>170.114746</v>
          </cell>
        </row>
        <row r="26">
          <cell r="A26" t="str">
            <v>Q/Q growth</v>
          </cell>
          <cell r="C26">
            <v>1.2531974678154034E-2</v>
          </cell>
          <cell r="D26">
            <v>4.3915817157614612E-2</v>
          </cell>
          <cell r="E26">
            <v>1.687784063505382E-2</v>
          </cell>
          <cell r="F26">
            <v>-1.9022216766223288E-2</v>
          </cell>
          <cell r="G26">
            <v>2.4086688187028082E-2</v>
          </cell>
          <cell r="H26">
            <v>0.10084081007280155</v>
          </cell>
          <cell r="I26">
            <v>3.7028182062699644E-2</v>
          </cell>
          <cell r="J26">
            <v>0.11438676597178032</v>
          </cell>
          <cell r="K26">
            <v>-0.13473701356493473</v>
          </cell>
          <cell r="L26">
            <v>4.4807152298807607E-2</v>
          </cell>
          <cell r="M26">
            <v>0.123725601810174</v>
          </cell>
          <cell r="N26">
            <v>0.14856910872287599</v>
          </cell>
          <cell r="O26">
            <v>6.9483259578746459E-2</v>
          </cell>
          <cell r="P26">
            <v>-3.9788577044369333E-2</v>
          </cell>
          <cell r="Q26">
            <v>0.21378435079468083</v>
          </cell>
          <cell r="R26">
            <v>4.8478432713509712E-2</v>
          </cell>
          <cell r="S26">
            <v>0.19402848392557281</v>
          </cell>
          <cell r="T26">
            <v>0.12943805295777056</v>
          </cell>
          <cell r="U26">
            <v>0.23932845645324319</v>
          </cell>
          <cell r="V26">
            <v>0.1208531845844325</v>
          </cell>
        </row>
        <row r="27">
          <cell r="A27" t="str">
            <v>Y/Y growth</v>
          </cell>
          <cell r="F27">
            <v>5.4392188732318214E-2</v>
          </cell>
          <cell r="G27">
            <v>6.6424598544037261E-2</v>
          </cell>
          <cell r="H27">
            <v>0.1245770009877436</v>
          </cell>
          <cell r="I27">
            <v>0.14686149734123766</v>
          </cell>
          <cell r="J27">
            <v>0.30282998950964424</v>
          </cell>
          <cell r="K27">
            <v>0.10077650705132823</v>
          </cell>
          <cell r="L27">
            <v>4.474612235139408E-2</v>
          </cell>
          <cell r="M27">
            <v>0.13208877577753664</v>
          </cell>
          <cell r="N27">
            <v>0.16681410430793298</v>
          </cell>
          <cell r="O27">
            <v>0.44220678702445881</v>
          </cell>
          <cell r="P27">
            <v>0.32543448627634741</v>
          </cell>
          <cell r="Q27">
            <v>0.43165879183874245</v>
          </cell>
          <cell r="R27">
            <v>0.3068986052712781</v>
          </cell>
          <cell r="S27">
            <v>0.45909171211446331</v>
          </cell>
          <cell r="T27">
            <v>0.71624046852599021</v>
          </cell>
          <cell r="U27">
            <v>0.75235876897600495</v>
          </cell>
          <cell r="V27">
            <v>0.87332122956304947</v>
          </cell>
        </row>
        <row r="28">
          <cell r="A28" t="str">
            <v>Segment Operating Expenses</v>
          </cell>
          <cell r="O28">
            <v>21.245999999999999</v>
          </cell>
          <cell r="P28">
            <v>23.07</v>
          </cell>
          <cell r="S28">
            <v>41.109000000000002</v>
          </cell>
          <cell r="T28">
            <v>44.677</v>
          </cell>
          <cell r="U28">
            <v>56.731999999999999</v>
          </cell>
          <cell r="V28">
            <v>68.335999999999999</v>
          </cell>
        </row>
        <row r="29">
          <cell r="A29" t="str">
            <v>TV Azteca</v>
          </cell>
          <cell r="O29">
            <v>3.5409999999999999</v>
          </cell>
          <cell r="P29">
            <v>3.4990000000000001</v>
          </cell>
          <cell r="S29">
            <v>3.5430000000000001</v>
          </cell>
          <cell r="T29">
            <v>3.5430000000000001</v>
          </cell>
          <cell r="U29">
            <v>3.59</v>
          </cell>
          <cell r="V29">
            <v>3.4980000000000002</v>
          </cell>
        </row>
        <row r="30">
          <cell r="A30" t="str">
            <v>Segment Gross Margin</v>
          </cell>
          <cell r="O30">
            <v>57.926000000000002</v>
          </cell>
          <cell r="P30">
            <v>54.230000000000004</v>
          </cell>
          <cell r="S30">
            <v>78.182999999999993</v>
          </cell>
          <cell r="T30">
            <v>87.89500000000001</v>
          </cell>
          <cell r="U30">
            <v>105.791</v>
          </cell>
          <cell r="V30">
            <v>113.18700000000001</v>
          </cell>
        </row>
        <row r="31">
          <cell r="A31" t="str">
            <v>Gross Margin (%)</v>
          </cell>
          <cell r="O31">
            <v>0.76590287051605821</v>
          </cell>
          <cell r="P31">
            <v>0.73481389141068554</v>
          </cell>
          <cell r="S31">
            <v>0.6754529196796516</v>
          </cell>
          <cell r="T31">
            <v>0.68120345038712238</v>
          </cell>
          <cell r="U31">
            <v>0.66563268798802011</v>
          </cell>
          <cell r="V31">
            <v>0.63579272574076684</v>
          </cell>
        </row>
        <row r="32">
          <cell r="A32" t="str">
            <v>Segment SG&amp;A</v>
          </cell>
          <cell r="O32">
            <v>8.6630000000000003</v>
          </cell>
          <cell r="P32">
            <v>8.9429999999999996</v>
          </cell>
          <cell r="S32">
            <v>13.936</v>
          </cell>
          <cell r="T32">
            <v>17.460999999999999</v>
          </cell>
          <cell r="U32">
            <v>21.516999999999999</v>
          </cell>
          <cell r="V32">
            <v>21.640999999999998</v>
          </cell>
        </row>
        <row r="33">
          <cell r="A33" t="str">
            <v>Segment Operating Profit</v>
          </cell>
          <cell r="O33">
            <v>49.263000000000005</v>
          </cell>
          <cell r="P33">
            <v>45.287000000000006</v>
          </cell>
          <cell r="S33">
            <v>64.246999999999986</v>
          </cell>
          <cell r="T33">
            <v>70.434000000000012</v>
          </cell>
          <cell r="U33">
            <v>84.274000000000001</v>
          </cell>
          <cell r="V33">
            <v>91.546000000000021</v>
          </cell>
        </row>
        <row r="34">
          <cell r="A34" t="str">
            <v>Operating Profit Margin (%)</v>
          </cell>
          <cell r="O34">
            <v>0.65135989210773371</v>
          </cell>
          <cell r="P34">
            <v>0.61363667158981594</v>
          </cell>
          <cell r="S34">
            <v>0.55505447131292696</v>
          </cell>
          <cell r="T34">
            <v>0.54587728340140595</v>
          </cell>
          <cell r="U34">
            <v>0.53024859532004054</v>
          </cell>
          <cell r="V34">
            <v>0.51423114731077102</v>
          </cell>
        </row>
        <row r="39">
          <cell r="A39" t="str">
            <v>Latin America</v>
          </cell>
          <cell r="B39">
            <v>0.13</v>
          </cell>
          <cell r="C39">
            <v>0.13</v>
          </cell>
          <cell r="D39">
            <v>0.13</v>
          </cell>
          <cell r="E39">
            <v>0.13</v>
          </cell>
          <cell r="F39">
            <v>0.13</v>
          </cell>
          <cell r="G39">
            <v>0.13</v>
          </cell>
          <cell r="H39">
            <v>0.14000000000000001</v>
          </cell>
          <cell r="I39">
            <v>0.14000000000000001</v>
          </cell>
          <cell r="J39">
            <v>0.15</v>
          </cell>
          <cell r="K39">
            <v>0.13</v>
          </cell>
          <cell r="L39">
            <v>0.13500000000000001</v>
          </cell>
          <cell r="M39">
            <v>0.13800000000000001</v>
          </cell>
          <cell r="N39">
            <v>0.14000000000000001</v>
          </cell>
          <cell r="O39">
            <v>0.15</v>
          </cell>
          <cell r="P39">
            <v>0.14499999999999999</v>
          </cell>
          <cell r="Q39">
            <v>0.14000000000000001</v>
          </cell>
          <cell r="R39">
            <v>0.13500000000000001</v>
          </cell>
          <cell r="S39">
            <v>0.13261915551055187</v>
          </cell>
          <cell r="T39">
            <v>0.155</v>
          </cell>
          <cell r="U39">
            <v>0.16500000000000001</v>
          </cell>
          <cell r="V39">
            <v>0.16600000000000001</v>
          </cell>
        </row>
        <row r="40">
          <cell r="A40" t="str">
            <v>Site Rental Revs</v>
          </cell>
          <cell r="B40">
            <v>43.350710000000007</v>
          </cell>
          <cell r="C40">
            <v>43.893980000000006</v>
          </cell>
          <cell r="D40">
            <v>45.821620000000003</v>
          </cell>
          <cell r="E40">
            <v>46.594990000000003</v>
          </cell>
          <cell r="F40">
            <v>47.786049999999996</v>
          </cell>
          <cell r="G40">
            <v>49.154560000000004</v>
          </cell>
          <cell r="H40">
            <v>53.505760000000009</v>
          </cell>
          <cell r="I40">
            <v>55.121920000000003</v>
          </cell>
          <cell r="J40">
            <v>61.3902</v>
          </cell>
          <cell r="K40">
            <v>53.082120000000003</v>
          </cell>
          <cell r="L40">
            <v>55.171530000000004</v>
          </cell>
          <cell r="M40">
            <v>58.423403999999998</v>
          </cell>
          <cell r="N40">
            <v>62.174700000000001</v>
          </cell>
          <cell r="O40">
            <v>62.364366000000004</v>
          </cell>
          <cell r="P40">
            <v>65.892929999999993</v>
          </cell>
          <cell r="Q40">
            <v>65.791180000000011</v>
          </cell>
          <cell r="R40">
            <v>69.298470000000009</v>
          </cell>
          <cell r="S40">
            <v>71.117419999999981</v>
          </cell>
          <cell r="T40">
            <v>87.217724999999987</v>
          </cell>
          <cell r="U40">
            <v>98.543775000000011</v>
          </cell>
          <cell r="V40">
            <v>104.64689800000001</v>
          </cell>
        </row>
        <row r="41">
          <cell r="A41" t="str">
            <v>Q/Q growth</v>
          </cell>
          <cell r="C41">
            <v>1.2531974678154034E-2</v>
          </cell>
          <cell r="D41">
            <v>4.3915817157614612E-2</v>
          </cell>
          <cell r="E41">
            <v>1.687784063505382E-2</v>
          </cell>
          <cell r="F41">
            <v>2.5561975654464053E-2</v>
          </cell>
          <cell r="G41">
            <v>2.8638274140675213E-2</v>
          </cell>
          <cell r="H41">
            <v>8.8520780167699709E-2</v>
          </cell>
          <cell r="I41">
            <v>3.0205346116006782E-2</v>
          </cell>
          <cell r="J41">
            <v>0.11371664847668583</v>
          </cell>
          <cell r="K41">
            <v>-0.13533234946294359</v>
          </cell>
          <cell r="L41">
            <v>3.9361841614464543E-2</v>
          </cell>
          <cell r="M41">
            <v>5.8941160413713334E-2</v>
          </cell>
          <cell r="N41">
            <v>6.4208788655998328E-2</v>
          </cell>
          <cell r="O41">
            <v>3.0505334163253295E-3</v>
          </cell>
          <cell r="P41">
            <v>5.657981033592141E-2</v>
          </cell>
          <cell r="Q41">
            <v>-1.5441717343572803E-3</v>
          </cell>
          <cell r="R41">
            <v>5.3309425366743657E-2</v>
          </cell>
          <cell r="S41">
            <v>2.6248054249970787E-2</v>
          </cell>
          <cell r="T41">
            <v>0.22639045398441082</v>
          </cell>
          <cell r="U41">
            <v>0.12985949816966702</v>
          </cell>
          <cell r="V41">
            <v>6.1933115511355163E-2</v>
          </cell>
        </row>
        <row r="42">
          <cell r="A42" t="str">
            <v>Y/Y growth</v>
          </cell>
          <cell r="F42">
            <v>0.10231297249802807</v>
          </cell>
          <cell r="G42">
            <v>0.11984741415565403</v>
          </cell>
          <cell r="H42">
            <v>0.1676968208457057</v>
          </cell>
          <cell r="I42">
            <v>0.18300100504367522</v>
          </cell>
          <cell r="J42">
            <v>0.28468873238110293</v>
          </cell>
          <cell r="K42">
            <v>7.9902251184834183E-2</v>
          </cell>
          <cell r="L42">
            <v>3.1132536011076128E-2</v>
          </cell>
          <cell r="M42">
            <v>5.9894212683447856E-2</v>
          </cell>
          <cell r="N42">
            <v>1.2778912595169833E-2</v>
          </cell>
          <cell r="O42">
            <v>0.17486577401204029</v>
          </cell>
          <cell r="P42">
            <v>0.19432848789946533</v>
          </cell>
          <cell r="Q42">
            <v>0.12611000892724444</v>
          </cell>
          <cell r="R42">
            <v>0.11457666864496341</v>
          </cell>
          <cell r="S42">
            <v>0.14035345120000065</v>
          </cell>
          <cell r="T42">
            <v>0.32362796737070276</v>
          </cell>
          <cell r="U42">
            <v>0.49782653237105623</v>
          </cell>
          <cell r="V42">
            <v>0.51008958783649905</v>
          </cell>
        </row>
        <row r="43">
          <cell r="A43" t="str">
            <v>Straight line</v>
          </cell>
          <cell r="B43">
            <v>0</v>
          </cell>
          <cell r="C43">
            <v>0</v>
          </cell>
          <cell r="D43">
            <v>0</v>
          </cell>
          <cell r="E43">
            <v>0</v>
          </cell>
          <cell r="F43">
            <v>2.0773999999999999</v>
          </cell>
          <cell r="G43">
            <v>2.3449400000000002</v>
          </cell>
          <cell r="H43">
            <v>1.9758200000000001</v>
          </cell>
          <cell r="I43">
            <v>1.6839200000000003</v>
          </cell>
          <cell r="J43">
            <v>1.8395999999999999</v>
          </cell>
          <cell r="K43">
            <v>1.5551899999999999</v>
          </cell>
          <cell r="L43">
            <v>1.335825</v>
          </cell>
          <cell r="M43">
            <v>1.241724</v>
          </cell>
          <cell r="N43">
            <v>1.3757800000000002</v>
          </cell>
          <cell r="O43">
            <v>1.13805</v>
          </cell>
          <cell r="P43">
            <v>1.9698249999999999</v>
          </cell>
          <cell r="Q43">
            <v>2.6377400000000004</v>
          </cell>
          <cell r="R43">
            <v>4.7761649999999998</v>
          </cell>
          <cell r="S43">
            <v>4.9627414183603618</v>
          </cell>
          <cell r="T43">
            <v>4.6256649999999997</v>
          </cell>
          <cell r="U43">
            <v>5.0275499999999997</v>
          </cell>
          <cell r="V43">
            <v>5.4260419999999998</v>
          </cell>
        </row>
        <row r="44">
          <cell r="A44" t="str">
            <v>Site Rental Revs (excl str)</v>
          </cell>
          <cell r="B44">
            <v>43.350710000000007</v>
          </cell>
          <cell r="C44">
            <v>43.893980000000006</v>
          </cell>
          <cell r="D44">
            <v>45.821620000000003</v>
          </cell>
          <cell r="E44">
            <v>46.594990000000003</v>
          </cell>
          <cell r="F44">
            <v>45.708649999999999</v>
          </cell>
          <cell r="G44">
            <v>46.809620000000002</v>
          </cell>
          <cell r="H44">
            <v>51.529940000000011</v>
          </cell>
          <cell r="I44">
            <v>53.438000000000002</v>
          </cell>
          <cell r="J44">
            <v>59.550600000000003</v>
          </cell>
          <cell r="K44">
            <v>51.52693</v>
          </cell>
          <cell r="L44">
            <v>53.835705000000004</v>
          </cell>
          <cell r="M44">
            <v>57.18168</v>
          </cell>
          <cell r="N44">
            <v>60.798920000000003</v>
          </cell>
          <cell r="O44">
            <v>61.226316000000004</v>
          </cell>
          <cell r="P44">
            <v>63.923104999999993</v>
          </cell>
          <cell r="Q44">
            <v>63.15344000000001</v>
          </cell>
          <cell r="R44">
            <v>64.522305000000003</v>
          </cell>
          <cell r="S44">
            <v>66.154678581639615</v>
          </cell>
          <cell r="T44">
            <v>82.592059999999989</v>
          </cell>
          <cell r="U44">
            <v>93.516225000000006</v>
          </cell>
          <cell r="V44">
            <v>99.220856000000012</v>
          </cell>
        </row>
        <row r="45">
          <cell r="A45" t="str">
            <v>Q/Q growth</v>
          </cell>
          <cell r="C45">
            <v>1.2531974678154034E-2</v>
          </cell>
          <cell r="D45">
            <v>4.3915817157614612E-2</v>
          </cell>
          <cell r="E45">
            <v>1.687784063505382E-2</v>
          </cell>
          <cell r="F45">
            <v>-1.9022216766223288E-2</v>
          </cell>
          <cell r="G45">
            <v>2.4086688187028082E-2</v>
          </cell>
          <cell r="H45">
            <v>0.10084081007280155</v>
          </cell>
          <cell r="I45">
            <v>3.7028182062699644E-2</v>
          </cell>
          <cell r="J45">
            <v>0.11438676597178032</v>
          </cell>
          <cell r="K45">
            <v>-0.13473701356493473</v>
          </cell>
          <cell r="L45">
            <v>4.4807152298807607E-2</v>
          </cell>
          <cell r="M45">
            <v>6.2151596231534434E-2</v>
          </cell>
          <cell r="N45">
            <v>6.3258722024256864E-2</v>
          </cell>
          <cell r="O45">
            <v>7.0296643427218974E-3</v>
          </cell>
          <cell r="P45">
            <v>4.4046239855423996E-2</v>
          </cell>
          <cell r="Q45">
            <v>-1.2040482076081549E-2</v>
          </cell>
          <cell r="R45">
            <v>2.1675224659179149E-2</v>
          </cell>
          <cell r="S45">
            <v>2.529936867009952E-2</v>
          </cell>
          <cell r="T45">
            <v>0.24846891815936289</v>
          </cell>
          <cell r="U45">
            <v>0.13226652779940373</v>
          </cell>
          <cell r="V45">
            <v>6.100151070041604E-2</v>
          </cell>
        </row>
        <row r="46">
          <cell r="A46" t="str">
            <v>Y/Y growth</v>
          </cell>
          <cell r="F46">
            <v>5.4392188732318214E-2</v>
          </cell>
          <cell r="G46">
            <v>6.6424598544037261E-2</v>
          </cell>
          <cell r="H46">
            <v>0.1245770009877436</v>
          </cell>
          <cell r="I46">
            <v>0.14686149734123766</v>
          </cell>
          <cell r="J46">
            <v>0.30282998950964424</v>
          </cell>
          <cell r="K46">
            <v>0.10077650705132823</v>
          </cell>
          <cell r="L46">
            <v>4.474612235139408E-2</v>
          </cell>
          <cell r="M46">
            <v>7.0056514091096256E-2</v>
          </cell>
          <cell r="N46">
            <v>2.096234126944152E-2</v>
          </cell>
          <cell r="O46">
            <v>0.18823915960062054</v>
          </cell>
          <cell r="P46">
            <v>0.18737378845507813</v>
          </cell>
          <cell r="Q46">
            <v>0.10443484696497207</v>
          </cell>
          <cell r="R46">
            <v>6.1240972701488872E-2</v>
          </cell>
          <cell r="S46">
            <v>8.0494187852811594E-2</v>
          </cell>
          <cell r="T46">
            <v>0.29205331937489576</v>
          </cell>
          <cell r="U46">
            <v>0.48077800670873971</v>
          </cell>
          <cell r="V46">
            <v>0.53777606054216465</v>
          </cell>
        </row>
        <row r="48">
          <cell r="A48" t="str">
            <v>India</v>
          </cell>
          <cell r="G48">
            <v>0</v>
          </cell>
          <cell r="H48">
            <v>0</v>
          </cell>
          <cell r="I48">
            <v>0</v>
          </cell>
          <cell r="J48">
            <v>0</v>
          </cell>
          <cell r="K48">
            <v>0</v>
          </cell>
          <cell r="L48">
            <v>0</v>
          </cell>
          <cell r="M48">
            <v>8.0000000000000002E-3</v>
          </cell>
          <cell r="N48">
            <v>0.02</v>
          </cell>
          <cell r="O48">
            <v>2.3785664882800206E-2</v>
          </cell>
          <cell r="P48">
            <v>3.5000000000000003E-2</v>
          </cell>
          <cell r="Q48">
            <v>5.1999999999999998E-2</v>
          </cell>
          <cell r="R48">
            <v>5.5E-2</v>
          </cell>
          <cell r="S48">
            <v>6.3E-2</v>
          </cell>
          <cell r="T48">
            <v>6.5000000000000002E-2</v>
          </cell>
          <cell r="U48">
            <v>7.0000000000000007E-2</v>
          </cell>
          <cell r="V48">
            <v>7.5999999999999998E-2</v>
          </cell>
        </row>
        <row r="49">
          <cell r="A49" t="str">
            <v>Site Rental Revs</v>
          </cell>
          <cell r="G49">
            <v>0</v>
          </cell>
          <cell r="H49">
            <v>0</v>
          </cell>
          <cell r="I49">
            <v>0</v>
          </cell>
          <cell r="J49">
            <v>0</v>
          </cell>
          <cell r="K49">
            <v>0</v>
          </cell>
          <cell r="L49">
            <v>0</v>
          </cell>
          <cell r="M49">
            <v>3.3868639999999997</v>
          </cell>
          <cell r="N49">
            <v>8.8820999999999994</v>
          </cell>
          <cell r="O49">
            <v>9.967036000000002</v>
          </cell>
          <cell r="P49">
            <v>15.905190000000001</v>
          </cell>
          <cell r="Q49">
            <v>24.436723999999998</v>
          </cell>
          <cell r="R49">
            <v>28.232710000000001</v>
          </cell>
          <cell r="S49">
            <v>30.22437600000001</v>
          </cell>
          <cell r="T49">
            <v>36.575174999999994</v>
          </cell>
          <cell r="U49">
            <v>41.806450000000005</v>
          </cell>
          <cell r="V49">
            <v>47.910628000000003</v>
          </cell>
        </row>
        <row r="50">
          <cell r="A50" t="str">
            <v>Q/Q growth</v>
          </cell>
          <cell r="N50">
            <v>1.6225145149022815</v>
          </cell>
          <cell r="O50">
            <v>0.12214859098636621</v>
          </cell>
          <cell r="P50">
            <v>0.59577932697343505</v>
          </cell>
          <cell r="Q50">
            <v>0.53639937655570269</v>
          </cell>
          <cell r="R50">
            <v>0.15533939819429166</v>
          </cell>
          <cell r="S50">
            <v>7.054462713639631E-2</v>
          </cell>
          <cell r="T50">
            <v>0.21012175735240923</v>
          </cell>
          <cell r="U50">
            <v>0.14302802378936019</v>
          </cell>
          <cell r="V50">
            <v>0.14601043618867426</v>
          </cell>
        </row>
        <row r="51">
          <cell r="A51" t="str">
            <v>Y/Y growth</v>
          </cell>
          <cell r="P51">
            <v>3.6961407366814854</v>
          </cell>
          <cell r="Q51">
            <v>1.7512327039776627</v>
          </cell>
          <cell r="R51">
            <v>1.8326084103639233</v>
          </cell>
          <cell r="S51">
            <v>0.90028386960482765</v>
          </cell>
          <cell r="T51">
            <v>0.4967298808138112</v>
          </cell>
          <cell r="U51">
            <v>0.48078062644358277</v>
          </cell>
          <cell r="V51">
            <v>0.58516516602360902</v>
          </cell>
        </row>
        <row r="52">
          <cell r="A52" t="str">
            <v>Straight line</v>
          </cell>
          <cell r="M52">
            <v>7.1983999999999992E-2</v>
          </cell>
          <cell r="N52">
            <v>0.19653999999999999</v>
          </cell>
          <cell r="O52">
            <v>0.18046183946580516</v>
          </cell>
          <cell r="P52">
            <v>0.47547500000000009</v>
          </cell>
          <cell r="Q52">
            <v>0.97973200000000005</v>
          </cell>
          <cell r="R52">
            <v>1.9458449999999998</v>
          </cell>
          <cell r="S52">
            <v>2.357523</v>
          </cell>
          <cell r="T52">
            <v>1.9397950000000002</v>
          </cell>
          <cell r="U52">
            <v>2.1329000000000002</v>
          </cell>
          <cell r="V52">
            <v>2.4842119999999999</v>
          </cell>
        </row>
        <row r="53">
          <cell r="A53" t="str">
            <v>Site Rental Revs (excl str)</v>
          </cell>
          <cell r="B53">
            <v>0</v>
          </cell>
          <cell r="C53">
            <v>0</v>
          </cell>
          <cell r="D53">
            <v>0</v>
          </cell>
          <cell r="E53">
            <v>0</v>
          </cell>
          <cell r="F53">
            <v>0</v>
          </cell>
          <cell r="G53">
            <v>0</v>
          </cell>
          <cell r="H53">
            <v>0</v>
          </cell>
          <cell r="I53">
            <v>0</v>
          </cell>
          <cell r="J53">
            <v>0</v>
          </cell>
          <cell r="K53">
            <v>0</v>
          </cell>
          <cell r="L53">
            <v>0</v>
          </cell>
          <cell r="M53">
            <v>3.3148799999999996</v>
          </cell>
          <cell r="N53">
            <v>8.6855599999999988</v>
          </cell>
          <cell r="O53">
            <v>9.7865741605341974</v>
          </cell>
          <cell r="P53">
            <v>15.429715000000002</v>
          </cell>
          <cell r="Q53">
            <v>23.456992</v>
          </cell>
          <cell r="R53">
            <v>26.286865000000002</v>
          </cell>
          <cell r="S53">
            <v>27.86685300000001</v>
          </cell>
          <cell r="T53">
            <v>34.635379999999998</v>
          </cell>
          <cell r="U53">
            <v>39.673550000000006</v>
          </cell>
          <cell r="V53">
            <v>45.426416000000003</v>
          </cell>
        </row>
        <row r="54">
          <cell r="A54" t="str">
            <v>Q/Q growth</v>
          </cell>
          <cell r="N54">
            <v>1.6201732792740611</v>
          </cell>
          <cell r="O54">
            <v>0.12676375047022859</v>
          </cell>
          <cell r="P54">
            <v>0.57662065876153079</v>
          </cell>
          <cell r="Q54">
            <v>0.52024791125435543</v>
          </cell>
          <cell r="R54">
            <v>0.12064091593670678</v>
          </cell>
          <cell r="S54">
            <v>6.0105607876785871E-2</v>
          </cell>
          <cell r="T54">
            <v>0.24288810078411038</v>
          </cell>
          <cell r="U54">
            <v>0.14546310737748525</v>
          </cell>
          <cell r="V54">
            <v>0.14500507264915785</v>
          </cell>
        </row>
        <row r="55">
          <cell r="A55" t="str">
            <v>Y/Y growth</v>
          </cell>
          <cell r="P55">
            <v>3.6546828241142979</v>
          </cell>
          <cell r="Q55">
            <v>1.7006884990720232</v>
          </cell>
          <cell r="R55">
            <v>1.6860129570167319</v>
          </cell>
          <cell r="S55">
            <v>0.80605105149382261</v>
          </cell>
          <cell r="T55">
            <v>0.4765482292017662</v>
          </cell>
          <cell r="U55">
            <v>0.50925376609192474</v>
          </cell>
          <cell r="V55">
            <v>0.63012364546509736</v>
          </cell>
        </row>
        <row r="57">
          <cell r="A57" t="str">
            <v>Africa</v>
          </cell>
          <cell r="T57">
            <v>5.2361000000000146</v>
          </cell>
          <cell r="U57">
            <v>18.582774999999977</v>
          </cell>
          <cell r="V57">
            <v>25.467473999999996</v>
          </cell>
        </row>
        <row r="58">
          <cell r="A58" t="str">
            <v>Site Rental Revs</v>
          </cell>
        </row>
        <row r="59">
          <cell r="A59" t="str">
            <v>Q/Q growth</v>
          </cell>
        </row>
        <row r="60">
          <cell r="A60" t="str">
            <v>Y/Y growth</v>
          </cell>
        </row>
        <row r="61">
          <cell r="A61" t="str">
            <v>Straight line</v>
          </cell>
        </row>
        <row r="62">
          <cell r="A62" t="str">
            <v>Site Rental Revs (excl str)</v>
          </cell>
        </row>
        <row r="63">
          <cell r="A63" t="str">
            <v>Q/Q growth</v>
          </cell>
        </row>
        <row r="64">
          <cell r="A64" t="str">
            <v>Y/Y growth</v>
          </cell>
        </row>
      </sheetData>
      <sheetData sheetId="9" refreshError="1">
        <row r="1">
          <cell r="H1">
            <v>40359</v>
          </cell>
        </row>
        <row r="3">
          <cell r="B3" t="str">
            <v>($MM)</v>
          </cell>
          <cell r="D3" t="str">
            <v>Actual</v>
          </cell>
          <cell r="E3" t="str">
            <v>MS (A)</v>
          </cell>
          <cell r="F3" t="str">
            <v>MS (E)</v>
          </cell>
          <cell r="G3" t="str">
            <v>MS (E)</v>
          </cell>
          <cell r="H3" t="str">
            <v>Cons (E)</v>
          </cell>
          <cell r="I3" t="str">
            <v>MS (E) v.</v>
          </cell>
          <cell r="K3" t="str">
            <v>Actual</v>
          </cell>
          <cell r="L3" t="str">
            <v>Actual</v>
          </cell>
          <cell r="S3" t="str">
            <v>Guidance</v>
          </cell>
          <cell r="U3" t="str">
            <v>Comments</v>
          </cell>
          <cell r="W3" t="str">
            <v>Guidance</v>
          </cell>
          <cell r="Y3" t="str">
            <v>Comments</v>
          </cell>
        </row>
        <row r="4">
          <cell r="B4" t="str">
            <v>except per share calcs</v>
          </cell>
          <cell r="D4" t="str">
            <v>2Q10</v>
          </cell>
          <cell r="E4" t="str">
            <v>1Q10</v>
          </cell>
          <cell r="F4" t="str">
            <v>2Q10</v>
          </cell>
          <cell r="G4" t="str">
            <v>Diff.</v>
          </cell>
          <cell r="H4" t="str">
            <v>2Q10</v>
          </cell>
          <cell r="I4" t="str">
            <v>Cons (E)</v>
          </cell>
          <cell r="K4" t="str">
            <v>1Q10</v>
          </cell>
          <cell r="L4" t="str">
            <v>2Q09</v>
          </cell>
          <cell r="M4" t="str">
            <v>Seq. (A)</v>
          </cell>
          <cell r="N4" t="str">
            <v>Y/Y (A)</v>
          </cell>
          <cell r="P4" t="str">
            <v>Seq. (E)</v>
          </cell>
          <cell r="Q4" t="str">
            <v>Y/Y (E)</v>
          </cell>
          <cell r="S4" t="str">
            <v xml:space="preserve"> for 1Q10</v>
          </cell>
          <cell r="U4" t="str">
            <v>Post 1Q10</v>
          </cell>
          <cell r="W4" t="str">
            <v xml:space="preserve"> for 2Q10</v>
          </cell>
          <cell r="Y4" t="str">
            <v>Post 2Q10</v>
          </cell>
        </row>
        <row r="6">
          <cell r="B6" t="str">
            <v>REVENUES:</v>
          </cell>
        </row>
        <row r="7">
          <cell r="B7" t="str">
            <v>Site Rental</v>
          </cell>
          <cell r="D7">
            <v>456.48099999999999</v>
          </cell>
          <cell r="E7">
            <v>443.81799999999998</v>
          </cell>
          <cell r="F7">
            <v>453.39576169981962</v>
          </cell>
          <cell r="G7">
            <v>3.0852383001803787</v>
          </cell>
          <cell r="K7">
            <v>443.81799999999998</v>
          </cell>
          <cell r="L7">
            <v>406.75099999999998</v>
          </cell>
          <cell r="M7">
            <v>2.8531965805803194E-2</v>
          </cell>
          <cell r="N7">
            <v>0.12226153101037252</v>
          </cell>
          <cell r="P7">
            <v>2.1580381372138246E-2</v>
          </cell>
          <cell r="Q7">
            <v>0.11467645242376689</v>
          </cell>
          <cell r="S7" t="str">
            <v>$403 - $408</v>
          </cell>
          <cell r="U7" t="str">
            <v>Strong mobile data leasing activity</v>
          </cell>
          <cell r="Y7" t="str">
            <v>Weaker Y/Y Core growth; expect momentum in 2H, but consistent with past years</v>
          </cell>
        </row>
        <row r="8">
          <cell r="B8" t="str">
            <v>Network Development</v>
          </cell>
          <cell r="D8">
            <v>13.456</v>
          </cell>
          <cell r="E8">
            <v>10.616</v>
          </cell>
          <cell r="F8">
            <v>11.146800000000001</v>
          </cell>
          <cell r="G8">
            <v>2.3091999999999988</v>
          </cell>
          <cell r="K8">
            <v>10.616</v>
          </cell>
          <cell r="L8">
            <v>16.606999999999999</v>
          </cell>
          <cell r="M8">
            <v>0.2675207234363226</v>
          </cell>
          <cell r="N8">
            <v>-0.18973926657433615</v>
          </cell>
          <cell r="P8">
            <v>5.0000000000000044E-2</v>
          </cell>
          <cell r="Q8">
            <v>-0.32878906485217074</v>
          </cell>
        </row>
        <row r="9">
          <cell r="G9">
            <v>0</v>
          </cell>
        </row>
        <row r="10">
          <cell r="B10" t="str">
            <v>TOTAL REVENUES</v>
          </cell>
          <cell r="D10">
            <v>469.93700000000001</v>
          </cell>
          <cell r="E10">
            <v>454.43399999999997</v>
          </cell>
          <cell r="F10">
            <v>464.5425616998196</v>
          </cell>
          <cell r="G10">
            <v>5.3944383001804113</v>
          </cell>
          <cell r="H10" t="e">
            <v>#NAME?</v>
          </cell>
          <cell r="I10" t="e">
            <v>#NAME?</v>
          </cell>
          <cell r="K10">
            <v>454.43399999999997</v>
          </cell>
          <cell r="L10">
            <v>423.35799999999995</v>
          </cell>
          <cell r="M10">
            <v>3.4114964989415464E-2</v>
          </cell>
          <cell r="N10">
            <v>0.11002272308542671</v>
          </cell>
          <cell r="P10">
            <v>2.2244290039520775E-2</v>
          </cell>
          <cell r="Q10">
            <v>9.728069789591709E-2</v>
          </cell>
          <cell r="U10" t="str">
            <v>Raised expectation for AUD from 0.88 to 0.9</v>
          </cell>
          <cell r="Y10" t="str">
            <v>Signed new business up 10% Y/Y, commenced new business up 25% Y/Y</v>
          </cell>
        </row>
        <row r="12">
          <cell r="B12" t="str">
            <v>MARGINS:</v>
          </cell>
        </row>
        <row r="13">
          <cell r="B13" t="str">
            <v>Cost of Rev - Site Rental</v>
          </cell>
          <cell r="D13">
            <v>105.773</v>
          </cell>
          <cell r="E13">
            <v>100.42400000000001</v>
          </cell>
          <cell r="F13">
            <v>103.37423366755887</v>
          </cell>
          <cell r="G13">
            <v>2.3987663324411272</v>
          </cell>
          <cell r="K13">
            <v>100.42400000000001</v>
          </cell>
          <cell r="L13">
            <v>92.33</v>
          </cell>
          <cell r="M13">
            <v>5.3264159961762036E-2</v>
          </cell>
          <cell r="N13">
            <v>0.14559731398245424</v>
          </cell>
          <cell r="P13">
            <v>2.93777749099704E-2</v>
          </cell>
          <cell r="Q13">
            <v>0.11961695730054012</v>
          </cell>
          <cell r="S13" t="str">
            <v>$113 - $118</v>
          </cell>
          <cell r="Y13" t="str">
            <v>90% of sites are on owned land, under capital lease, or with &gt;10 years lease remaining</v>
          </cell>
        </row>
        <row r="14">
          <cell r="B14" t="str">
            <v>Gross Margin - Rental</v>
          </cell>
          <cell r="D14">
            <v>0.76828608419627531</v>
          </cell>
          <cell r="E14">
            <v>0.77372706830277282</v>
          </cell>
          <cell r="F14">
            <v>0.77200000000000002</v>
          </cell>
          <cell r="G14">
            <v>-37.1391580372471</v>
          </cell>
          <cell r="K14">
            <v>0.77372706830277282</v>
          </cell>
          <cell r="L14">
            <v>0.77300608972073825</v>
          </cell>
          <cell r="M14">
            <v>-54.409841064975154</v>
          </cell>
          <cell r="N14">
            <v>-47.200055244629446</v>
          </cell>
          <cell r="P14">
            <v>-17.270683027728051</v>
          </cell>
          <cell r="Q14">
            <v>-10.060897207382347</v>
          </cell>
          <cell r="S14" t="str">
            <v>70.3% - 72.5%</v>
          </cell>
        </row>
        <row r="15">
          <cell r="B15" t="str">
            <v>Cost of Rev - Net Devlpmt</v>
          </cell>
          <cell r="D15">
            <v>6.4260000000000002</v>
          </cell>
          <cell r="E15">
            <v>6.0449999999999999</v>
          </cell>
          <cell r="F15">
            <v>6.4651440000000013</v>
          </cell>
          <cell r="G15">
            <v>-3.9144000000001178E-2</v>
          </cell>
          <cell r="K15">
            <v>6.0449999999999999</v>
          </cell>
          <cell r="L15">
            <v>10.243</v>
          </cell>
          <cell r="M15">
            <v>6.3027295285359886E-2</v>
          </cell>
          <cell r="N15">
            <v>-0.3726447329883823</v>
          </cell>
          <cell r="P15">
            <v>6.95027295285362E-2</v>
          </cell>
          <cell r="Q15">
            <v>-0.36882319632920035</v>
          </cell>
        </row>
        <row r="16">
          <cell r="B16" t="str">
            <v>Gross Margin - Net Dvlpmt</v>
          </cell>
          <cell r="D16">
            <v>0.52244351961950053</v>
          </cell>
          <cell r="E16">
            <v>0.43057648831951773</v>
          </cell>
          <cell r="F16">
            <v>0.42</v>
          </cell>
          <cell r="G16">
            <v>1024.4351961950053</v>
          </cell>
          <cell r="K16">
            <v>0.43057648831951773</v>
          </cell>
          <cell r="L16">
            <v>0.38321189859697713</v>
          </cell>
          <cell r="M16">
            <v>918.67031299982807</v>
          </cell>
          <cell r="N16">
            <v>1392.316210225234</v>
          </cell>
          <cell r="P16">
            <v>-105.7648831951774</v>
          </cell>
          <cell r="Q16">
            <v>367.88101403022853</v>
          </cell>
        </row>
        <row r="17">
          <cell r="B17" t="str">
            <v>Corp, G&amp;A</v>
          </cell>
          <cell r="D17">
            <v>40.353999999999999</v>
          </cell>
          <cell r="E17">
            <v>39.962000000000003</v>
          </cell>
          <cell r="F17">
            <v>40.415202867884304</v>
          </cell>
          <cell r="G17">
            <v>-6.1202867884304624E-2</v>
          </cell>
          <cell r="K17">
            <v>39.962000000000003</v>
          </cell>
          <cell r="L17">
            <v>37.024999999999999</v>
          </cell>
          <cell r="M17">
            <v>9.8093188529102537E-3</v>
          </cell>
          <cell r="N17">
            <v>8.9912221471978304E-2</v>
          </cell>
          <cell r="P17">
            <v>1.1340845500332764E-2</v>
          </cell>
          <cell r="Q17">
            <v>9.1565236134619976E-2</v>
          </cell>
          <cell r="Y17" t="str">
            <v>Includes $1M of accrued severence; continued investment in overhead on REIT conversion</v>
          </cell>
        </row>
        <row r="18">
          <cell r="B18" t="str">
            <v>TV Azteca</v>
          </cell>
          <cell r="D18">
            <v>3.585</v>
          </cell>
          <cell r="E18">
            <v>3.4990000000000001</v>
          </cell>
          <cell r="F18">
            <v>3.4990000000000001</v>
          </cell>
          <cell r="K18">
            <v>3.4990000000000001</v>
          </cell>
          <cell r="L18">
            <v>3.585</v>
          </cell>
        </row>
        <row r="20">
          <cell r="B20" t="str">
            <v>Adjusted EBITDA</v>
          </cell>
          <cell r="D20">
            <v>320.96899999999999</v>
          </cell>
          <cell r="E20">
            <v>311.50200000000001</v>
          </cell>
          <cell r="F20">
            <v>317.78698116437641</v>
          </cell>
          <cell r="G20">
            <v>3.1820188356235803</v>
          </cell>
          <cell r="H20" t="e">
            <v>#NAME?</v>
          </cell>
          <cell r="I20" t="e">
            <v>#NAME?</v>
          </cell>
          <cell r="K20">
            <v>311.50200000000001</v>
          </cell>
          <cell r="L20">
            <v>287.34499999999997</v>
          </cell>
          <cell r="M20">
            <v>3.0391458160782259E-2</v>
          </cell>
          <cell r="N20">
            <v>0.11701613043553927</v>
          </cell>
          <cell r="P20">
            <v>0</v>
          </cell>
          <cell r="Q20">
            <v>8.406967234509044E-2</v>
          </cell>
          <cell r="S20" t="str">
            <v>$267 - $272</v>
          </cell>
        </row>
        <row r="21">
          <cell r="B21" t="str">
            <v>EBITDA Margin</v>
          </cell>
          <cell r="D21">
            <v>0.68300431760001867</v>
          </cell>
          <cell r="E21">
            <v>0.68547247785156928</v>
          </cell>
          <cell r="F21">
            <v>0.68408582413106334</v>
          </cell>
          <cell r="G21">
            <v>-10.815065310446625</v>
          </cell>
          <cell r="H21" t="e">
            <v>#NAME?</v>
          </cell>
          <cell r="I21" t="str">
            <v>NM</v>
          </cell>
          <cell r="K21">
            <v>0.68547247785156928</v>
          </cell>
          <cell r="L21">
            <v>0.67872816859490082</v>
          </cell>
          <cell r="M21">
            <v>-24.681602515506107</v>
          </cell>
          <cell r="N21">
            <v>42.761490051178576</v>
          </cell>
          <cell r="P21">
            <v>-13.866537205059482</v>
          </cell>
          <cell r="Q21">
            <v>53.576555361625196</v>
          </cell>
          <cell r="Y21" t="str">
            <v>Ex. impact of pass through revenue &amp; new sites, conversion rate would have been 90%</v>
          </cell>
        </row>
        <row r="22">
          <cell r="Y22" t="str">
            <v>12 months our EBITDA conversion rate would have been in excess of 90%.</v>
          </cell>
        </row>
        <row r="23">
          <cell r="B23" t="str">
            <v>D&amp;A</v>
          </cell>
          <cell r="G23">
            <v>0</v>
          </cell>
          <cell r="H23" t="e">
            <v>#NAME?</v>
          </cell>
          <cell r="I23" t="e">
            <v>#NAME?</v>
          </cell>
          <cell r="K23">
            <v>0</v>
          </cell>
          <cell r="P23" t="e">
            <v>#DIV/0!</v>
          </cell>
          <cell r="Q23" t="e">
            <v>#DIV/0!</v>
          </cell>
        </row>
        <row r="24">
          <cell r="B24" t="str">
            <v>Stock Comp and Other</v>
          </cell>
          <cell r="G24">
            <v>0</v>
          </cell>
          <cell r="K24">
            <v>0</v>
          </cell>
          <cell r="P24" t="e">
            <v>#DIV/0!</v>
          </cell>
          <cell r="Q24" t="e">
            <v>#DIV/0!</v>
          </cell>
        </row>
        <row r="25">
          <cell r="B25" t="str">
            <v>EBIT</v>
          </cell>
          <cell r="D25">
            <v>320.96899999999999</v>
          </cell>
          <cell r="G25">
            <v>320.96899999999999</v>
          </cell>
          <cell r="H25" t="e">
            <v>#NAME?</v>
          </cell>
          <cell r="I25" t="e">
            <v>#NAME?</v>
          </cell>
          <cell r="K25">
            <v>311.50200000000001</v>
          </cell>
          <cell r="P25">
            <v>-1</v>
          </cell>
          <cell r="Q25" t="e">
            <v>#DIV/0!</v>
          </cell>
        </row>
        <row r="27">
          <cell r="B27" t="str">
            <v>Interest Expense</v>
          </cell>
          <cell r="G27">
            <v>0</v>
          </cell>
          <cell r="K27">
            <v>0</v>
          </cell>
          <cell r="P27" t="e">
            <v>#DIV/0!</v>
          </cell>
          <cell r="Q27" t="e">
            <v>#DIV/0!</v>
          </cell>
        </row>
        <row r="28">
          <cell r="B28" t="str">
            <v>"Below the line" financing expense</v>
          </cell>
          <cell r="G28">
            <v>0</v>
          </cell>
          <cell r="K28">
            <v>0</v>
          </cell>
        </row>
        <row r="29">
          <cell r="B29" t="str">
            <v>Interest Income and Other</v>
          </cell>
          <cell r="G29">
            <v>0</v>
          </cell>
          <cell r="K29">
            <v>0</v>
          </cell>
        </row>
        <row r="30">
          <cell r="B30" t="str">
            <v>Net Interest Expense and Other</v>
          </cell>
          <cell r="D30">
            <v>0</v>
          </cell>
          <cell r="G30">
            <v>0</v>
          </cell>
          <cell r="H30" t="e">
            <v>#NAME?</v>
          </cell>
          <cell r="I30" t="e">
            <v>#NAME?</v>
          </cell>
          <cell r="K30">
            <v>0</v>
          </cell>
        </row>
        <row r="32">
          <cell r="B32" t="str">
            <v>EBT</v>
          </cell>
          <cell r="D32">
            <v>320.96899999999999</v>
          </cell>
          <cell r="G32">
            <v>320.96899999999999</v>
          </cell>
          <cell r="H32" t="e">
            <v>#NAME?</v>
          </cell>
          <cell r="I32" t="e">
            <v>#NAME?</v>
          </cell>
          <cell r="K32">
            <v>311.50200000000001</v>
          </cell>
        </row>
        <row r="34">
          <cell r="B34" t="str">
            <v>Income Taxes</v>
          </cell>
          <cell r="G34">
            <v>0</v>
          </cell>
          <cell r="H34" t="e">
            <v>#NAME?</v>
          </cell>
          <cell r="I34" t="e">
            <v>#NAME?</v>
          </cell>
          <cell r="K34">
            <v>0</v>
          </cell>
        </row>
        <row r="36">
          <cell r="B36" t="str">
            <v>Net Income (Operating)</v>
          </cell>
          <cell r="D36">
            <v>320.96899999999999</v>
          </cell>
          <cell r="G36">
            <v>320.96899999999999</v>
          </cell>
          <cell r="H36" t="e">
            <v>#NAME?</v>
          </cell>
          <cell r="I36" t="e">
            <v>#NAME?</v>
          </cell>
          <cell r="K36">
            <v>311.50200000000001</v>
          </cell>
        </row>
        <row r="38">
          <cell r="B38" t="str">
            <v>Reconciliation to (GAAP):</v>
          </cell>
        </row>
        <row r="39">
          <cell r="B39" t="str">
            <v>Minority Interest</v>
          </cell>
          <cell r="G39">
            <v>0</v>
          </cell>
          <cell r="K39">
            <v>0</v>
          </cell>
        </row>
        <row r="40">
          <cell r="B40" t="str">
            <v>Unusual Charges</v>
          </cell>
          <cell r="D40">
            <v>0</v>
          </cell>
          <cell r="G40">
            <v>0</v>
          </cell>
          <cell r="K40">
            <v>0</v>
          </cell>
        </row>
        <row r="41">
          <cell r="B41" t="str">
            <v>Asset Impairments</v>
          </cell>
          <cell r="D41">
            <v>0</v>
          </cell>
          <cell r="G41">
            <v>0</v>
          </cell>
          <cell r="K41">
            <v>0</v>
          </cell>
        </row>
        <row r="42">
          <cell r="B42" t="str">
            <v>Goodwill Impairments</v>
          </cell>
          <cell r="D42">
            <v>0</v>
          </cell>
          <cell r="G42">
            <v>0</v>
          </cell>
          <cell r="K42">
            <v>0</v>
          </cell>
        </row>
        <row r="43">
          <cell r="B43" t="str">
            <v>Dividends on Preferred</v>
          </cell>
          <cell r="G43">
            <v>0</v>
          </cell>
          <cell r="K43">
            <v>0</v>
          </cell>
        </row>
        <row r="44">
          <cell r="B44" t="str">
            <v>Extraordinary Items</v>
          </cell>
          <cell r="D44">
            <v>0</v>
          </cell>
          <cell r="G44">
            <v>0</v>
          </cell>
          <cell r="K44">
            <v>0</v>
          </cell>
        </row>
        <row r="45">
          <cell r="B45" t="str">
            <v>Net Income to Common</v>
          </cell>
          <cell r="D45">
            <v>320.96899999999999</v>
          </cell>
          <cell r="G45">
            <v>320.96899999999999</v>
          </cell>
          <cell r="K45">
            <v>311.50200000000001</v>
          </cell>
        </row>
        <row r="47">
          <cell r="B47" t="str">
            <v>Basic Reported (GAAP) EPS</v>
          </cell>
          <cell r="D47">
            <v>0.79697715359804133</v>
          </cell>
          <cell r="E47">
            <v>0</v>
          </cell>
          <cell r="F47">
            <v>0</v>
          </cell>
          <cell r="G47">
            <v>0.79697715359804133</v>
          </cell>
          <cell r="K47">
            <v>0.77421423352040286</v>
          </cell>
          <cell r="L47">
            <v>0</v>
          </cell>
        </row>
        <row r="48">
          <cell r="B48" t="str">
            <v>Diluted Reported (GAAP) EPS</v>
          </cell>
          <cell r="D48">
            <v>0.79246908825156037</v>
          </cell>
          <cell r="E48">
            <v>0</v>
          </cell>
          <cell r="F48">
            <v>0</v>
          </cell>
          <cell r="G48">
            <v>0.79246908825156037</v>
          </cell>
          <cell r="K48">
            <v>0.7670951536643027</v>
          </cell>
          <cell r="L48">
            <v>0</v>
          </cell>
        </row>
        <row r="49">
          <cell r="B49" t="str">
            <v>Diluted EPS (Cont. Ops)</v>
          </cell>
          <cell r="D49">
            <v>0.25</v>
          </cell>
          <cell r="E49">
            <v>0.23718971631205682</v>
          </cell>
          <cell r="F49">
            <v>0.2129935082915082</v>
          </cell>
          <cell r="G49">
            <v>1.281028368794318E-2</v>
          </cell>
          <cell r="H49" t="e">
            <v>#NAME?</v>
          </cell>
          <cell r="I49" t="str">
            <v>NM</v>
          </cell>
          <cell r="K49">
            <v>0.23718971631205682</v>
          </cell>
          <cell r="L49">
            <v>0.13768247103944892</v>
          </cell>
          <cell r="M49">
            <v>5.4008596524013797E-2</v>
          </cell>
          <cell r="N49">
            <v>0.81577217573593486</v>
          </cell>
          <cell r="P49">
            <v>0</v>
          </cell>
          <cell r="Q49">
            <v>0.72272994900053034</v>
          </cell>
          <cell r="S49" t="str">
            <v>$(0.25) - $(0.15)</v>
          </cell>
        </row>
        <row r="51">
          <cell r="B51" t="str">
            <v>Avg Basic Shares</v>
          </cell>
          <cell r="D51">
            <v>402.733</v>
          </cell>
          <cell r="E51">
            <v>402.346</v>
          </cell>
          <cell r="F51">
            <v>402.60261562469998</v>
          </cell>
          <cell r="G51">
            <v>0.38700000000000045</v>
          </cell>
          <cell r="K51">
            <v>402.346</v>
          </cell>
          <cell r="L51">
            <v>395.81000299999999</v>
          </cell>
        </row>
        <row r="52">
          <cell r="B52" t="str">
            <v>Avg Diluted Shares</v>
          </cell>
          <cell r="D52">
            <v>405.024</v>
          </cell>
          <cell r="E52">
            <v>406.08</v>
          </cell>
          <cell r="F52">
            <v>414.68069409344099</v>
          </cell>
          <cell r="G52">
            <v>-1.0559999999999832</v>
          </cell>
          <cell r="K52">
            <v>406.08</v>
          </cell>
          <cell r="L52">
            <v>408.83199999999999</v>
          </cell>
        </row>
        <row r="54">
          <cell r="B54" t="str">
            <v>RFCF CALCULATION:</v>
          </cell>
        </row>
        <row r="55">
          <cell r="B55" t="str">
            <v>EBITDA</v>
          </cell>
          <cell r="D55">
            <v>320.96899999999999</v>
          </cell>
          <cell r="E55">
            <v>311.50200000000001</v>
          </cell>
          <cell r="F55">
            <v>317.78698116437641</v>
          </cell>
          <cell r="G55">
            <v>9.4669999999999845</v>
          </cell>
          <cell r="K55">
            <v>311.50200000000001</v>
          </cell>
          <cell r="L55">
            <v>287.34499999999997</v>
          </cell>
          <cell r="M55">
            <v>3.0391458160782259E-2</v>
          </cell>
          <cell r="N55">
            <v>0.11701613043553927</v>
          </cell>
          <cell r="P55">
            <v>2.017637499719549E-2</v>
          </cell>
          <cell r="Q55">
            <v>0.10594226857741207</v>
          </cell>
          <cell r="S55" t="str">
            <v>$267 - $272</v>
          </cell>
          <cell r="U55">
            <v>0</v>
          </cell>
        </row>
        <row r="56">
          <cell r="B56" t="str">
            <v>- Sustaining Capex</v>
          </cell>
          <cell r="D56">
            <v>13</v>
          </cell>
          <cell r="E56">
            <v>8.452</v>
          </cell>
          <cell r="F56">
            <v>11.5</v>
          </cell>
          <cell r="G56">
            <v>4.548</v>
          </cell>
          <cell r="K56">
            <v>8.452</v>
          </cell>
          <cell r="L56">
            <v>10.991</v>
          </cell>
          <cell r="M56">
            <v>0.53809749171793664</v>
          </cell>
          <cell r="N56">
            <v>0.18278591574924952</v>
          </cell>
          <cell r="P56">
            <v>0.36062470421202075</v>
          </cell>
          <cell r="Q56">
            <v>4.6310617778182239E-2</v>
          </cell>
          <cell r="S56" t="str">
            <v>$6 - $8</v>
          </cell>
          <cell r="U56" t="str">
            <v>$6 - $8</v>
          </cell>
        </row>
        <row r="57">
          <cell r="B57" t="str">
            <v>- Interest Expense</v>
          </cell>
          <cell r="D57">
            <v>55.379999999999995</v>
          </cell>
          <cell r="E57">
            <v>57.914999999999999</v>
          </cell>
          <cell r="F57">
            <v>55.525045232499998</v>
          </cell>
          <cell r="G57">
            <v>-2.5350000000000037</v>
          </cell>
          <cell r="K57">
            <v>57.914999999999999</v>
          </cell>
          <cell r="L57">
            <v>62.172000000000004</v>
          </cell>
          <cell r="M57">
            <v>-4.3771043771043794E-2</v>
          </cell>
          <cell r="N57">
            <v>-0.10924531943640237</v>
          </cell>
          <cell r="P57">
            <v>-4.1266593585426947E-2</v>
          </cell>
          <cell r="Q57">
            <v>-0.10691235230489615</v>
          </cell>
          <cell r="S57" t="str">
            <v>$119 - $124</v>
          </cell>
          <cell r="U57" t="str">
            <v>$119 - $124</v>
          </cell>
        </row>
        <row r="58">
          <cell r="B58" t="str">
            <v>- Cash Taxes</v>
          </cell>
          <cell r="D58">
            <v>3.3580000000000001</v>
          </cell>
          <cell r="E58">
            <v>7.899</v>
          </cell>
          <cell r="F58">
            <v>10</v>
          </cell>
          <cell r="G58">
            <v>-4.5410000000000004</v>
          </cell>
          <cell r="K58">
            <v>7.899</v>
          </cell>
          <cell r="L58">
            <v>11.501999999999999</v>
          </cell>
          <cell r="M58">
            <v>-0.5748828965691859</v>
          </cell>
          <cell r="N58">
            <v>-0.70805077377847325</v>
          </cell>
          <cell r="P58">
            <v>0.26598303582731986</v>
          </cell>
          <cell r="Q58">
            <v>-0.13058598504607888</v>
          </cell>
        </row>
        <row r="59">
          <cell r="B59" t="str">
            <v>RFCF (Comparable)</v>
          </cell>
          <cell r="D59">
            <v>249.23099999999999</v>
          </cell>
          <cell r="E59">
            <v>237.23599999999999</v>
          </cell>
          <cell r="F59">
            <v>240.76193593187642</v>
          </cell>
          <cell r="G59">
            <v>11.995000000000005</v>
          </cell>
          <cell r="K59">
            <v>237.23599999999999</v>
          </cell>
          <cell r="L59">
            <v>202.67999999999995</v>
          </cell>
          <cell r="M59">
            <v>5.0561466219292139E-2</v>
          </cell>
          <cell r="N59">
            <v>0.22967732386027273</v>
          </cell>
          <cell r="P59">
            <v>1.4862566945473832E-2</v>
          </cell>
          <cell r="Q59">
            <v>0.18789192782650721</v>
          </cell>
        </row>
        <row r="60">
          <cell r="B60" t="str">
            <v>RFCF (Reported)</v>
          </cell>
          <cell r="D60">
            <v>236.4</v>
          </cell>
          <cell r="E60">
            <v>225.14800000000002</v>
          </cell>
          <cell r="F60">
            <v>226.83193593187644</v>
          </cell>
          <cell r="G60">
            <v>11.251999999999981</v>
          </cell>
          <cell r="K60">
            <v>225.14800000000002</v>
          </cell>
          <cell r="L60">
            <v>191.12299999999996</v>
          </cell>
          <cell r="M60">
            <v>4.9976015776289184E-2</v>
          </cell>
          <cell r="N60">
            <v>0.23689979751259682</v>
          </cell>
          <cell r="P60">
            <v>7.479240019349076E-3</v>
          </cell>
          <cell r="Q60">
            <v>0.18683746033641424</v>
          </cell>
          <cell r="S60" t="str">
            <v>$137 - $142</v>
          </cell>
          <cell r="U60" t="str">
            <v>Strength on lower capex</v>
          </cell>
        </row>
        <row r="61">
          <cell r="B61" t="str">
            <v>RFCF (Reported) per Share</v>
          </cell>
          <cell r="D61">
            <v>0.58366911590424275</v>
          </cell>
          <cell r="E61">
            <v>0.55444247438928296</v>
          </cell>
          <cell r="F61">
            <v>0.54700384937805635</v>
          </cell>
          <cell r="G61">
            <v>292.26641514959795</v>
          </cell>
          <cell r="K61">
            <v>0.55444247438928296</v>
          </cell>
          <cell r="L61">
            <v>0.46748542188478387</v>
          </cell>
          <cell r="M61">
            <v>5.2713568792060572E-2</v>
          </cell>
          <cell r="N61">
            <v>0.24852902054364678</v>
          </cell>
          <cell r="P61">
            <v>-1.3416405406927456E-2</v>
          </cell>
          <cell r="Q61">
            <v>0.17009819722864106</v>
          </cell>
        </row>
        <row r="63">
          <cell r="B63" t="str">
            <v>Capex Breakdown:</v>
          </cell>
        </row>
        <row r="64">
          <cell r="B64" t="str">
            <v xml:space="preserve">  Corporate</v>
          </cell>
          <cell r="E64">
            <v>1.603</v>
          </cell>
          <cell r="F64">
            <v>2.5</v>
          </cell>
          <cell r="G64">
            <v>-1.603</v>
          </cell>
          <cell r="K64">
            <v>1.603</v>
          </cell>
          <cell r="L64">
            <v>1.853</v>
          </cell>
          <cell r="P64">
            <v>0.55957579538365576</v>
          </cell>
          <cell r="Q64">
            <v>0.34916351861845651</v>
          </cell>
        </row>
        <row r="65">
          <cell r="B65" t="str">
            <v xml:space="preserve">  Capital Improvements (Maintenance)</v>
          </cell>
          <cell r="E65">
            <v>6.8490000000000002</v>
          </cell>
          <cell r="F65">
            <v>9</v>
          </cell>
          <cell r="G65">
            <v>-6.8490000000000002</v>
          </cell>
          <cell r="K65">
            <v>6.8490000000000002</v>
          </cell>
          <cell r="L65">
            <v>9.1379999999999999</v>
          </cell>
          <cell r="P65">
            <v>0.31406044678055189</v>
          </cell>
          <cell r="Q65">
            <v>-1.5101772816808912E-2</v>
          </cell>
        </row>
        <row r="66">
          <cell r="B66" t="str">
            <v xml:space="preserve">  Redevelopment (Augmentations)</v>
          </cell>
          <cell r="E66">
            <v>5.6580000000000004</v>
          </cell>
          <cell r="F66">
            <v>7.5</v>
          </cell>
          <cell r="G66">
            <v>-5.6580000000000004</v>
          </cell>
          <cell r="K66">
            <v>5.6580000000000004</v>
          </cell>
          <cell r="L66">
            <v>8.94</v>
          </cell>
          <cell r="P66">
            <v>0.32555673382820771</v>
          </cell>
          <cell r="Q66">
            <v>-0.16107382550335569</v>
          </cell>
        </row>
        <row r="67">
          <cell r="B67" t="str">
            <v xml:space="preserve">  New Build</v>
          </cell>
          <cell r="E67">
            <v>32.136000000000003</v>
          </cell>
          <cell r="F67">
            <v>52.5</v>
          </cell>
          <cell r="G67">
            <v>-32.136000000000003</v>
          </cell>
          <cell r="K67">
            <v>32.136000000000003</v>
          </cell>
          <cell r="L67">
            <v>35.793999999999997</v>
          </cell>
          <cell r="P67">
            <v>0.63368185212845396</v>
          </cell>
          <cell r="Q67">
            <v>0.46672626697211839</v>
          </cell>
          <cell r="W67" t="str">
            <v>$7 - $9</v>
          </cell>
        </row>
        <row r="68">
          <cell r="B68" t="str">
            <v xml:space="preserve">  Land Purchases</v>
          </cell>
          <cell r="E68">
            <v>8.8109999999999999</v>
          </cell>
          <cell r="F68">
            <v>12.5</v>
          </cell>
          <cell r="K68">
            <v>8.8109999999999999</v>
          </cell>
          <cell r="L68">
            <v>8.5020000000000007</v>
          </cell>
        </row>
        <row r="69">
          <cell r="B69" t="str">
            <v xml:space="preserve">  Sustaining Capex</v>
          </cell>
          <cell r="D69">
            <v>7.8</v>
          </cell>
          <cell r="F69">
            <v>11.5</v>
          </cell>
          <cell r="K69">
            <v>8.452</v>
          </cell>
          <cell r="L69">
            <v>10.991</v>
          </cell>
          <cell r="M69">
            <v>-7.7141504969238106E-2</v>
          </cell>
          <cell r="N69">
            <v>-0.29032845055045031</v>
          </cell>
        </row>
        <row r="70">
          <cell r="B70" t="str">
            <v>TOTAL CAPEX</v>
          </cell>
          <cell r="D70">
            <v>77.5</v>
          </cell>
          <cell r="E70">
            <v>55.057000000000002</v>
          </cell>
          <cell r="F70">
            <v>84</v>
          </cell>
          <cell r="G70">
            <v>22.442999999999998</v>
          </cell>
          <cell r="H70" t="e">
            <v>#NAME?</v>
          </cell>
          <cell r="I70" t="e">
            <v>#NAME?</v>
          </cell>
          <cell r="K70">
            <v>55.057000000000002</v>
          </cell>
          <cell r="L70">
            <v>64.22699999999999</v>
          </cell>
          <cell r="M70">
            <v>0.40763209037906156</v>
          </cell>
          <cell r="N70">
            <v>0.20665763619661526</v>
          </cell>
          <cell r="P70">
            <v>0.52569155602375717</v>
          </cell>
          <cell r="Q70">
            <v>0.30786117987762185</v>
          </cell>
          <cell r="U70" t="str">
            <v>Capex lower likely due to $109M buyback</v>
          </cell>
          <cell r="Y70" t="str">
            <v>$47M of discretionary capex related to 237 new tower builds</v>
          </cell>
        </row>
        <row r="80">
          <cell r="AF80" t="str">
            <v>Guidance Midpoint for 2010, ($MM)</v>
          </cell>
          <cell r="AG80" t="str">
            <v>Prior</v>
          </cell>
          <cell r="AH80" t="str">
            <v>Current</v>
          </cell>
          <cell r="AI80" t="str">
            <v>∆ ($MM)</v>
          </cell>
          <cell r="AJ80" t="str">
            <v>∆ (%)</v>
          </cell>
        </row>
        <row r="81">
          <cell r="AF81" t="str">
            <v>Site Rental &amp; Mgmt Revenues</v>
          </cell>
          <cell r="AG81">
            <v>1825</v>
          </cell>
          <cell r="AH81">
            <v>1865</v>
          </cell>
          <cell r="AI81">
            <v>40</v>
          </cell>
          <cell r="AJ81">
            <v>2.1917808219177992E-2</v>
          </cell>
        </row>
        <row r="82">
          <cell r="AF82" t="str">
            <v>Adjusted EBITDA</v>
          </cell>
          <cell r="AG82">
            <v>1275</v>
          </cell>
          <cell r="AH82">
            <v>1295</v>
          </cell>
          <cell r="AI82">
            <v>20</v>
          </cell>
          <cell r="AJ82">
            <v>1.5686274509803866E-2</v>
          </cell>
        </row>
        <row r="83">
          <cell r="AF83" t="str">
            <v>Cash from Operations</v>
          </cell>
          <cell r="AG83">
            <v>965</v>
          </cell>
          <cell r="AH83">
            <v>975</v>
          </cell>
          <cell r="AI83">
            <v>10</v>
          </cell>
          <cell r="AJ83">
            <v>1.0362694300518172E-2</v>
          </cell>
        </row>
        <row r="84">
          <cell r="AF84" t="str">
            <v>Capex</v>
          </cell>
          <cell r="AG84">
            <v>325</v>
          </cell>
          <cell r="AH84">
            <v>325</v>
          </cell>
          <cell r="AI84">
            <v>0</v>
          </cell>
          <cell r="AJ84">
            <v>0</v>
          </cell>
        </row>
        <row r="95">
          <cell r="AT95" t="str">
            <v>2Q10 Guidance</v>
          </cell>
          <cell r="AV95" t="str">
            <v>3Q10 Guidance</v>
          </cell>
        </row>
        <row r="97">
          <cell r="AT97" t="str">
            <v>Rental Revs</v>
          </cell>
          <cell r="AU97" t="str">
            <v>Adjusted EBITDA</v>
          </cell>
          <cell r="AV97" t="str">
            <v>Rental Revs</v>
          </cell>
          <cell r="AW97" t="str">
            <v>Adjusted EBITDA</v>
          </cell>
        </row>
        <row r="98">
          <cell r="AO98" t="str">
            <v>Outlook midpoint Core growth (Estimated)</v>
          </cell>
          <cell r="AQ98" t="str">
            <v>4Q09 and 1Q10 Guidance</v>
          </cell>
          <cell r="AT98">
            <v>7.3223960393665868E-2</v>
          </cell>
          <cell r="AU98">
            <v>5.4910917289412955E-2</v>
          </cell>
          <cell r="AV98">
            <v>8.4223960393665864E-2</v>
          </cell>
          <cell r="AW98">
            <v>6.0910917289412961E-2</v>
          </cell>
        </row>
        <row r="99">
          <cell r="AO99" t="str">
            <v>Essar deal (assuming a $38M revenue and $19M EBITDA contribution) (for ~5 months)</v>
          </cell>
          <cell r="AQ99" t="str">
            <v>Rental Revs</v>
          </cell>
          <cell r="AR99" t="str">
            <v>Adjusted EBITDA</v>
          </cell>
          <cell r="AT99">
            <v>2.2776039606334137E-2</v>
          </cell>
          <cell r="AU99">
            <v>1.6089082710587038E-2</v>
          </cell>
          <cell r="AV99">
            <v>2.2776039606334137E-2</v>
          </cell>
          <cell r="AW99">
            <v>1.6089082710587038E-2</v>
          </cell>
        </row>
        <row r="101">
          <cell r="AO101" t="str">
            <v>Outlook midpoint Core growth (Reported)</v>
          </cell>
          <cell r="AQ101">
            <v>8.4000000000000005E-2</v>
          </cell>
          <cell r="AR101">
            <v>7.0000000000000007E-2</v>
          </cell>
          <cell r="AT101">
            <v>9.6000000000000002E-2</v>
          </cell>
          <cell r="AU101">
            <v>7.0999999999999994E-2</v>
          </cell>
          <cell r="AV101">
            <v>0.107</v>
          </cell>
          <cell r="AW101">
            <v>7.6999999999999999E-2</v>
          </cell>
        </row>
        <row r="102">
          <cell r="AO102" t="str">
            <v>Estimated impact of fluctuations in foreign currency exchange rates</v>
          </cell>
          <cell r="AQ102">
            <v>8.0000000000000002E-3</v>
          </cell>
          <cell r="AR102">
            <v>6.0000000000000001E-3</v>
          </cell>
          <cell r="AT102">
            <v>0.01</v>
          </cell>
          <cell r="AU102">
            <v>7.0000000000000001E-3</v>
          </cell>
          <cell r="AV102">
            <v>1.2999999999999999E-2</v>
          </cell>
          <cell r="AW102">
            <v>8.9999999999999993E-3</v>
          </cell>
        </row>
        <row r="103">
          <cell r="AO103" t="str">
            <v>Impact of straight-line revenue and expense recognition</v>
          </cell>
          <cell r="AQ103">
            <v>6.0000000000000001E-3</v>
          </cell>
          <cell r="AR103">
            <v>1.0999999999999999E-2</v>
          </cell>
          <cell r="AT103">
            <v>1.7000000000000001E-2</v>
          </cell>
          <cell r="AU103">
            <v>2.5999999999999999E-2</v>
          </cell>
          <cell r="AV103">
            <v>3.9E-2</v>
          </cell>
          <cell r="AW103">
            <v>5.8000000000000003E-2</v>
          </cell>
        </row>
        <row r="104">
          <cell r="AO104" t="str">
            <v>Impact of material one-time item (1)</v>
          </cell>
          <cell r="AQ104">
            <v>-4.0000000000000001E-3</v>
          </cell>
          <cell r="AR104">
            <v>-7.0000000000000001E-3</v>
          </cell>
          <cell r="AT104">
            <v>-5.0000000000000001E-3</v>
          </cell>
          <cell r="AU104">
            <v>-7.0000000000000001E-3</v>
          </cell>
          <cell r="AV104">
            <v>-5.0000000000000001E-3</v>
          </cell>
          <cell r="AW104">
            <v>-7.0000000000000001E-3</v>
          </cell>
        </row>
        <row r="105">
          <cell r="AO105" t="str">
            <v>Outlook midpoint growth</v>
          </cell>
          <cell r="AQ105">
            <v>9.4E-2</v>
          </cell>
          <cell r="AR105">
            <v>0.08</v>
          </cell>
          <cell r="AT105">
            <v>0.11799999999999999</v>
          </cell>
          <cell r="AU105">
            <v>9.6999999999999989E-2</v>
          </cell>
          <cell r="AV105">
            <v>0.154</v>
          </cell>
          <cell r="AW105">
            <v>0.13699999999999998</v>
          </cell>
        </row>
        <row r="106">
          <cell r="AO106" t="str">
            <v>(1) Material one-time item related to a termination agreement with one of the Company’s broadcast customers in 2009.</v>
          </cell>
        </row>
        <row r="109">
          <cell r="AZ109" t="str">
            <v>($MM)</v>
          </cell>
          <cell r="BA109" t="str">
            <v>NEW</v>
          </cell>
          <cell r="BB109" t="str">
            <v>OLD</v>
          </cell>
          <cell r="BC109" t="str">
            <v>NEW</v>
          </cell>
          <cell r="BD109" t="str">
            <v>OLD</v>
          </cell>
          <cell r="BE109" t="str">
            <v>NEW</v>
          </cell>
          <cell r="BF109" t="str">
            <v>OLD</v>
          </cell>
        </row>
        <row r="110">
          <cell r="AZ110" t="str">
            <v>except per share calcs</v>
          </cell>
          <cell r="BA110" t="str">
            <v>2011E</v>
          </cell>
          <cell r="BB110" t="str">
            <v>2011E</v>
          </cell>
          <cell r="BC110" t="str">
            <v>2012E</v>
          </cell>
          <cell r="BD110" t="str">
            <v>2012E</v>
          </cell>
          <cell r="BE110" t="str">
            <v>2013E</v>
          </cell>
          <cell r="BF110" t="str">
            <v>2013E</v>
          </cell>
        </row>
        <row r="111">
          <cell r="AZ111" t="str">
            <v>REVENUES:</v>
          </cell>
        </row>
        <row r="112">
          <cell r="AZ112" t="str">
            <v>Site Rental</v>
          </cell>
          <cell r="BA112">
            <v>2381.7024906660486</v>
          </cell>
          <cell r="BB112" t="e">
            <v>#REF!</v>
          </cell>
          <cell r="BC112">
            <v>2846.8693051028599</v>
          </cell>
          <cell r="BD112" t="e">
            <v>#REF!</v>
          </cell>
          <cell r="BE112">
            <v>3160.4611101080582</v>
          </cell>
          <cell r="BF112" t="e">
            <v>#REF!</v>
          </cell>
        </row>
        <row r="113">
          <cell r="AZ113" t="str">
            <v>Network Development</v>
          </cell>
          <cell r="BA113">
            <v>60.781950000000002</v>
          </cell>
          <cell r="BB113" t="e">
            <v>#REF!</v>
          </cell>
          <cell r="BC113">
            <v>64.594724862259511</v>
          </cell>
          <cell r="BD113" t="e">
            <v>#REF!</v>
          </cell>
          <cell r="BE113">
            <v>67.217529716513937</v>
          </cell>
          <cell r="BF113" t="e">
            <v>#REF!</v>
          </cell>
        </row>
        <row r="114">
          <cell r="BB114" t="e">
            <v>#REF!</v>
          </cell>
          <cell r="BD114" t="e">
            <v>#REF!</v>
          </cell>
          <cell r="BF114" t="e">
            <v>#REF!</v>
          </cell>
        </row>
        <row r="115">
          <cell r="AZ115" t="str">
            <v>TOTAL REVENUES</v>
          </cell>
          <cell r="BA115">
            <v>2442.4844406660486</v>
          </cell>
          <cell r="BB115" t="e">
            <v>#REF!</v>
          </cell>
          <cell r="BC115">
            <v>2911.4640299651196</v>
          </cell>
          <cell r="BD115" t="e">
            <v>#REF!</v>
          </cell>
          <cell r="BE115">
            <v>3227.6786398245722</v>
          </cell>
          <cell r="BF115" t="e">
            <v>#REF!</v>
          </cell>
        </row>
        <row r="116">
          <cell r="BB116" t="e">
            <v>#REF!</v>
          </cell>
          <cell r="BD116" t="e">
            <v>#REF!</v>
          </cell>
          <cell r="BF116" t="e">
            <v>#REF!</v>
          </cell>
        </row>
        <row r="117">
          <cell r="AZ117" t="str">
            <v>MARGINS:</v>
          </cell>
        </row>
        <row r="118">
          <cell r="AZ118" t="str">
            <v>Cost of Rev - Site Rental</v>
          </cell>
          <cell r="BA118">
            <v>597.91812757317257</v>
          </cell>
          <cell r="BB118" t="e">
            <v>#REF!</v>
          </cell>
          <cell r="BC118">
            <v>711.71732627571498</v>
          </cell>
          <cell r="BD118" t="e">
            <v>#REF!</v>
          </cell>
          <cell r="BE118">
            <v>790.11527752701454</v>
          </cell>
          <cell r="BF118" t="e">
            <v>#REF!</v>
          </cell>
        </row>
        <row r="119">
          <cell r="AZ119" t="str">
            <v>Gross Margin - Rental</v>
          </cell>
          <cell r="BA119">
            <v>0.74895347764196885</v>
          </cell>
          <cell r="BB119" t="e">
            <v>#REF!</v>
          </cell>
          <cell r="BC119">
            <v>0.75</v>
          </cell>
          <cell r="BD119" t="e">
            <v>#REF!</v>
          </cell>
          <cell r="BE119">
            <v>0.74999999999999989</v>
          </cell>
          <cell r="BF119" t="e">
            <v>#REF!</v>
          </cell>
        </row>
        <row r="120">
          <cell r="AZ120" t="str">
            <v>Cost of Rev - Net Dev</v>
          </cell>
          <cell r="BA120">
            <v>32.019551</v>
          </cell>
          <cell r="BB120" t="e">
            <v>#REF!</v>
          </cell>
          <cell r="BC120">
            <v>37.464940420110523</v>
          </cell>
          <cell r="BD120" t="e">
            <v>#REF!</v>
          </cell>
          <cell r="BE120">
            <v>38.986167235578087</v>
          </cell>
          <cell r="BF120" t="e">
            <v>#REF!</v>
          </cell>
        </row>
        <row r="121">
          <cell r="AZ121" t="str">
            <v>Gross Margin - Net Dev</v>
          </cell>
          <cell r="BA121">
            <v>0.47320625613360545</v>
          </cell>
          <cell r="BB121" t="e">
            <v>#REF!</v>
          </cell>
          <cell r="BC121">
            <v>0.41999999999999993</v>
          </cell>
          <cell r="BD121" t="e">
            <v>#REF!</v>
          </cell>
          <cell r="BE121">
            <v>0.41999999999999993</v>
          </cell>
          <cell r="BF121" t="e">
            <v>#REF!</v>
          </cell>
        </row>
        <row r="122">
          <cell r="AZ122" t="str">
            <v>TV Azteca</v>
          </cell>
          <cell r="BA122">
            <v>14.085000000000001</v>
          </cell>
          <cell r="BB122" t="e">
            <v>#REF!</v>
          </cell>
          <cell r="BC122">
            <v>13.992000000000001</v>
          </cell>
          <cell r="BD122" t="e">
            <v>#REF!</v>
          </cell>
          <cell r="BE122">
            <v>13.992000000000001</v>
          </cell>
          <cell r="BF122" t="e">
            <v>#REF!</v>
          </cell>
        </row>
        <row r="123">
          <cell r="AZ123" t="str">
            <v>Corp, G&amp;A</v>
          </cell>
          <cell r="BA123">
            <v>242.46138686327458</v>
          </cell>
          <cell r="BB123" t="e">
            <v>#REF!</v>
          </cell>
          <cell r="BC123">
            <v>276.58908284668632</v>
          </cell>
          <cell r="BD123" t="e">
            <v>#REF!</v>
          </cell>
          <cell r="BE123">
            <v>290.49107758421144</v>
          </cell>
          <cell r="BF123" t="e">
            <v>#REF!</v>
          </cell>
        </row>
        <row r="124">
          <cell r="BB124" t="e">
            <v>#REF!</v>
          </cell>
          <cell r="BD124" t="e">
            <v>#REF!</v>
          </cell>
          <cell r="BF124" t="e">
            <v>#REF!</v>
          </cell>
        </row>
        <row r="125">
          <cell r="AZ125" t="str">
            <v>Adjusted EBITDA</v>
          </cell>
          <cell r="BA125">
            <v>1584.1703752296014</v>
          </cell>
          <cell r="BB125" t="e">
            <v>#REF!</v>
          </cell>
          <cell r="BC125">
            <v>1899.6846804226077</v>
          </cell>
          <cell r="BD125" t="e">
            <v>#REF!</v>
          </cell>
          <cell r="BE125">
            <v>2122.078117477768</v>
          </cell>
          <cell r="BF125" t="e">
            <v>#REF!</v>
          </cell>
        </row>
        <row r="126">
          <cell r="AZ126" t="str">
            <v>EBITDA Margin</v>
          </cell>
          <cell r="BA126">
            <v>0.64858975101499894</v>
          </cell>
          <cell r="BB126" t="e">
            <v>#REF!</v>
          </cell>
          <cell r="BC126">
            <v>0.65248433807556494</v>
          </cell>
          <cell r="BD126" t="e">
            <v>#REF!</v>
          </cell>
          <cell r="BE126">
            <v>0.65746263933918314</v>
          </cell>
          <cell r="BF126" t="e">
            <v>#REF!</v>
          </cell>
        </row>
        <row r="127">
          <cell r="BB127" t="e">
            <v>#REF!</v>
          </cell>
          <cell r="BD127" t="e">
            <v>#REF!</v>
          </cell>
          <cell r="BF127" t="e">
            <v>#REF!</v>
          </cell>
        </row>
        <row r="128">
          <cell r="AZ128" t="str">
            <v>D&amp;A</v>
          </cell>
          <cell r="BB128" t="e">
            <v>#REF!</v>
          </cell>
          <cell r="BD128" t="e">
            <v>#REF!</v>
          </cell>
          <cell r="BF128" t="e">
            <v>#REF!</v>
          </cell>
        </row>
        <row r="129">
          <cell r="AZ129" t="str">
            <v>Stock Comp and Other</v>
          </cell>
          <cell r="BB129" t="e">
            <v>#REF!</v>
          </cell>
          <cell r="BD129" t="e">
            <v>#REF!</v>
          </cell>
          <cell r="BF129" t="e">
            <v>#REF!</v>
          </cell>
        </row>
        <row r="130">
          <cell r="AZ130" t="str">
            <v>EBIT</v>
          </cell>
          <cell r="BB130" t="e">
            <v>#REF!</v>
          </cell>
          <cell r="BD130" t="e">
            <v>#REF!</v>
          </cell>
          <cell r="BF130" t="e">
            <v>#REF!</v>
          </cell>
        </row>
        <row r="131">
          <cell r="BB131" t="e">
            <v>#REF!</v>
          </cell>
          <cell r="BD131" t="e">
            <v>#REF!</v>
          </cell>
          <cell r="BF131" t="e">
            <v>#REF!</v>
          </cell>
        </row>
        <row r="132">
          <cell r="AZ132" t="str">
            <v>Interest Expense</v>
          </cell>
          <cell r="BB132" t="e">
            <v>#REF!</v>
          </cell>
          <cell r="BD132" t="e">
            <v>#REF!</v>
          </cell>
          <cell r="BF132" t="e">
            <v>#REF!</v>
          </cell>
        </row>
        <row r="133">
          <cell r="AZ133" t="str">
            <v>"Below the line" financing expense</v>
          </cell>
          <cell r="BB133" t="e">
            <v>#REF!</v>
          </cell>
          <cell r="BD133" t="e">
            <v>#REF!</v>
          </cell>
          <cell r="BF133" t="e">
            <v>#REF!</v>
          </cell>
        </row>
        <row r="134">
          <cell r="AZ134" t="str">
            <v>Interest Income and Other</v>
          </cell>
          <cell r="BB134" t="e">
            <v>#REF!</v>
          </cell>
          <cell r="BD134" t="e">
            <v>#REF!</v>
          </cell>
          <cell r="BF134" t="e">
            <v>#REF!</v>
          </cell>
        </row>
        <row r="135">
          <cell r="AZ135" t="str">
            <v>Net Interest Expense and Other</v>
          </cell>
          <cell r="BB135" t="e">
            <v>#REF!</v>
          </cell>
          <cell r="BD135" t="e">
            <v>#REF!</v>
          </cell>
          <cell r="BF135" t="e">
            <v>#REF!</v>
          </cell>
        </row>
        <row r="136">
          <cell r="BB136" t="e">
            <v>#REF!</v>
          </cell>
          <cell r="BD136" t="e">
            <v>#REF!</v>
          </cell>
          <cell r="BF136" t="e">
            <v>#REF!</v>
          </cell>
        </row>
        <row r="137">
          <cell r="AZ137" t="str">
            <v>EBT</v>
          </cell>
          <cell r="BB137" t="e">
            <v>#REF!</v>
          </cell>
          <cell r="BD137" t="e">
            <v>#REF!</v>
          </cell>
          <cell r="BF137" t="e">
            <v>#REF!</v>
          </cell>
        </row>
        <row r="138">
          <cell r="BB138" t="e">
            <v>#REF!</v>
          </cell>
          <cell r="BD138" t="e">
            <v>#REF!</v>
          </cell>
          <cell r="BF138" t="e">
            <v>#REF!</v>
          </cell>
        </row>
        <row r="139">
          <cell r="AZ139" t="str">
            <v>Income Taxes</v>
          </cell>
          <cell r="BB139" t="e">
            <v>#REF!</v>
          </cell>
          <cell r="BD139" t="e">
            <v>#REF!</v>
          </cell>
          <cell r="BF139" t="e">
            <v>#REF!</v>
          </cell>
        </row>
        <row r="140">
          <cell r="BB140" t="e">
            <v>#REF!</v>
          </cell>
          <cell r="BD140" t="e">
            <v>#REF!</v>
          </cell>
          <cell r="BF140" t="e">
            <v>#REF!</v>
          </cell>
        </row>
        <row r="141">
          <cell r="AZ141" t="str">
            <v>Net Income (Operating)</v>
          </cell>
          <cell r="BB141" t="e">
            <v>#REF!</v>
          </cell>
          <cell r="BD141" t="e">
            <v>#REF!</v>
          </cell>
          <cell r="BF141" t="e">
            <v>#REF!</v>
          </cell>
        </row>
        <row r="142">
          <cell r="BB142" t="e">
            <v>#REF!</v>
          </cell>
          <cell r="BD142" t="e">
            <v>#REF!</v>
          </cell>
          <cell r="BF142" t="e">
            <v>#REF!</v>
          </cell>
        </row>
        <row r="143">
          <cell r="AZ143" t="str">
            <v>Reconciliation to (GAAP):</v>
          </cell>
          <cell r="BB143" t="e">
            <v>#REF!</v>
          </cell>
          <cell r="BD143" t="e">
            <v>#REF!</v>
          </cell>
          <cell r="BF143" t="e">
            <v>#REF!</v>
          </cell>
        </row>
        <row r="144">
          <cell r="AZ144" t="str">
            <v>Minority Interest</v>
          </cell>
          <cell r="BB144" t="e">
            <v>#REF!</v>
          </cell>
          <cell r="BD144" t="e">
            <v>#REF!</v>
          </cell>
          <cell r="BF144" t="e">
            <v>#REF!</v>
          </cell>
        </row>
        <row r="145">
          <cell r="AZ145" t="str">
            <v>Unusual Charges</v>
          </cell>
          <cell r="BB145" t="e">
            <v>#REF!</v>
          </cell>
          <cell r="BD145" t="e">
            <v>#REF!</v>
          </cell>
          <cell r="BF145" t="e">
            <v>#REF!</v>
          </cell>
        </row>
        <row r="146">
          <cell r="AZ146" t="str">
            <v>Asset Impairments</v>
          </cell>
          <cell r="BB146" t="e">
            <v>#REF!</v>
          </cell>
          <cell r="BD146" t="e">
            <v>#REF!</v>
          </cell>
          <cell r="BF146" t="e">
            <v>#REF!</v>
          </cell>
        </row>
        <row r="147">
          <cell r="AZ147" t="str">
            <v>Goodwill Impairments</v>
          </cell>
          <cell r="BB147" t="e">
            <v>#REF!</v>
          </cell>
          <cell r="BD147" t="e">
            <v>#REF!</v>
          </cell>
          <cell r="BF147" t="e">
            <v>#REF!</v>
          </cell>
        </row>
        <row r="148">
          <cell r="AZ148" t="str">
            <v>Dividends on Preferred</v>
          </cell>
          <cell r="BB148" t="e">
            <v>#REF!</v>
          </cell>
          <cell r="BD148" t="e">
            <v>#REF!</v>
          </cell>
          <cell r="BF148" t="e">
            <v>#REF!</v>
          </cell>
        </row>
        <row r="149">
          <cell r="AZ149" t="str">
            <v>Extraordinary Items</v>
          </cell>
          <cell r="BB149" t="e">
            <v>#REF!</v>
          </cell>
          <cell r="BD149" t="e">
            <v>#REF!</v>
          </cell>
          <cell r="BF149" t="e">
            <v>#REF!</v>
          </cell>
        </row>
        <row r="150">
          <cell r="AZ150" t="str">
            <v>Net Income to Common</v>
          </cell>
          <cell r="BB150" t="e">
            <v>#REF!</v>
          </cell>
          <cell r="BD150" t="e">
            <v>#REF!</v>
          </cell>
          <cell r="BF150" t="e">
            <v>#REF!</v>
          </cell>
        </row>
        <row r="151">
          <cell r="BB151" t="e">
            <v>#REF!</v>
          </cell>
          <cell r="BD151" t="e">
            <v>#REF!</v>
          </cell>
          <cell r="BF151" t="e">
            <v>#REF!</v>
          </cell>
        </row>
        <row r="152">
          <cell r="AZ152" t="str">
            <v>Basic Reported (GAAP) EPS</v>
          </cell>
          <cell r="BB152" t="e">
            <v>#REF!</v>
          </cell>
          <cell r="BD152" t="e">
            <v>#REF!</v>
          </cell>
          <cell r="BF152" t="e">
            <v>#REF!</v>
          </cell>
        </row>
        <row r="153">
          <cell r="AZ153" t="str">
            <v>Diluted Reported (GAAP) EPS</v>
          </cell>
          <cell r="BB153" t="e">
            <v>#REF!</v>
          </cell>
          <cell r="BD153" t="e">
            <v>#REF!</v>
          </cell>
          <cell r="BF153" t="e">
            <v>#REF!</v>
          </cell>
        </row>
        <row r="154">
          <cell r="AZ154" t="str">
            <v>Diluted EPS (GAAP)</v>
          </cell>
          <cell r="BA154">
            <v>0.74577264527285414</v>
          </cell>
          <cell r="BB154" t="e">
            <v>#REF!</v>
          </cell>
          <cell r="BC154">
            <v>2.0515423137227429</v>
          </cell>
          <cell r="BD154" t="e">
            <v>#REF!</v>
          </cell>
          <cell r="BE154">
            <v>2.5341041746470681</v>
          </cell>
          <cell r="BF154" t="e">
            <v>#REF!</v>
          </cell>
        </row>
        <row r="155">
          <cell r="BB155" t="e">
            <v>#REF!</v>
          </cell>
          <cell r="BD155" t="e">
            <v>#REF!</v>
          </cell>
          <cell r="BF155" t="e">
            <v>#REF!</v>
          </cell>
        </row>
        <row r="156">
          <cell r="AZ156" t="str">
            <v>Avg Basic Shares</v>
          </cell>
          <cell r="BA156">
            <v>395.79431447842239</v>
          </cell>
          <cell r="BB156" t="e">
            <v>#REF!</v>
          </cell>
          <cell r="BC156">
            <v>393.14866627768043</v>
          </cell>
          <cell r="BD156" t="e">
            <v>#REF!</v>
          </cell>
          <cell r="BE156">
            <v>393.57838490412138</v>
          </cell>
          <cell r="BF156" t="e">
            <v>#REF!</v>
          </cell>
        </row>
        <row r="157">
          <cell r="AZ157" t="str">
            <v>Avg Diluted Shares</v>
          </cell>
          <cell r="BA157">
            <v>397.63032574460556</v>
          </cell>
          <cell r="BB157" t="e">
            <v>#REF!</v>
          </cell>
          <cell r="BC157">
            <v>393.16315153560288</v>
          </cell>
          <cell r="BD157" t="e">
            <v>#REF!</v>
          </cell>
          <cell r="BE157">
            <v>393.58757713279363</v>
          </cell>
          <cell r="BF157" t="e">
            <v>#REF!</v>
          </cell>
        </row>
        <row r="158">
          <cell r="BB158" t="e">
            <v>#REF!</v>
          </cell>
          <cell r="BD158" t="e">
            <v>#REF!</v>
          </cell>
          <cell r="BF158" t="e">
            <v>#REF!</v>
          </cell>
        </row>
        <row r="159">
          <cell r="AZ159" t="str">
            <v>RFCF (Reported)</v>
          </cell>
          <cell r="BA159">
            <v>988.26969270210168</v>
          </cell>
          <cell r="BB159" t="e">
            <v>#REF!</v>
          </cell>
          <cell r="BC159">
            <v>1356.5941910480446</v>
          </cell>
          <cell r="BD159" t="e">
            <v>#REF!</v>
          </cell>
          <cell r="BE159">
            <v>1586.753135003738</v>
          </cell>
          <cell r="BF159" t="e">
            <v>#REF!</v>
          </cell>
        </row>
        <row r="160">
          <cell r="AZ160" t="str">
            <v>RFCF (Reported) per Share</v>
          </cell>
          <cell r="BA160">
            <v>2.4853981920304</v>
          </cell>
          <cell r="BB160" t="e">
            <v>#REF!</v>
          </cell>
          <cell r="BC160">
            <v>3.4504611781381507</v>
          </cell>
          <cell r="BD160" t="e">
            <v>#REF!</v>
          </cell>
          <cell r="BE160">
            <v>4.0315122407137833</v>
          </cell>
          <cell r="BF160" t="e">
            <v>#REF!</v>
          </cell>
        </row>
        <row r="161">
          <cell r="BB161" t="e">
            <v>#REF!</v>
          </cell>
          <cell r="BD161" t="e">
            <v>#REF!</v>
          </cell>
          <cell r="BF161" t="e">
            <v>#REF!</v>
          </cell>
        </row>
        <row r="162">
          <cell r="AZ162" t="str">
            <v>Capex Breakdown:</v>
          </cell>
          <cell r="BB162" t="e">
            <v>#REF!</v>
          </cell>
          <cell r="BD162" t="e">
            <v>#REF!</v>
          </cell>
          <cell r="BF162" t="e">
            <v>#REF!</v>
          </cell>
        </row>
        <row r="163">
          <cell r="AZ163" t="str">
            <v xml:space="preserve">  Rev Enhancing on Existing Sites</v>
          </cell>
          <cell r="BB163" t="e">
            <v>#REF!</v>
          </cell>
          <cell r="BD163" t="e">
            <v>#REF!</v>
          </cell>
          <cell r="BF163" t="e">
            <v>#REF!</v>
          </cell>
        </row>
        <row r="164">
          <cell r="AZ164" t="str">
            <v xml:space="preserve">  Land Purchases</v>
          </cell>
          <cell r="BB164" t="e">
            <v>#REF!</v>
          </cell>
          <cell r="BD164" t="e">
            <v>#REF!</v>
          </cell>
          <cell r="BF164" t="e">
            <v>#REF!</v>
          </cell>
        </row>
        <row r="165">
          <cell r="AZ165" t="str">
            <v xml:space="preserve">  New Site Construction and Acq.</v>
          </cell>
          <cell r="BB165" t="e">
            <v>#REF!</v>
          </cell>
          <cell r="BD165" t="e">
            <v>#REF!</v>
          </cell>
          <cell r="BF165" t="e">
            <v>#REF!</v>
          </cell>
        </row>
        <row r="166">
          <cell r="AZ166" t="str">
            <v xml:space="preserve">  Sustaining Capex</v>
          </cell>
          <cell r="BA166" t="e">
            <v>#REF!</v>
          </cell>
          <cell r="BB166" t="e">
            <v>#REF!</v>
          </cell>
          <cell r="BC166" t="e">
            <v>#REF!</v>
          </cell>
          <cell r="BD166" t="e">
            <v>#REF!</v>
          </cell>
          <cell r="BE166" t="e">
            <v>#REF!</v>
          </cell>
          <cell r="BF166" t="e">
            <v>#REF!</v>
          </cell>
        </row>
        <row r="167">
          <cell r="AZ167" t="str">
            <v>TOTAL CAPEX</v>
          </cell>
          <cell r="BA167">
            <v>819.029</v>
          </cell>
          <cell r="BB167" t="e">
            <v>#REF!</v>
          </cell>
          <cell r="BC167">
            <v>398</v>
          </cell>
          <cell r="BD167" t="e">
            <v>#REF!</v>
          </cell>
          <cell r="BE167">
            <v>400</v>
          </cell>
          <cell r="BF167" t="e">
            <v>#REF!</v>
          </cell>
        </row>
      </sheetData>
      <sheetData sheetId="10" refreshError="1"/>
      <sheetData sheetId="11" refreshError="1">
        <row r="19">
          <cell r="N19" t="str">
            <v>AMERICAN TOWER:</v>
          </cell>
        </row>
        <row r="36">
          <cell r="N36" t="str">
            <v>CROWN CASTLE:</v>
          </cell>
        </row>
        <row r="55">
          <cell r="B55" t="str">
            <v>1Q07</v>
          </cell>
          <cell r="C55" t="str">
            <v>2Q07</v>
          </cell>
          <cell r="D55" t="str">
            <v>3Q07</v>
          </cell>
          <cell r="E55" t="str">
            <v>4Q07</v>
          </cell>
          <cell r="F55" t="str">
            <v>1Q08</v>
          </cell>
          <cell r="G55" t="str">
            <v>2Q08</v>
          </cell>
          <cell r="H55" t="str">
            <v>3Q08</v>
          </cell>
          <cell r="I55" t="str">
            <v>4Q08</v>
          </cell>
          <cell r="J55" t="str">
            <v>1Q09</v>
          </cell>
          <cell r="K55" t="str">
            <v>2Q09</v>
          </cell>
          <cell r="L55" t="str">
            <v>3Q09</v>
          </cell>
          <cell r="M55" t="str">
            <v>4Q09</v>
          </cell>
          <cell r="N55" t="str">
            <v>1Q10</v>
          </cell>
          <cell r="O55" t="str">
            <v>2Q10</v>
          </cell>
          <cell r="P55" t="str">
            <v>3Q10</v>
          </cell>
          <cell r="Q55" t="str">
            <v>4Q10</v>
          </cell>
          <cell r="R55" t="str">
            <v>1Q11</v>
          </cell>
          <cell r="S55" t="str">
            <v>2Q11</v>
          </cell>
          <cell r="T55" t="str">
            <v>3Q11</v>
          </cell>
          <cell r="U55" t="str">
            <v>4Q11E</v>
          </cell>
        </row>
        <row r="56">
          <cell r="A56" t="str">
            <v>Rental &amp; Management Gross</v>
          </cell>
          <cell r="B56">
            <v>0.75793647353256532</v>
          </cell>
          <cell r="C56">
            <v>0.7550851685553418</v>
          </cell>
          <cell r="D56">
            <v>0.76594920013496059</v>
          </cell>
          <cell r="E56">
            <v>0.7575401837278839</v>
          </cell>
          <cell r="F56">
            <v>0.76755360537778461</v>
          </cell>
          <cell r="G56">
            <v>0.76075536695087465</v>
          </cell>
          <cell r="H56">
            <v>0.76243166766397219</v>
          </cell>
          <cell r="I56">
            <v>0.77062638056569288</v>
          </cell>
          <cell r="J56">
            <v>0.77246954769198906</v>
          </cell>
          <cell r="K56">
            <v>0.77300608972073837</v>
          </cell>
          <cell r="L56">
            <v>0.76510539457638926</v>
          </cell>
          <cell r="M56">
            <v>0.76920337226589341</v>
          </cell>
          <cell r="N56">
            <v>0.77372706830277282</v>
          </cell>
          <cell r="O56">
            <v>0.76828608419627531</v>
          </cell>
          <cell r="P56">
            <v>0.76913735117171955</v>
          </cell>
          <cell r="Q56">
            <v>0.7649579582771564</v>
          </cell>
          <cell r="R56">
            <v>0.76610659373828094</v>
          </cell>
          <cell r="S56">
            <v>0.75279143736543797</v>
          </cell>
          <cell r="T56">
            <v>0.73932512263991357</v>
          </cell>
          <cell r="U56">
            <v>0.74</v>
          </cell>
        </row>
        <row r="57">
          <cell r="A57" t="str">
            <v>EBITDA Margin</v>
          </cell>
          <cell r="B57">
            <v>0.67043242905859712</v>
          </cell>
          <cell r="C57">
            <v>0.67363980548123303</v>
          </cell>
          <cell r="D57">
            <v>0.67638233333786746</v>
          </cell>
          <cell r="E57">
            <v>0.66781535629654698</v>
          </cell>
          <cell r="F57">
            <v>0.68689950390387888</v>
          </cell>
          <cell r="G57">
            <v>0.69146974561118346</v>
          </cell>
          <cell r="H57">
            <v>0.6781057888718397</v>
          </cell>
          <cell r="I57">
            <v>0.6858132267513054</v>
          </cell>
          <cell r="J57">
            <v>0.68802088685958152</v>
          </cell>
          <cell r="K57">
            <v>0.67872816859490082</v>
          </cell>
          <cell r="L57">
            <v>0.6849303655667015</v>
          </cell>
          <cell r="M57">
            <v>0.68803253767526174</v>
          </cell>
          <cell r="N57">
            <v>0.68547247785156928</v>
          </cell>
          <cell r="O57">
            <v>0.68300431760001867</v>
          </cell>
          <cell r="P57">
            <v>0.68181765051955689</v>
          </cell>
          <cell r="Q57">
            <v>0.66701421731715238</v>
          </cell>
          <cell r="R57">
            <v>0.67015345791236824</v>
          </cell>
          <cell r="S57">
            <v>0.65152578130886496</v>
          </cell>
          <cell r="T57">
            <v>0.63272065646895714</v>
          </cell>
          <cell r="U57">
            <v>0.64263505237613994</v>
          </cell>
        </row>
        <row r="58">
          <cell r="A58" t="str">
            <v>Share Repurchase</v>
          </cell>
          <cell r="B58">
            <v>496.2</v>
          </cell>
          <cell r="C58">
            <v>414.2</v>
          </cell>
          <cell r="D58">
            <v>289.59999999999997</v>
          </cell>
          <cell r="E58">
            <v>400.00000000000006</v>
          </cell>
          <cell r="F58">
            <v>170.6</v>
          </cell>
          <cell r="G58">
            <v>115.29999999999998</v>
          </cell>
          <cell r="H58">
            <v>331.8</v>
          </cell>
          <cell r="I58">
            <v>79.400000000000034</v>
          </cell>
          <cell r="J58">
            <v>1.8</v>
          </cell>
          <cell r="K58">
            <v>67.8</v>
          </cell>
          <cell r="L58">
            <v>117.6</v>
          </cell>
          <cell r="M58">
            <v>27.6</v>
          </cell>
          <cell r="N58">
            <v>51.5</v>
          </cell>
          <cell r="O58">
            <v>144.80000000000001</v>
          </cell>
          <cell r="P58">
            <v>149.80000000000001</v>
          </cell>
          <cell r="Q58">
            <v>74.599999999999994</v>
          </cell>
          <cell r="R58">
            <v>122.69692019999999</v>
          </cell>
          <cell r="S58">
            <v>102</v>
          </cell>
          <cell r="T58">
            <v>168.4</v>
          </cell>
          <cell r="U58">
            <v>57.253008904761913</v>
          </cell>
        </row>
        <row r="59">
          <cell r="A59" t="str">
            <v>Average Diluted Shares</v>
          </cell>
          <cell r="B59">
            <v>439.55700000000002</v>
          </cell>
          <cell r="C59">
            <v>429.846</v>
          </cell>
          <cell r="D59">
            <v>418.012</v>
          </cell>
          <cell r="E59">
            <v>416.9</v>
          </cell>
          <cell r="F59">
            <v>421.62200000000001</v>
          </cell>
          <cell r="G59">
            <v>421.61700000000002</v>
          </cell>
          <cell r="H59">
            <v>416.541</v>
          </cell>
          <cell r="I59">
            <v>408.94200000000001</v>
          </cell>
          <cell r="J59">
            <v>408.25</v>
          </cell>
          <cell r="K59">
            <v>408.83199999999999</v>
          </cell>
          <cell r="L59">
            <v>405.72800000000001</v>
          </cell>
          <cell r="M59">
            <v>405.71600000000001</v>
          </cell>
          <cell r="N59">
            <v>406.08</v>
          </cell>
          <cell r="O59">
            <v>405.024</v>
          </cell>
          <cell r="P59">
            <v>403.45499999999998</v>
          </cell>
          <cell r="Q59">
            <v>403.03199999999998</v>
          </cell>
          <cell r="R59">
            <v>401.899</v>
          </cell>
          <cell r="S59">
            <v>400.25</v>
          </cell>
          <cell r="T59">
            <v>395.18299999999999</v>
          </cell>
          <cell r="U59">
            <v>393.18930297842235</v>
          </cell>
        </row>
        <row r="60">
          <cell r="A60" t="str">
            <v>Y/Y Growth of Share Count</v>
          </cell>
          <cell r="F60">
            <v>-4.0802444279126493E-2</v>
          </cell>
          <cell r="G60">
            <v>-1.9144065549057121E-2</v>
          </cell>
          <cell r="H60">
            <v>-3.5190377309742837E-3</v>
          </cell>
          <cell r="I60">
            <v>-1.9088510434156825E-2</v>
          </cell>
          <cell r="J60">
            <v>-3.1715612562911888E-2</v>
          </cell>
          <cell r="K60">
            <v>-3.0323729830628365E-2</v>
          </cell>
          <cell r="L60">
            <v>-2.5959029243219689E-2</v>
          </cell>
          <cell r="M60">
            <v>-7.8886492461033297E-3</v>
          </cell>
          <cell r="N60">
            <v>-5.3153704837722859E-3</v>
          </cell>
          <cell r="O60">
            <v>-9.3143393863494017E-3</v>
          </cell>
          <cell r="P60">
            <v>-5.6022754160423016E-3</v>
          </cell>
          <cell r="Q60">
            <v>-6.615465005077481E-3</v>
          </cell>
          <cell r="R60">
            <v>-1.0296000788022064E-2</v>
          </cell>
          <cell r="S60">
            <v>-1.1786955834716006E-2</v>
          </cell>
          <cell r="T60">
            <v>-2.0502906148145428E-2</v>
          </cell>
          <cell r="U60">
            <v>-2.4421626624133164E-2</v>
          </cell>
        </row>
        <row r="84">
          <cell r="A84" t="str">
            <v>CAPITAL ALLOCATION</v>
          </cell>
          <cell r="B84" t="str">
            <v>2010A</v>
          </cell>
          <cell r="C84" t="str">
            <v>2011E</v>
          </cell>
        </row>
        <row r="85">
          <cell r="A85" t="str">
            <v>NON-DISCRETIONARY CAPEX</v>
          </cell>
          <cell r="B85">
            <v>43.008300000000006</v>
          </cell>
          <cell r="C85">
            <v>77.617999999999995</v>
          </cell>
        </row>
        <row r="86">
          <cell r="A86" t="str">
            <v>LAND PURCHASE</v>
          </cell>
          <cell r="B86">
            <v>83.461999999999989</v>
          </cell>
          <cell r="C86">
            <v>414.25</v>
          </cell>
        </row>
        <row r="87">
          <cell r="A87" t="str">
            <v>NEW BUILD</v>
          </cell>
          <cell r="B87">
            <v>194.40300000000002</v>
          </cell>
          <cell r="C87">
            <v>271.88</v>
          </cell>
        </row>
        <row r="88">
          <cell r="A88" t="str">
            <v>REDEVELOPMENT</v>
          </cell>
          <cell r="B88">
            <v>25.785</v>
          </cell>
          <cell r="C88">
            <v>55.280999999999999</v>
          </cell>
        </row>
        <row r="89">
          <cell r="A89" t="str">
            <v>ACQUISITIONS</v>
          </cell>
          <cell r="B89">
            <v>899.60599999999999</v>
          </cell>
          <cell r="C89">
            <v>1897.8046528140776</v>
          </cell>
        </row>
        <row r="90">
          <cell r="A90" t="str">
            <v>BUYBACKS</v>
          </cell>
          <cell r="B90">
            <v>420.70000000000005</v>
          </cell>
          <cell r="C90">
            <v>450.34992910476194</v>
          </cell>
        </row>
        <row r="91">
          <cell r="B91">
            <v>1666.9643000000001</v>
          </cell>
          <cell r="C91">
            <v>3167.1835819188395</v>
          </cell>
        </row>
        <row r="124">
          <cell r="I124" t="str">
            <v>2010-2013</v>
          </cell>
        </row>
        <row r="125">
          <cell r="B125" t="str">
            <v>2009A</v>
          </cell>
          <cell r="C125" t="str">
            <v>2010A</v>
          </cell>
          <cell r="D125" t="str">
            <v>2011A</v>
          </cell>
          <cell r="E125" t="str">
            <v>2012E</v>
          </cell>
          <cell r="F125" t="str">
            <v>2013E</v>
          </cell>
          <cell r="G125" t="str">
            <v>2014E</v>
          </cell>
          <cell r="H125" t="str">
            <v>2015E</v>
          </cell>
          <cell r="I125" t="str">
            <v>CAGR</v>
          </cell>
        </row>
        <row r="126">
          <cell r="A126" t="str">
            <v>Rental &amp; Management Revenues</v>
          </cell>
          <cell r="B126">
            <v>1668.42</v>
          </cell>
          <cell r="C126">
            <v>1936.373</v>
          </cell>
          <cell r="D126">
            <v>2381.7024906660486</v>
          </cell>
          <cell r="E126">
            <v>2846.8693051028599</v>
          </cell>
          <cell r="F126">
            <v>3160.4611101080582</v>
          </cell>
          <cell r="G126">
            <v>3319.9787698670475</v>
          </cell>
          <cell r="H126">
            <v>3456.7758156046893</v>
          </cell>
          <cell r="I126">
            <v>0.17739036476750236</v>
          </cell>
        </row>
        <row r="127">
          <cell r="A127" t="str">
            <v>EBITDA</v>
          </cell>
          <cell r="B127">
            <v>1180.9250000000002</v>
          </cell>
          <cell r="C127">
            <v>1347.748</v>
          </cell>
          <cell r="D127">
            <v>1584.1703752296016</v>
          </cell>
          <cell r="E127">
            <v>1899.6846804226077</v>
          </cell>
          <cell r="F127">
            <v>2122.0781174777685</v>
          </cell>
          <cell r="G127">
            <v>2244.7461118657193</v>
          </cell>
          <cell r="H127">
            <v>2336.1055787614168</v>
          </cell>
          <cell r="I127">
            <v>0.16336918728373018</v>
          </cell>
        </row>
        <row r="128">
          <cell r="A128" t="str">
            <v>RFCF Per Share</v>
          </cell>
          <cell r="B128">
            <v>2.0926874977740608</v>
          </cell>
          <cell r="C128">
            <v>2.5404807519329666</v>
          </cell>
          <cell r="D128">
            <v>2.8625676137015388</v>
          </cell>
          <cell r="E128">
            <v>3.8301305327482629</v>
          </cell>
          <cell r="F128">
            <v>4.4158536396521999</v>
          </cell>
          <cell r="G128">
            <v>4.6245069091409414</v>
          </cell>
          <cell r="H128">
            <v>4.8704383627698302</v>
          </cell>
          <cell r="I128">
            <v>0.20235557267214133</v>
          </cell>
        </row>
        <row r="152">
          <cell r="A152" t="str">
            <v>"Batting Order"</v>
          </cell>
          <cell r="B152" t="str">
            <v>2003A</v>
          </cell>
          <cell r="C152" t="str">
            <v>2004A</v>
          </cell>
          <cell r="D152" t="str">
            <v>2005A</v>
          </cell>
          <cell r="E152" t="str">
            <v>2006A</v>
          </cell>
          <cell r="F152" t="str">
            <v>2007A</v>
          </cell>
          <cell r="G152" t="str">
            <v>2008A</v>
          </cell>
          <cell r="H152" t="str">
            <v>2009A</v>
          </cell>
          <cell r="I152" t="str">
            <v>2010A</v>
          </cell>
          <cell r="J152" t="str">
            <v>2011E</v>
          </cell>
          <cell r="K152" t="str">
            <v>2012E</v>
          </cell>
          <cell r="L152" t="str">
            <v>2013E</v>
          </cell>
          <cell r="M152" t="str">
            <v>2014E</v>
          </cell>
          <cell r="N152" t="str">
            <v>2015E</v>
          </cell>
          <cell r="O152" t="str">
            <v>2016E</v>
          </cell>
          <cell r="P152" t="str">
            <v>2017E</v>
          </cell>
          <cell r="Q152" t="str">
            <v>2018E</v>
          </cell>
          <cell r="R152" t="str">
            <v>2019E</v>
          </cell>
          <cell r="S152" t="str">
            <v>2020E</v>
          </cell>
          <cell r="T152" t="str">
            <v>2021E</v>
          </cell>
        </row>
        <row r="153">
          <cell r="A153" t="str">
            <v>Dividend</v>
          </cell>
          <cell r="B153">
            <v>0</v>
          </cell>
          <cell r="C153">
            <v>0</v>
          </cell>
          <cell r="D153">
            <v>0</v>
          </cell>
          <cell r="E153">
            <v>0</v>
          </cell>
          <cell r="F153">
            <v>0</v>
          </cell>
          <cell r="G153">
            <v>0</v>
          </cell>
          <cell r="H153">
            <v>0</v>
          </cell>
          <cell r="I153">
            <v>0</v>
          </cell>
          <cell r="J153">
            <v>138</v>
          </cell>
          <cell r="K153">
            <v>331.60635125035571</v>
          </cell>
          <cell r="L153">
            <v>360.37993819432472</v>
          </cell>
          <cell r="M153">
            <v>622.54275831006134</v>
          </cell>
          <cell r="N153">
            <v>948.9657441966425</v>
          </cell>
          <cell r="O153">
            <v>1009.0067367531593</v>
          </cell>
          <cell r="P153">
            <v>1060.3821713741884</v>
          </cell>
          <cell r="Q153">
            <v>1102.8314148757806</v>
          </cell>
          <cell r="R153">
            <v>1136.326868176264</v>
          </cell>
          <cell r="S153">
            <v>1159.8095701358948</v>
          </cell>
          <cell r="T153">
            <v>1174.5018319776661</v>
          </cell>
        </row>
        <row r="154">
          <cell r="A154" t="str">
            <v>Discretionary Capex</v>
          </cell>
          <cell r="B154">
            <v>43.607999999999997</v>
          </cell>
          <cell r="C154">
            <v>30.080999999999996</v>
          </cell>
          <cell r="D154">
            <v>73.431999999999988</v>
          </cell>
          <cell r="E154">
            <v>88.501000000000005</v>
          </cell>
          <cell r="F154">
            <v>110.96700000000001</v>
          </cell>
          <cell r="G154">
            <v>205.36500000000001</v>
          </cell>
          <cell r="H154">
            <v>209.63199999999998</v>
          </cell>
          <cell r="I154">
            <v>303.64999999999998</v>
          </cell>
          <cell r="J154">
            <v>437.41100000000006</v>
          </cell>
          <cell r="K154">
            <v>344</v>
          </cell>
          <cell r="L154">
            <v>346</v>
          </cell>
          <cell r="M154">
            <v>327</v>
          </cell>
          <cell r="N154">
            <v>327</v>
          </cell>
          <cell r="O154">
            <v>327</v>
          </cell>
          <cell r="P154">
            <v>327</v>
          </cell>
          <cell r="Q154">
            <v>327</v>
          </cell>
          <cell r="R154">
            <v>327</v>
          </cell>
          <cell r="S154">
            <v>327</v>
          </cell>
          <cell r="T154">
            <v>327</v>
          </cell>
        </row>
        <row r="155">
          <cell r="A155" t="str">
            <v>M&amp;A</v>
          </cell>
          <cell r="B155">
            <v>95.076999999999998</v>
          </cell>
          <cell r="C155">
            <v>33.402999999999999</v>
          </cell>
          <cell r="D155">
            <v>14.748999999999999</v>
          </cell>
          <cell r="E155">
            <v>14.337</v>
          </cell>
          <cell r="F155">
            <v>43.962000000000003</v>
          </cell>
          <cell r="G155">
            <v>42.816999999999993</v>
          </cell>
          <cell r="H155">
            <v>295.60300000000001</v>
          </cell>
          <cell r="I155">
            <v>899.60599999999999</v>
          </cell>
          <cell r="J155">
            <v>2201.8046528140776</v>
          </cell>
          <cell r="K155">
            <v>430.46184825202045</v>
          </cell>
          <cell r="L155">
            <v>49.812667733433365</v>
          </cell>
          <cell r="M155">
            <v>41.2</v>
          </cell>
          <cell r="N155">
            <v>51.5</v>
          </cell>
          <cell r="O155">
            <v>45</v>
          </cell>
          <cell r="P155">
            <v>52.5</v>
          </cell>
          <cell r="Q155">
            <v>40</v>
          </cell>
          <cell r="R155">
            <v>44.999999999999993</v>
          </cell>
          <cell r="S155">
            <v>24.999999999999996</v>
          </cell>
          <cell r="T155">
            <v>27.499999999999996</v>
          </cell>
        </row>
        <row r="156">
          <cell r="A156" t="str">
            <v>Share repurchase</v>
          </cell>
          <cell r="B156">
            <v>0</v>
          </cell>
          <cell r="C156">
            <v>0</v>
          </cell>
          <cell r="D156">
            <v>76.599999999999994</v>
          </cell>
          <cell r="E156">
            <v>321.79999999999995</v>
          </cell>
          <cell r="F156">
            <v>1600</v>
          </cell>
          <cell r="G156">
            <v>697.10000000000014</v>
          </cell>
          <cell r="H156">
            <v>214.79999999999998</v>
          </cell>
          <cell r="I156">
            <v>420.70000000000005</v>
          </cell>
          <cell r="J156">
            <v>450.34992910476194</v>
          </cell>
          <cell r="K156">
            <v>61.677747725439616</v>
          </cell>
          <cell r="L156">
            <v>55.535078756751808</v>
          </cell>
          <cell r="M156">
            <v>59.13303988893329</v>
          </cell>
          <cell r="N156">
            <v>57.69167204164053</v>
          </cell>
          <cell r="O156">
            <v>55.136755136939307</v>
          </cell>
          <cell r="P156">
            <v>51.231234981406111</v>
          </cell>
          <cell r="Q156">
            <v>57.122827004267812</v>
          </cell>
          <cell r="R156">
            <v>63.69195210975861</v>
          </cell>
          <cell r="S156">
            <v>71.01652660238085</v>
          </cell>
          <cell r="T156">
            <v>79.183427161654649</v>
          </cell>
        </row>
        <row r="158">
          <cell r="A158" t="str">
            <v>TOTAL</v>
          </cell>
          <cell r="B158">
            <v>138.685</v>
          </cell>
          <cell r="C158">
            <v>63.483999999999995</v>
          </cell>
          <cell r="D158">
            <v>164.78099999999998</v>
          </cell>
          <cell r="E158">
            <v>424.63799999999998</v>
          </cell>
          <cell r="F158">
            <v>1754.9290000000001</v>
          </cell>
          <cell r="G158">
            <v>945.28200000000015</v>
          </cell>
          <cell r="H158">
            <v>720.03499999999997</v>
          </cell>
          <cell r="I158">
            <v>1623.9559999999999</v>
          </cell>
          <cell r="J158">
            <v>3227.5655819188396</v>
          </cell>
          <cell r="K158">
            <v>1167.7459472278156</v>
          </cell>
          <cell r="L158">
            <v>811.72768468450988</v>
          </cell>
          <cell r="M158">
            <v>1049.8757981989947</v>
          </cell>
          <cell r="N158">
            <v>1385.1574162382828</v>
          </cell>
          <cell r="O158">
            <v>1436.1434918900984</v>
          </cell>
          <cell r="P158">
            <v>1491.1134063555944</v>
          </cell>
          <cell r="Q158">
            <v>1526.9542418800484</v>
          </cell>
          <cell r="R158">
            <v>1572.0188202860227</v>
          </cell>
          <cell r="S158">
            <v>1582.8260967382757</v>
          </cell>
          <cell r="T158">
            <v>1608.1852591393208</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IS"/>
      <sheetName val="BS"/>
      <sheetName val="MW-Cache"/>
      <sheetName val="__FDSCACHE__"/>
      <sheetName val="Links"/>
      <sheetName val="CF"/>
      <sheetName val="Valuation"/>
      <sheetName val="2Q10"/>
      <sheetName val="Lease"/>
      <sheetName val="Exhibits"/>
      <sheetName val="mwareDates"/>
      <sheetName val="MWA RR"/>
      <sheetName val="mwareSettings"/>
      <sheetName val="NY UPLOAD shadow"/>
      <sheetName val="mStartup"/>
    </sheetNames>
    <sheetDataSet>
      <sheetData sheetId="0" refreshError="1">
        <row r="12">
          <cell r="BN12">
            <v>61.130700000000004</v>
          </cell>
        </row>
        <row r="13">
          <cell r="L13">
            <v>2032.7290000000003</v>
          </cell>
          <cell r="BN13">
            <v>597.37650134158287</v>
          </cell>
        </row>
        <row r="29">
          <cell r="BN29">
            <v>505.08681581810458</v>
          </cell>
        </row>
        <row r="49">
          <cell r="L49">
            <v>108.6</v>
          </cell>
          <cell r="BM49">
            <v>29.8</v>
          </cell>
        </row>
        <row r="58">
          <cell r="BN58">
            <v>1.1349855234782387</v>
          </cell>
        </row>
      </sheetData>
      <sheetData sheetId="1" refreshError="1">
        <row r="15">
          <cell r="BH15">
            <v>496.31399999999996</v>
          </cell>
          <cell r="BK15">
            <v>513.88300000000004</v>
          </cell>
        </row>
        <row r="189">
          <cell r="BB189">
            <v>1.3320000000000001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500"/>
    </sheetNames>
    <sheetDataSet>
      <sheetData sheetId="0" refreshError="1">
        <row r="1">
          <cell r="P1" t="str">
            <v>SmartCharts</v>
          </cell>
          <cell r="BC1" t="str">
            <v>.</v>
          </cell>
        </row>
        <row r="2">
          <cell r="BC2" t="str">
            <v>.</v>
          </cell>
        </row>
        <row r="3">
          <cell r="BC3" t="str">
            <v>.</v>
          </cell>
        </row>
        <row r="6">
          <cell r="P6" t="str">
            <v>MORE</v>
          </cell>
        </row>
        <row r="7">
          <cell r="I7" t="str">
            <v xml:space="preserve">Adjust spacing between legend entries using these buttons: </v>
          </cell>
        </row>
        <row r="8">
          <cell r="P8" t="str">
            <v>LESS</v>
          </cell>
          <cell r="AB8" t="str">
            <v>Funded Status (%)</v>
          </cell>
          <cell r="AD8">
            <v>0</v>
          </cell>
        </row>
        <row r="10">
          <cell r="C10" t="str">
            <v>Input your data here:</v>
          </cell>
          <cell r="BC10" t="str">
            <v>.</v>
          </cell>
        </row>
        <row r="11">
          <cell r="D11" t="str">
            <v>Funded Status (%)</v>
          </cell>
          <cell r="E11" t="str">
            <v>% of Market Cap</v>
          </cell>
          <cell r="BC11" t="str">
            <v>.</v>
          </cell>
        </row>
        <row r="12">
          <cell r="C12">
            <v>2005</v>
          </cell>
          <cell r="D12">
            <v>0.91</v>
          </cell>
          <cell r="E12">
            <v>0.45</v>
          </cell>
        </row>
        <row r="13">
          <cell r="C13">
            <v>2006</v>
          </cell>
          <cell r="D13">
            <v>0.98</v>
          </cell>
          <cell r="E13">
            <v>0.5</v>
          </cell>
        </row>
        <row r="14">
          <cell r="C14">
            <v>2007</v>
          </cell>
          <cell r="D14">
            <v>1.05</v>
          </cell>
          <cell r="E14">
            <v>0.35</v>
          </cell>
          <cell r="BC14" t="str">
            <v>.</v>
          </cell>
        </row>
        <row r="15">
          <cell r="C15">
            <v>2008</v>
          </cell>
          <cell r="D15">
            <v>0.77</v>
          </cell>
          <cell r="E15">
            <v>0.6</v>
          </cell>
          <cell r="BC15" t="str">
            <v>.</v>
          </cell>
        </row>
        <row r="16">
          <cell r="C16">
            <v>2009</v>
          </cell>
          <cell r="D16">
            <v>0.82</v>
          </cell>
          <cell r="E16">
            <v>0.56000000000000005</v>
          </cell>
          <cell r="BC16" t="str">
            <v>.</v>
          </cell>
        </row>
        <row r="17">
          <cell r="C17">
            <v>2010</v>
          </cell>
          <cell r="D17">
            <v>0.84</v>
          </cell>
          <cell r="E17">
            <v>0.52</v>
          </cell>
          <cell r="BC17" t="str">
            <v>.</v>
          </cell>
        </row>
        <row r="18">
          <cell r="C18">
            <v>2011</v>
          </cell>
          <cell r="D18">
            <v>0.78</v>
          </cell>
          <cell r="E18">
            <v>0.6</v>
          </cell>
          <cell r="BC18" t="str">
            <v>.</v>
          </cell>
        </row>
        <row r="19">
          <cell r="BC19" t="str">
            <v>.</v>
          </cell>
        </row>
        <row r="20">
          <cell r="BC20" t="str">
            <v>.</v>
          </cell>
        </row>
        <row r="21">
          <cell r="BC21" t="str">
            <v>.</v>
          </cell>
        </row>
        <row r="22">
          <cell r="BC22" t="str">
            <v>.</v>
          </cell>
        </row>
        <row r="23">
          <cell r="BC23" t="str">
            <v>.</v>
          </cell>
        </row>
        <row r="24">
          <cell r="BC24" t="str">
            <v>.</v>
          </cell>
        </row>
        <row r="25">
          <cell r="BC25" t="str">
            <v>.</v>
          </cell>
        </row>
        <row r="26">
          <cell r="BC26" t="str">
            <v>.</v>
          </cell>
        </row>
        <row r="27">
          <cell r="BC27" t="str">
            <v>.</v>
          </cell>
        </row>
        <row r="28">
          <cell r="BC28" t="str">
            <v>.</v>
          </cell>
        </row>
        <row r="29">
          <cell r="BC29" t="str">
            <v>.</v>
          </cell>
        </row>
        <row r="30">
          <cell r="BC30" t="str">
            <v>.</v>
          </cell>
        </row>
        <row r="31">
          <cell r="BC31" t="str">
            <v>.</v>
          </cell>
        </row>
        <row r="32">
          <cell r="BC32" t="str">
            <v>.</v>
          </cell>
        </row>
        <row r="33">
          <cell r="BC33" t="str">
            <v>.</v>
          </cell>
        </row>
        <row r="34">
          <cell r="BC34" t="str">
            <v>.</v>
          </cell>
        </row>
        <row r="35">
          <cell r="BC35" t="str">
            <v>.</v>
          </cell>
        </row>
        <row r="36">
          <cell r="BC36" t="str">
            <v>.</v>
          </cell>
        </row>
        <row r="37">
          <cell r="BC37" t="str">
            <v>.</v>
          </cell>
        </row>
        <row r="38">
          <cell r="BC38" t="str">
            <v>.</v>
          </cell>
        </row>
        <row r="39">
          <cell r="BC39" t="str">
            <v>.</v>
          </cell>
        </row>
        <row r="40">
          <cell r="BC40" t="str">
            <v>.</v>
          </cell>
        </row>
        <row r="41">
          <cell r="BC41" t="str">
            <v>.</v>
          </cell>
        </row>
        <row r="42">
          <cell r="G42" t="str">
            <v>Do not change the width of the exhibit or font sizes (they are optimized for export to Word).</v>
          </cell>
          <cell r="BC42" t="str">
            <v>.</v>
          </cell>
        </row>
        <row r="43">
          <cell r="BC43" t="str">
            <v>.</v>
          </cell>
        </row>
        <row r="44">
          <cell r="G44" t="str">
            <v>Do not delete any rows or columns (some gray cells are used for calculations).</v>
          </cell>
          <cell r="BC44" t="str">
            <v>.</v>
          </cell>
        </row>
        <row r="45">
          <cell r="BC45" t="str">
            <v>.</v>
          </cell>
        </row>
        <row r="46">
          <cell r="BC46" t="str">
            <v>.</v>
          </cell>
        </row>
        <row r="47">
          <cell r="BC47" t="str">
            <v>.</v>
          </cell>
        </row>
        <row r="48">
          <cell r="BC48" t="str">
            <v>.</v>
          </cell>
        </row>
        <row r="49">
          <cell r="BC49" t="str">
            <v>.</v>
          </cell>
        </row>
        <row r="50">
          <cell r="BC50" t="str">
            <v>.</v>
          </cell>
        </row>
        <row r="51">
          <cell r="BC51" t="str">
            <v>.</v>
          </cell>
        </row>
        <row r="52">
          <cell r="BC52" t="str">
            <v>.</v>
          </cell>
        </row>
        <row r="53">
          <cell r="BC53" t="str">
            <v>.</v>
          </cell>
        </row>
        <row r="54">
          <cell r="BC54" t="str">
            <v>.</v>
          </cell>
        </row>
        <row r="55">
          <cell r="BC55" t="str">
            <v>.</v>
          </cell>
        </row>
        <row r="56">
          <cell r="BC56" t="str">
            <v>.</v>
          </cell>
        </row>
        <row r="57">
          <cell r="BC57" t="str">
            <v>.</v>
          </cell>
        </row>
        <row r="58">
          <cell r="BC58" t="str">
            <v>.</v>
          </cell>
        </row>
        <row r="59">
          <cell r="BC59" t="str">
            <v>.</v>
          </cell>
        </row>
        <row r="60">
          <cell r="BC60" t="str">
            <v>.</v>
          </cell>
        </row>
        <row r="61">
          <cell r="BC61" t="str">
            <v>.</v>
          </cell>
        </row>
        <row r="62">
          <cell r="BC62" t="str">
            <v>.</v>
          </cell>
        </row>
        <row r="63">
          <cell r="BC63" t="str">
            <v>.</v>
          </cell>
        </row>
        <row r="64">
          <cell r="BC64" t="str">
            <v>.</v>
          </cell>
        </row>
        <row r="65">
          <cell r="BC65" t="str">
            <v>.</v>
          </cell>
        </row>
        <row r="66">
          <cell r="BC66" t="str">
            <v>.</v>
          </cell>
        </row>
        <row r="67">
          <cell r="BC67" t="str">
            <v>.</v>
          </cell>
        </row>
        <row r="68">
          <cell r="BC68" t="str">
            <v>.</v>
          </cell>
        </row>
        <row r="69">
          <cell r="BC69" t="str">
            <v>.</v>
          </cell>
        </row>
        <row r="70">
          <cell r="BC70" t="str">
            <v>.</v>
          </cell>
        </row>
        <row r="71">
          <cell r="BC71" t="str">
            <v>.</v>
          </cell>
        </row>
        <row r="72">
          <cell r="BC72" t="str">
            <v>.</v>
          </cell>
        </row>
        <row r="73">
          <cell r="BC73" t="str">
            <v>.</v>
          </cell>
        </row>
        <row r="74">
          <cell r="BC74" t="str">
            <v>.</v>
          </cell>
        </row>
        <row r="75">
          <cell r="BC75" t="str">
            <v>.</v>
          </cell>
        </row>
        <row r="76">
          <cell r="BC76" t="str">
            <v>.</v>
          </cell>
        </row>
        <row r="77">
          <cell r="BC77" t="str">
            <v>.</v>
          </cell>
        </row>
        <row r="78">
          <cell r="BC78" t="str">
            <v>.</v>
          </cell>
        </row>
        <row r="79">
          <cell r="BC79" t="str">
            <v>.</v>
          </cell>
        </row>
        <row r="80">
          <cell r="BC80" t="str">
            <v>.</v>
          </cell>
        </row>
        <row r="81">
          <cell r="BC81" t="str">
            <v>.</v>
          </cell>
        </row>
        <row r="82">
          <cell r="BC82" t="str">
            <v>.</v>
          </cell>
        </row>
        <row r="83">
          <cell r="BC83" t="str">
            <v>.</v>
          </cell>
        </row>
        <row r="84">
          <cell r="BC84" t="str">
            <v>.</v>
          </cell>
        </row>
        <row r="85">
          <cell r="BC85" t="str">
            <v>.</v>
          </cell>
        </row>
        <row r="86">
          <cell r="BC86" t="str">
            <v>.</v>
          </cell>
        </row>
        <row r="87">
          <cell r="BC87" t="str">
            <v>.</v>
          </cell>
        </row>
        <row r="88">
          <cell r="BC88" t="str">
            <v>.</v>
          </cell>
        </row>
        <row r="89">
          <cell r="BC89" t="str">
            <v>.</v>
          </cell>
        </row>
        <row r="90">
          <cell r="BC90" t="str">
            <v>.</v>
          </cell>
        </row>
        <row r="91">
          <cell r="BC91" t="str">
            <v>.</v>
          </cell>
        </row>
        <row r="92">
          <cell r="BC92" t="str">
            <v>.</v>
          </cell>
        </row>
        <row r="93">
          <cell r="BC93" t="str">
            <v>.</v>
          </cell>
        </row>
        <row r="94">
          <cell r="BC94" t="str">
            <v>.</v>
          </cell>
        </row>
        <row r="95">
          <cell r="BC95" t="str">
            <v>.</v>
          </cell>
        </row>
        <row r="96">
          <cell r="BC96" t="str">
            <v>.</v>
          </cell>
        </row>
        <row r="97">
          <cell r="BC97" t="str">
            <v>.</v>
          </cell>
        </row>
        <row r="98">
          <cell r="BC98" t="str">
            <v>.</v>
          </cell>
        </row>
        <row r="99">
          <cell r="BC99" t="str">
            <v>.</v>
          </cell>
        </row>
        <row r="100">
          <cell r="BC100" t="str">
            <v>.</v>
          </cell>
        </row>
        <row r="101">
          <cell r="BC101" t="str">
            <v>.</v>
          </cell>
        </row>
        <row r="102">
          <cell r="BC102" t="str">
            <v>.</v>
          </cell>
        </row>
        <row r="103">
          <cell r="BC103" t="str">
            <v>.</v>
          </cell>
        </row>
        <row r="104">
          <cell r="BC104" t="str">
            <v>.</v>
          </cell>
        </row>
        <row r="105">
          <cell r="BC105" t="str">
            <v>.</v>
          </cell>
        </row>
        <row r="106">
          <cell r="BC106" t="str">
            <v>.</v>
          </cell>
        </row>
        <row r="107">
          <cell r="BC107" t="str">
            <v>.</v>
          </cell>
        </row>
        <row r="108">
          <cell r="BC108" t="str">
            <v>.</v>
          </cell>
        </row>
        <row r="109">
          <cell r="BC109" t="str">
            <v>.</v>
          </cell>
        </row>
        <row r="110">
          <cell r="BC110" t="str">
            <v>.</v>
          </cell>
        </row>
        <row r="111">
          <cell r="BC111" t="str">
            <v>.</v>
          </cell>
        </row>
        <row r="112">
          <cell r="BC112" t="str">
            <v>.</v>
          </cell>
        </row>
        <row r="113">
          <cell r="BC113" t="str">
            <v>.</v>
          </cell>
        </row>
        <row r="114">
          <cell r="BC114" t="str">
            <v>.</v>
          </cell>
        </row>
        <row r="115">
          <cell r="BC115" t="str">
            <v>.</v>
          </cell>
        </row>
        <row r="116">
          <cell r="BC116" t="str">
            <v>.</v>
          </cell>
        </row>
        <row r="117">
          <cell r="BC117" t="str">
            <v>.</v>
          </cell>
        </row>
        <row r="118">
          <cell r="BC118" t="str">
            <v>.</v>
          </cell>
        </row>
        <row r="119">
          <cell r="BC119" t="str">
            <v>.</v>
          </cell>
        </row>
        <row r="120">
          <cell r="BC120" t="str">
            <v>.</v>
          </cell>
        </row>
        <row r="121">
          <cell r="BC121" t="str">
            <v>.</v>
          </cell>
        </row>
        <row r="122">
          <cell r="BC122" t="str">
            <v>.</v>
          </cell>
        </row>
        <row r="123">
          <cell r="BC123" t="str">
            <v>.</v>
          </cell>
        </row>
        <row r="124">
          <cell r="BC124" t="str">
            <v>.</v>
          </cell>
        </row>
        <row r="125">
          <cell r="BC125" t="str">
            <v>.</v>
          </cell>
        </row>
        <row r="126">
          <cell r="BC126" t="str">
            <v>.</v>
          </cell>
        </row>
        <row r="127">
          <cell r="BC127" t="str">
            <v>.</v>
          </cell>
        </row>
        <row r="128">
          <cell r="BC128" t="str">
            <v>.</v>
          </cell>
        </row>
        <row r="129">
          <cell r="BC129" t="str">
            <v>.</v>
          </cell>
        </row>
        <row r="130">
          <cell r="BC130" t="str">
            <v>.</v>
          </cell>
        </row>
        <row r="131">
          <cell r="BC131" t="str">
            <v>.</v>
          </cell>
        </row>
        <row r="132">
          <cell r="BC132" t="str">
            <v>.</v>
          </cell>
        </row>
        <row r="133">
          <cell r="BC133" t="str">
            <v>.</v>
          </cell>
        </row>
        <row r="134">
          <cell r="BC134" t="str">
            <v>.</v>
          </cell>
        </row>
        <row r="135">
          <cell r="BC135" t="str">
            <v>.</v>
          </cell>
        </row>
        <row r="136">
          <cell r="BC136" t="str">
            <v>.</v>
          </cell>
        </row>
        <row r="137">
          <cell r="BC137" t="str">
            <v>.</v>
          </cell>
        </row>
        <row r="138">
          <cell r="BC138" t="str">
            <v>.</v>
          </cell>
        </row>
        <row r="139">
          <cell r="BC139" t="str">
            <v>.</v>
          </cell>
        </row>
        <row r="140">
          <cell r="BC140" t="str">
            <v>.</v>
          </cell>
        </row>
        <row r="141">
          <cell r="BC141" t="str">
            <v>.</v>
          </cell>
        </row>
        <row r="142">
          <cell r="BC142" t="str">
            <v>.</v>
          </cell>
        </row>
        <row r="143">
          <cell r="BC143" t="str">
            <v>.</v>
          </cell>
        </row>
        <row r="144">
          <cell r="BC144" t="str">
            <v>.</v>
          </cell>
        </row>
        <row r="145">
          <cell r="BC145" t="str">
            <v>.</v>
          </cell>
        </row>
        <row r="146">
          <cell r="BC146" t="str">
            <v>.</v>
          </cell>
        </row>
        <row r="147">
          <cell r="BC147" t="str">
            <v>.</v>
          </cell>
        </row>
        <row r="148">
          <cell r="BC148" t="str">
            <v>.</v>
          </cell>
        </row>
        <row r="149">
          <cell r="BC149" t="str">
            <v>.</v>
          </cell>
        </row>
        <row r="150">
          <cell r="BC150" t="str">
            <v>.</v>
          </cell>
        </row>
        <row r="151">
          <cell r="BC151" t="str">
            <v>.</v>
          </cell>
        </row>
        <row r="152">
          <cell r="BC152" t="str">
            <v>.</v>
          </cell>
        </row>
        <row r="153">
          <cell r="BC153" t="str">
            <v>.</v>
          </cell>
        </row>
        <row r="154">
          <cell r="BC154" t="str">
            <v>.</v>
          </cell>
        </row>
        <row r="155">
          <cell r="BC155" t="str">
            <v>.</v>
          </cell>
        </row>
        <row r="156">
          <cell r="BC156" t="str">
            <v>.</v>
          </cell>
        </row>
        <row r="157">
          <cell r="BC157" t="str">
            <v>.</v>
          </cell>
        </row>
        <row r="158">
          <cell r="BC158" t="str">
            <v>.</v>
          </cell>
        </row>
        <row r="159">
          <cell r="BC159" t="str">
            <v>.</v>
          </cell>
        </row>
        <row r="160">
          <cell r="BC160" t="str">
            <v>.</v>
          </cell>
        </row>
        <row r="161">
          <cell r="BC161" t="str">
            <v>.</v>
          </cell>
        </row>
        <row r="162">
          <cell r="BC162" t="str">
            <v>.</v>
          </cell>
        </row>
        <row r="163">
          <cell r="BC163" t="str">
            <v>.</v>
          </cell>
        </row>
        <row r="164">
          <cell r="BC164" t="str">
            <v>.</v>
          </cell>
        </row>
        <row r="165">
          <cell r="BC165" t="str">
            <v>.</v>
          </cell>
        </row>
        <row r="166">
          <cell r="BC166" t="str">
            <v>.</v>
          </cell>
        </row>
        <row r="167">
          <cell r="BC167" t="str">
            <v>.</v>
          </cell>
        </row>
        <row r="168">
          <cell r="BC168" t="str">
            <v>.</v>
          </cell>
        </row>
        <row r="169">
          <cell r="BC169" t="str">
            <v>.</v>
          </cell>
        </row>
        <row r="170">
          <cell r="BC170" t="str">
            <v>.</v>
          </cell>
        </row>
        <row r="171">
          <cell r="BC171" t="str">
            <v>.</v>
          </cell>
        </row>
        <row r="172">
          <cell r="BC172" t="str">
            <v>.</v>
          </cell>
        </row>
        <row r="173">
          <cell r="BC173" t="str">
            <v>.</v>
          </cell>
        </row>
        <row r="174">
          <cell r="BC174" t="str">
            <v>.</v>
          </cell>
        </row>
        <row r="175">
          <cell r="BC175" t="str">
            <v>.</v>
          </cell>
        </row>
        <row r="176">
          <cell r="BC176" t="str">
            <v>.</v>
          </cell>
        </row>
        <row r="177">
          <cell r="BC177" t="str">
            <v>.</v>
          </cell>
        </row>
        <row r="178">
          <cell r="BC178" t="str">
            <v>.</v>
          </cell>
        </row>
        <row r="179">
          <cell r="BC179" t="str">
            <v>.</v>
          </cell>
        </row>
        <row r="180">
          <cell r="BC180" t="str">
            <v>.</v>
          </cell>
        </row>
        <row r="181">
          <cell r="BC181" t="str">
            <v>.</v>
          </cell>
        </row>
        <row r="182">
          <cell r="BC182" t="str">
            <v>.</v>
          </cell>
        </row>
        <row r="183">
          <cell r="BC183" t="str">
            <v>.</v>
          </cell>
        </row>
        <row r="184">
          <cell r="BC184" t="str">
            <v>.</v>
          </cell>
        </row>
        <row r="185">
          <cell r="BC185" t="str">
            <v>.</v>
          </cell>
        </row>
        <row r="186">
          <cell r="BC186" t="str">
            <v>.</v>
          </cell>
        </row>
        <row r="187">
          <cell r="BC187" t="str">
            <v>.</v>
          </cell>
        </row>
        <row r="188">
          <cell r="BC188" t="str">
            <v>.</v>
          </cell>
        </row>
        <row r="189">
          <cell r="BC189" t="str">
            <v>.</v>
          </cell>
        </row>
        <row r="190">
          <cell r="BC190" t="str">
            <v>.</v>
          </cell>
        </row>
        <row r="191">
          <cell r="BC191" t="str">
            <v>.</v>
          </cell>
        </row>
        <row r="192">
          <cell r="BC192" t="str">
            <v>.</v>
          </cell>
        </row>
        <row r="193">
          <cell r="BC193" t="str">
            <v>.</v>
          </cell>
        </row>
        <row r="194">
          <cell r="BC194" t="str">
            <v>.</v>
          </cell>
        </row>
        <row r="195">
          <cell r="BC195" t="str">
            <v>.</v>
          </cell>
        </row>
        <row r="196">
          <cell r="BC196" t="str">
            <v>.</v>
          </cell>
        </row>
        <row r="197">
          <cell r="BC197" t="str">
            <v>.</v>
          </cell>
        </row>
        <row r="198">
          <cell r="BC198" t="str">
            <v>.</v>
          </cell>
        </row>
        <row r="199">
          <cell r="BC199" t="str">
            <v>.</v>
          </cell>
        </row>
        <row r="200">
          <cell r="BC200" t="str">
            <v>.</v>
          </cell>
        </row>
        <row r="201">
          <cell r="BC201" t="str">
            <v>.</v>
          </cell>
        </row>
        <row r="202">
          <cell r="BC202" t="str">
            <v>.</v>
          </cell>
        </row>
        <row r="203">
          <cell r="BC203" t="str">
            <v>.</v>
          </cell>
        </row>
        <row r="204">
          <cell r="BC204" t="str">
            <v>.</v>
          </cell>
        </row>
        <row r="205">
          <cell r="BC205" t="str">
            <v>.</v>
          </cell>
        </row>
        <row r="206">
          <cell r="BC206" t="str">
            <v>.</v>
          </cell>
        </row>
        <row r="207">
          <cell r="BC207" t="str">
            <v>.</v>
          </cell>
        </row>
        <row r="208">
          <cell r="BC208" t="str">
            <v>.</v>
          </cell>
        </row>
        <row r="209">
          <cell r="BC209" t="str">
            <v>.</v>
          </cell>
        </row>
        <row r="210">
          <cell r="BC210" t="str">
            <v>.</v>
          </cell>
        </row>
        <row r="211">
          <cell r="BC211" t="str">
            <v>.</v>
          </cell>
        </row>
        <row r="212">
          <cell r="BC212" t="str">
            <v>.</v>
          </cell>
        </row>
        <row r="213">
          <cell r="BC213" t="str">
            <v>.</v>
          </cell>
        </row>
        <row r="214">
          <cell r="BC214" t="str">
            <v>.</v>
          </cell>
        </row>
        <row r="215">
          <cell r="BC215" t="str">
            <v>.</v>
          </cell>
        </row>
        <row r="216">
          <cell r="BC216" t="str">
            <v>.</v>
          </cell>
        </row>
        <row r="217">
          <cell r="BC217" t="str">
            <v>.</v>
          </cell>
        </row>
        <row r="218">
          <cell r="BC218" t="str">
            <v>.</v>
          </cell>
        </row>
        <row r="219">
          <cell r="BC219" t="str">
            <v>.</v>
          </cell>
        </row>
        <row r="220">
          <cell r="BC220" t="str">
            <v>.</v>
          </cell>
        </row>
        <row r="221">
          <cell r="BC221" t="str">
            <v>.</v>
          </cell>
        </row>
        <row r="222">
          <cell r="BC222" t="str">
            <v>.</v>
          </cell>
        </row>
        <row r="223">
          <cell r="BC223" t="str">
            <v>.</v>
          </cell>
        </row>
        <row r="224">
          <cell r="BC224" t="str">
            <v>.</v>
          </cell>
        </row>
        <row r="225">
          <cell r="BC225" t="str">
            <v>.</v>
          </cell>
        </row>
        <row r="226">
          <cell r="BC226" t="str">
            <v>.</v>
          </cell>
        </row>
        <row r="227">
          <cell r="BC227" t="str">
            <v>.</v>
          </cell>
        </row>
        <row r="228">
          <cell r="BC228" t="str">
            <v>.</v>
          </cell>
        </row>
        <row r="229">
          <cell r="BC229" t="str">
            <v>.</v>
          </cell>
        </row>
        <row r="230">
          <cell r="BC230" t="str">
            <v>.</v>
          </cell>
        </row>
        <row r="231">
          <cell r="BC231" t="str">
            <v>.</v>
          </cell>
        </row>
        <row r="232">
          <cell r="BC232" t="str">
            <v>.</v>
          </cell>
        </row>
        <row r="233">
          <cell r="BC233" t="str">
            <v>.</v>
          </cell>
        </row>
        <row r="234">
          <cell r="BC234" t="str">
            <v>.</v>
          </cell>
        </row>
        <row r="235">
          <cell r="BC235" t="str">
            <v>.</v>
          </cell>
        </row>
        <row r="236">
          <cell r="BC236" t="str">
            <v>.</v>
          </cell>
        </row>
        <row r="237">
          <cell r="BC237" t="str">
            <v>.</v>
          </cell>
        </row>
        <row r="238">
          <cell r="BC238" t="str">
            <v>.</v>
          </cell>
        </row>
        <row r="239">
          <cell r="BC239" t="str">
            <v>.</v>
          </cell>
        </row>
        <row r="240">
          <cell r="BC240" t="str">
            <v>.</v>
          </cell>
        </row>
        <row r="241">
          <cell r="BC241" t="str">
            <v>.</v>
          </cell>
        </row>
        <row r="242">
          <cell r="BC242" t="str">
            <v>.</v>
          </cell>
        </row>
        <row r="243">
          <cell r="BC243" t="str">
            <v>.</v>
          </cell>
        </row>
        <row r="244">
          <cell r="BC244" t="str">
            <v>.</v>
          </cell>
        </row>
        <row r="245">
          <cell r="BC245" t="str">
            <v>.</v>
          </cell>
        </row>
        <row r="246">
          <cell r="BC246" t="str">
            <v>.</v>
          </cell>
        </row>
        <row r="247">
          <cell r="BC247" t="str">
            <v>.</v>
          </cell>
        </row>
        <row r="248">
          <cell r="BC248" t="str">
            <v>.</v>
          </cell>
        </row>
        <row r="249">
          <cell r="BC249" t="str">
            <v>.</v>
          </cell>
        </row>
        <row r="250">
          <cell r="BC250" t="str">
            <v>.</v>
          </cell>
        </row>
        <row r="251">
          <cell r="BC251" t="str">
            <v>.</v>
          </cell>
        </row>
        <row r="252">
          <cell r="BC252" t="str">
            <v>.</v>
          </cell>
        </row>
        <row r="253">
          <cell r="BC253" t="str">
            <v>.</v>
          </cell>
        </row>
        <row r="254">
          <cell r="BC254" t="str">
            <v>.</v>
          </cell>
        </row>
        <row r="255">
          <cell r="BC255" t="str">
            <v>.</v>
          </cell>
        </row>
        <row r="256">
          <cell r="BC256" t="str">
            <v>.</v>
          </cell>
        </row>
        <row r="257">
          <cell r="BC257" t="str">
            <v>.</v>
          </cell>
        </row>
        <row r="258">
          <cell r="BC258" t="str">
            <v>.</v>
          </cell>
        </row>
        <row r="259">
          <cell r="BC259" t="str">
            <v>.</v>
          </cell>
        </row>
        <row r="260">
          <cell r="BC260" t="str">
            <v>.</v>
          </cell>
        </row>
        <row r="261">
          <cell r="BC261" t="str">
            <v>.</v>
          </cell>
        </row>
        <row r="262">
          <cell r="BC262" t="str">
            <v>.</v>
          </cell>
        </row>
        <row r="263">
          <cell r="BC263" t="str">
            <v>.</v>
          </cell>
        </row>
        <row r="264">
          <cell r="BC264" t="str">
            <v>.</v>
          </cell>
        </row>
        <row r="265">
          <cell r="BC265" t="str">
            <v>.</v>
          </cell>
        </row>
        <row r="266">
          <cell r="BC266" t="str">
            <v>.</v>
          </cell>
        </row>
        <row r="267">
          <cell r="BC267" t="str">
            <v>.</v>
          </cell>
        </row>
        <row r="268">
          <cell r="BC268" t="str">
            <v>.</v>
          </cell>
        </row>
        <row r="269">
          <cell r="BC269" t="str">
            <v>.</v>
          </cell>
        </row>
        <row r="270">
          <cell r="BC270" t="str">
            <v>.</v>
          </cell>
        </row>
        <row r="271">
          <cell r="BC271" t="str">
            <v>.</v>
          </cell>
        </row>
        <row r="272">
          <cell r="BC272" t="str">
            <v>.</v>
          </cell>
        </row>
        <row r="273">
          <cell r="BC273" t="str">
            <v>.</v>
          </cell>
        </row>
        <row r="274">
          <cell r="BC274" t="str">
            <v>.</v>
          </cell>
        </row>
        <row r="275">
          <cell r="BC275" t="str">
            <v>.</v>
          </cell>
        </row>
        <row r="276">
          <cell r="BC276" t="str">
            <v>.</v>
          </cell>
        </row>
        <row r="277">
          <cell r="BC277" t="str">
            <v>.</v>
          </cell>
        </row>
        <row r="278">
          <cell r="BC278" t="str">
            <v>.</v>
          </cell>
        </row>
        <row r="279">
          <cell r="BC279" t="str">
            <v>.</v>
          </cell>
        </row>
        <row r="280">
          <cell r="BC280" t="str">
            <v>.</v>
          </cell>
        </row>
        <row r="281">
          <cell r="BC281" t="str">
            <v>.</v>
          </cell>
        </row>
        <row r="282">
          <cell r="BC282" t="str">
            <v>.</v>
          </cell>
        </row>
        <row r="283">
          <cell r="BC283" t="str">
            <v>.</v>
          </cell>
        </row>
        <row r="284">
          <cell r="BC284" t="str">
            <v>.</v>
          </cell>
        </row>
        <row r="285">
          <cell r="BC285" t="str">
            <v>.</v>
          </cell>
        </row>
        <row r="286">
          <cell r="BC286" t="str">
            <v>.</v>
          </cell>
        </row>
        <row r="287">
          <cell r="BC287" t="str">
            <v>.</v>
          </cell>
        </row>
        <row r="288">
          <cell r="BC288" t="str">
            <v>.</v>
          </cell>
        </row>
        <row r="289">
          <cell r="BC289" t="str">
            <v>.</v>
          </cell>
        </row>
        <row r="290">
          <cell r="BC290" t="str">
            <v>.</v>
          </cell>
        </row>
        <row r="291">
          <cell r="BC291" t="str">
            <v>.</v>
          </cell>
        </row>
        <row r="292">
          <cell r="BC292" t="str">
            <v>.</v>
          </cell>
        </row>
        <row r="293">
          <cell r="BC293" t="str">
            <v>.</v>
          </cell>
        </row>
        <row r="294">
          <cell r="BC294" t="str">
            <v>.</v>
          </cell>
        </row>
        <row r="295">
          <cell r="BC295" t="str">
            <v>.</v>
          </cell>
        </row>
        <row r="296">
          <cell r="BC296" t="str">
            <v>.</v>
          </cell>
        </row>
        <row r="297">
          <cell r="BC297" t="str">
            <v>.</v>
          </cell>
        </row>
        <row r="298">
          <cell r="BC298" t="str">
            <v>.</v>
          </cell>
        </row>
        <row r="299">
          <cell r="BC299" t="str">
            <v>.</v>
          </cell>
        </row>
        <row r="300">
          <cell r="BC300" t="str">
            <v>.</v>
          </cell>
        </row>
        <row r="301">
          <cell r="BC301" t="str">
            <v>.</v>
          </cell>
        </row>
        <row r="302">
          <cell r="BC302" t="str">
            <v>.</v>
          </cell>
        </row>
        <row r="303">
          <cell r="BC303" t="str">
            <v>.</v>
          </cell>
        </row>
        <row r="304">
          <cell r="BC304" t="str">
            <v>.</v>
          </cell>
        </row>
        <row r="305">
          <cell r="BC305" t="str">
            <v>.</v>
          </cell>
        </row>
        <row r="306">
          <cell r="BC306" t="str">
            <v>.</v>
          </cell>
        </row>
        <row r="307">
          <cell r="BC307" t="str">
            <v>.</v>
          </cell>
        </row>
        <row r="308">
          <cell r="BC308" t="str">
            <v>.</v>
          </cell>
        </row>
        <row r="309">
          <cell r="BC309" t="str">
            <v>.</v>
          </cell>
        </row>
        <row r="310">
          <cell r="BC310" t="str">
            <v>.</v>
          </cell>
        </row>
        <row r="311">
          <cell r="BC311" t="str">
            <v>.</v>
          </cell>
        </row>
        <row r="312">
          <cell r="BC312" t="str">
            <v>.</v>
          </cell>
        </row>
        <row r="313">
          <cell r="BC313" t="str">
            <v>.</v>
          </cell>
        </row>
        <row r="314">
          <cell r="BC314" t="str">
            <v>.</v>
          </cell>
        </row>
        <row r="315">
          <cell r="BC315" t="str">
            <v>.</v>
          </cell>
        </row>
        <row r="316">
          <cell r="BC316" t="str">
            <v>.</v>
          </cell>
        </row>
        <row r="317">
          <cell r="BC317" t="str">
            <v>.</v>
          </cell>
        </row>
        <row r="318">
          <cell r="BC318" t="str">
            <v>.</v>
          </cell>
        </row>
        <row r="319">
          <cell r="BC319" t="str">
            <v>.</v>
          </cell>
        </row>
        <row r="320">
          <cell r="BC320" t="str">
            <v>.</v>
          </cell>
        </row>
        <row r="321">
          <cell r="BC321" t="str">
            <v>.</v>
          </cell>
        </row>
        <row r="322">
          <cell r="BC322" t="str">
            <v>.</v>
          </cell>
        </row>
        <row r="323">
          <cell r="BC323" t="str">
            <v>.</v>
          </cell>
        </row>
        <row r="324">
          <cell r="BC324" t="str">
            <v>.</v>
          </cell>
        </row>
        <row r="325">
          <cell r="BC325" t="str">
            <v>.</v>
          </cell>
        </row>
        <row r="326">
          <cell r="BC326" t="str">
            <v>.</v>
          </cell>
        </row>
        <row r="327">
          <cell r="BC327" t="str">
            <v>.</v>
          </cell>
        </row>
        <row r="328">
          <cell r="BC328" t="str">
            <v>.</v>
          </cell>
        </row>
        <row r="329">
          <cell r="BC329" t="str">
            <v>.</v>
          </cell>
        </row>
        <row r="330">
          <cell r="BC330" t="str">
            <v>.</v>
          </cell>
        </row>
        <row r="331">
          <cell r="BC331" t="str">
            <v>.</v>
          </cell>
        </row>
        <row r="332">
          <cell r="BC332" t="str">
            <v>.</v>
          </cell>
        </row>
        <row r="333">
          <cell r="BC333" t="str">
            <v>.</v>
          </cell>
        </row>
        <row r="334">
          <cell r="BC334" t="str">
            <v>.</v>
          </cell>
        </row>
        <row r="335">
          <cell r="BC335" t="str">
            <v>.</v>
          </cell>
        </row>
        <row r="336">
          <cell r="BC336" t="str">
            <v>.</v>
          </cell>
        </row>
        <row r="337">
          <cell r="BC337" t="str">
            <v>.</v>
          </cell>
        </row>
        <row r="338">
          <cell r="BC338" t="str">
            <v>.</v>
          </cell>
        </row>
        <row r="339">
          <cell r="BC339" t="str">
            <v>.</v>
          </cell>
        </row>
        <row r="340">
          <cell r="BC340" t="str">
            <v>.</v>
          </cell>
        </row>
        <row r="341">
          <cell r="BC341" t="str">
            <v>.</v>
          </cell>
        </row>
        <row r="342">
          <cell r="BC342" t="str">
            <v>.</v>
          </cell>
        </row>
        <row r="343">
          <cell r="BC343" t="str">
            <v>.</v>
          </cell>
        </row>
        <row r="344">
          <cell r="BC344" t="str">
            <v>.</v>
          </cell>
        </row>
        <row r="345">
          <cell r="BC345" t="str">
            <v>.</v>
          </cell>
        </row>
        <row r="346">
          <cell r="BC346" t="str">
            <v>.</v>
          </cell>
        </row>
        <row r="347">
          <cell r="BC347" t="str">
            <v>.</v>
          </cell>
        </row>
        <row r="348">
          <cell r="BC348" t="str">
            <v>.</v>
          </cell>
        </row>
        <row r="349">
          <cell r="BC349" t="str">
            <v>.</v>
          </cell>
        </row>
        <row r="350">
          <cell r="BC350" t="str">
            <v>.</v>
          </cell>
        </row>
        <row r="351">
          <cell r="BC351" t="str">
            <v>.</v>
          </cell>
        </row>
        <row r="352">
          <cell r="BC352" t="str">
            <v>.</v>
          </cell>
        </row>
        <row r="353">
          <cell r="BC353" t="str">
            <v>.</v>
          </cell>
        </row>
        <row r="354">
          <cell r="BC354" t="str">
            <v>.</v>
          </cell>
        </row>
        <row r="355">
          <cell r="BC355" t="str">
            <v>.</v>
          </cell>
        </row>
        <row r="356">
          <cell r="BC356" t="str">
            <v>.</v>
          </cell>
        </row>
        <row r="357">
          <cell r="BC357" t="str">
            <v>.</v>
          </cell>
        </row>
        <row r="358">
          <cell r="BC358" t="str">
            <v>.</v>
          </cell>
        </row>
        <row r="359">
          <cell r="BC359" t="str">
            <v>.</v>
          </cell>
        </row>
        <row r="360">
          <cell r="BC360" t="str">
            <v>.</v>
          </cell>
        </row>
        <row r="361">
          <cell r="BC361" t="str">
            <v>.</v>
          </cell>
        </row>
        <row r="362">
          <cell r="BC362" t="str">
            <v>.</v>
          </cell>
        </row>
        <row r="363">
          <cell r="BC363" t="str">
            <v>.</v>
          </cell>
        </row>
        <row r="364">
          <cell r="BC364" t="str">
            <v>.</v>
          </cell>
        </row>
        <row r="365">
          <cell r="BC365" t="str">
            <v>.</v>
          </cell>
        </row>
        <row r="366">
          <cell r="BC366" t="str">
            <v>.</v>
          </cell>
        </row>
        <row r="367">
          <cell r="BC367" t="str">
            <v>.</v>
          </cell>
        </row>
        <row r="368">
          <cell r="BC368" t="str">
            <v>.</v>
          </cell>
        </row>
        <row r="369">
          <cell r="BC369" t="str">
            <v>.</v>
          </cell>
        </row>
        <row r="370">
          <cell r="BC370" t="str">
            <v>.</v>
          </cell>
        </row>
        <row r="371">
          <cell r="BC371" t="str">
            <v>.</v>
          </cell>
        </row>
        <row r="372">
          <cell r="BC372" t="str">
            <v>.</v>
          </cell>
        </row>
        <row r="373">
          <cell r="BC373" t="str">
            <v>.</v>
          </cell>
        </row>
        <row r="374">
          <cell r="BC374" t="str">
            <v>.</v>
          </cell>
        </row>
        <row r="375">
          <cell r="BC375" t="str">
            <v>.</v>
          </cell>
        </row>
        <row r="376">
          <cell r="BC376" t="str">
            <v>.</v>
          </cell>
        </row>
        <row r="377">
          <cell r="BC377" t="str">
            <v>.</v>
          </cell>
        </row>
        <row r="378">
          <cell r="BC378" t="str">
            <v>.</v>
          </cell>
        </row>
        <row r="379">
          <cell r="BC379" t="str">
            <v>.</v>
          </cell>
        </row>
        <row r="380">
          <cell r="BC380" t="str">
            <v>.</v>
          </cell>
        </row>
        <row r="381">
          <cell r="BC381" t="str">
            <v>.</v>
          </cell>
        </row>
        <row r="382">
          <cell r="BC382" t="str">
            <v>.</v>
          </cell>
        </row>
        <row r="383">
          <cell r="BC383" t="str">
            <v>.</v>
          </cell>
        </row>
        <row r="384">
          <cell r="BC384" t="str">
            <v>.</v>
          </cell>
        </row>
        <row r="385">
          <cell r="BC385" t="str">
            <v>.</v>
          </cell>
        </row>
        <row r="386">
          <cell r="BC386" t="str">
            <v>.</v>
          </cell>
        </row>
        <row r="387">
          <cell r="BC387" t="str">
            <v>.</v>
          </cell>
        </row>
        <row r="388">
          <cell r="BC388" t="str">
            <v>.</v>
          </cell>
        </row>
        <row r="389">
          <cell r="BC389" t="str">
            <v>.</v>
          </cell>
        </row>
        <row r="390">
          <cell r="BC390" t="str">
            <v>.</v>
          </cell>
        </row>
        <row r="391">
          <cell r="BC391" t="str">
            <v>.</v>
          </cell>
        </row>
        <row r="392">
          <cell r="BC392" t="str">
            <v>.</v>
          </cell>
        </row>
        <row r="393">
          <cell r="BC393" t="str">
            <v>.</v>
          </cell>
        </row>
        <row r="394">
          <cell r="BC394" t="str">
            <v>.</v>
          </cell>
        </row>
        <row r="395">
          <cell r="BC395" t="str">
            <v>.</v>
          </cell>
        </row>
        <row r="396">
          <cell r="BC396" t="str">
            <v>.</v>
          </cell>
        </row>
        <row r="397">
          <cell r="BC397" t="str">
            <v>.</v>
          </cell>
        </row>
        <row r="398">
          <cell r="BC398" t="str">
            <v>.</v>
          </cell>
        </row>
        <row r="399">
          <cell r="BC399" t="str">
            <v>.</v>
          </cell>
        </row>
        <row r="400">
          <cell r="BC400" t="str">
            <v>.</v>
          </cell>
        </row>
        <row r="401">
          <cell r="BC401" t="str">
            <v>.</v>
          </cell>
        </row>
        <row r="402">
          <cell r="BC402" t="str">
            <v>.</v>
          </cell>
        </row>
        <row r="403">
          <cell r="BC403" t="str">
            <v>.</v>
          </cell>
        </row>
        <row r="404">
          <cell r="BC404" t="str">
            <v>.</v>
          </cell>
        </row>
        <row r="405">
          <cell r="BC405" t="str">
            <v>.</v>
          </cell>
        </row>
        <row r="406">
          <cell r="BC406" t="str">
            <v>.</v>
          </cell>
        </row>
        <row r="407">
          <cell r="BC407" t="str">
            <v>.</v>
          </cell>
        </row>
        <row r="408">
          <cell r="BC408" t="str">
            <v>.</v>
          </cell>
        </row>
        <row r="409">
          <cell r="BC409" t="str">
            <v>.</v>
          </cell>
        </row>
        <row r="410">
          <cell r="BC410" t="str">
            <v>.</v>
          </cell>
        </row>
        <row r="411">
          <cell r="BC411" t="str">
            <v>.</v>
          </cell>
        </row>
        <row r="412">
          <cell r="BC412" t="str">
            <v>.</v>
          </cell>
        </row>
        <row r="413">
          <cell r="BC413" t="str">
            <v>.</v>
          </cell>
        </row>
        <row r="414">
          <cell r="BC414" t="str">
            <v>.</v>
          </cell>
        </row>
        <row r="415">
          <cell r="BC415" t="str">
            <v>.</v>
          </cell>
        </row>
        <row r="416">
          <cell r="BC416" t="str">
            <v>.</v>
          </cell>
        </row>
        <row r="417">
          <cell r="BC417" t="str">
            <v>.</v>
          </cell>
        </row>
        <row r="418">
          <cell r="BC418" t="str">
            <v>.</v>
          </cell>
        </row>
        <row r="419">
          <cell r="BC419" t="str">
            <v>.</v>
          </cell>
        </row>
        <row r="420">
          <cell r="BC420" t="str">
            <v>.</v>
          </cell>
        </row>
        <row r="421">
          <cell r="BC421" t="str">
            <v>.</v>
          </cell>
        </row>
        <row r="422">
          <cell r="BC422" t="str">
            <v>.</v>
          </cell>
        </row>
        <row r="423">
          <cell r="BC423" t="str">
            <v>.</v>
          </cell>
        </row>
        <row r="424">
          <cell r="BC424" t="str">
            <v>.</v>
          </cell>
        </row>
        <row r="425">
          <cell r="BC425" t="str">
            <v>.</v>
          </cell>
        </row>
        <row r="426">
          <cell r="BC426" t="str">
            <v>.</v>
          </cell>
        </row>
        <row r="427">
          <cell r="BC427" t="str">
            <v>.</v>
          </cell>
        </row>
        <row r="428">
          <cell r="BC428" t="str">
            <v>.</v>
          </cell>
        </row>
        <row r="429">
          <cell r="BC429" t="str">
            <v>.</v>
          </cell>
        </row>
        <row r="430">
          <cell r="BC430" t="str">
            <v>.</v>
          </cell>
        </row>
        <row r="431">
          <cell r="BC431" t="str">
            <v>.</v>
          </cell>
        </row>
        <row r="432">
          <cell r="BC432" t="str">
            <v>.</v>
          </cell>
        </row>
        <row r="433">
          <cell r="BC433" t="str">
            <v>.</v>
          </cell>
        </row>
        <row r="434">
          <cell r="BC434" t="str">
            <v>.</v>
          </cell>
        </row>
        <row r="435">
          <cell r="BC435" t="str">
            <v>.</v>
          </cell>
        </row>
        <row r="436">
          <cell r="BC436" t="str">
            <v>.</v>
          </cell>
        </row>
        <row r="437">
          <cell r="BC437" t="str">
            <v>.</v>
          </cell>
        </row>
        <row r="438">
          <cell r="BC438" t="str">
            <v>.</v>
          </cell>
        </row>
        <row r="439">
          <cell r="BC439" t="str">
            <v>.</v>
          </cell>
        </row>
        <row r="440">
          <cell r="BC440" t="str">
            <v>.</v>
          </cell>
        </row>
        <row r="441">
          <cell r="BC441" t="str">
            <v>.</v>
          </cell>
        </row>
        <row r="442">
          <cell r="BC442" t="str">
            <v>.</v>
          </cell>
        </row>
        <row r="443">
          <cell r="BC443" t="str">
            <v>.</v>
          </cell>
        </row>
        <row r="444">
          <cell r="BC444" t="str">
            <v>.</v>
          </cell>
        </row>
        <row r="445">
          <cell r="BC445" t="str">
            <v>.</v>
          </cell>
        </row>
        <row r="446">
          <cell r="BC446" t="str">
            <v>.</v>
          </cell>
        </row>
        <row r="447">
          <cell r="BC447" t="str">
            <v>.</v>
          </cell>
        </row>
        <row r="448">
          <cell r="BC448" t="str">
            <v>.</v>
          </cell>
        </row>
        <row r="449">
          <cell r="BC449" t="str">
            <v>.</v>
          </cell>
        </row>
        <row r="450">
          <cell r="BC450" t="str">
            <v>.</v>
          </cell>
        </row>
        <row r="451">
          <cell r="BC451" t="str">
            <v>.</v>
          </cell>
        </row>
        <row r="452">
          <cell r="BC452" t="str">
            <v>.</v>
          </cell>
        </row>
        <row r="453">
          <cell r="BC453" t="str">
            <v>.</v>
          </cell>
        </row>
        <row r="454">
          <cell r="BC454" t="str">
            <v>.</v>
          </cell>
        </row>
        <row r="455">
          <cell r="BC455" t="str">
            <v>.</v>
          </cell>
        </row>
        <row r="456">
          <cell r="BC456" t="str">
            <v>.</v>
          </cell>
        </row>
        <row r="457">
          <cell r="BC457" t="str">
            <v>.</v>
          </cell>
        </row>
        <row r="458">
          <cell r="BC458" t="str">
            <v>.</v>
          </cell>
        </row>
        <row r="459">
          <cell r="BC459" t="str">
            <v>.</v>
          </cell>
        </row>
        <row r="460">
          <cell r="BC460" t="str">
            <v>.</v>
          </cell>
        </row>
        <row r="461">
          <cell r="BC461" t="str">
            <v>.</v>
          </cell>
        </row>
        <row r="462">
          <cell r="BC462" t="str">
            <v>.</v>
          </cell>
        </row>
        <row r="463">
          <cell r="BC463" t="str">
            <v>.</v>
          </cell>
        </row>
        <row r="464">
          <cell r="BC464" t="str">
            <v>.</v>
          </cell>
        </row>
        <row r="465">
          <cell r="BC465" t="str">
            <v>.</v>
          </cell>
        </row>
        <row r="466">
          <cell r="BC466" t="str">
            <v>.</v>
          </cell>
        </row>
        <row r="467">
          <cell r="BC467" t="str">
            <v>.</v>
          </cell>
        </row>
        <row r="468">
          <cell r="BC468" t="str">
            <v>.</v>
          </cell>
        </row>
        <row r="469">
          <cell r="BC469" t="str">
            <v>.</v>
          </cell>
        </row>
        <row r="470">
          <cell r="BC470" t="str">
            <v>.</v>
          </cell>
        </row>
        <row r="471">
          <cell r="BC471" t="str">
            <v>.</v>
          </cell>
        </row>
        <row r="472">
          <cell r="BC472" t="str">
            <v>.</v>
          </cell>
        </row>
        <row r="473">
          <cell r="BC473" t="str">
            <v>.</v>
          </cell>
        </row>
        <row r="474">
          <cell r="BC474" t="str">
            <v>.</v>
          </cell>
        </row>
        <row r="475">
          <cell r="BC475" t="str">
            <v>.</v>
          </cell>
        </row>
        <row r="476">
          <cell r="BC476" t="str">
            <v>.</v>
          </cell>
        </row>
        <row r="477">
          <cell r="BC477" t="str">
            <v>.</v>
          </cell>
        </row>
        <row r="478">
          <cell r="BC478" t="str">
            <v>.</v>
          </cell>
        </row>
        <row r="479">
          <cell r="BC479" t="str">
            <v>.</v>
          </cell>
        </row>
        <row r="480">
          <cell r="BC480" t="str">
            <v>.</v>
          </cell>
        </row>
        <row r="481">
          <cell r="BC481" t="str">
            <v>.</v>
          </cell>
        </row>
        <row r="482">
          <cell r="BC482" t="str">
            <v>.</v>
          </cell>
        </row>
        <row r="483">
          <cell r="BC483" t="str">
            <v>.</v>
          </cell>
        </row>
        <row r="484">
          <cell r="BC484" t="str">
            <v>.</v>
          </cell>
        </row>
        <row r="485">
          <cell r="BC485" t="str">
            <v>.</v>
          </cell>
        </row>
        <row r="486">
          <cell r="BC486" t="str">
            <v>.</v>
          </cell>
        </row>
        <row r="487">
          <cell r="BC487" t="str">
            <v>.</v>
          </cell>
        </row>
        <row r="488">
          <cell r="BC488" t="str">
            <v>.</v>
          </cell>
        </row>
        <row r="489">
          <cell r="BC489" t="str">
            <v>.</v>
          </cell>
        </row>
        <row r="490">
          <cell r="BC490" t="str">
            <v>.</v>
          </cell>
        </row>
        <row r="491">
          <cell r="BC491" t="str">
            <v>.</v>
          </cell>
        </row>
        <row r="492">
          <cell r="BC492" t="str">
            <v>.</v>
          </cell>
        </row>
        <row r="493">
          <cell r="BC493" t="str">
            <v>.</v>
          </cell>
        </row>
        <row r="494">
          <cell r="BC494" t="str">
            <v>.</v>
          </cell>
        </row>
        <row r="495">
          <cell r="BC495" t="str">
            <v>.</v>
          </cell>
        </row>
        <row r="496">
          <cell r="BC496" t="str">
            <v>.</v>
          </cell>
        </row>
        <row r="497">
          <cell r="BC497" t="str">
            <v>.</v>
          </cell>
        </row>
        <row r="498">
          <cell r="BC498" t="str">
            <v>.</v>
          </cell>
        </row>
        <row r="499">
          <cell r="BC499" t="str">
            <v>.</v>
          </cell>
        </row>
        <row r="500">
          <cell r="BC500" t="str">
            <v>.</v>
          </cell>
        </row>
        <row r="501">
          <cell r="BC501" t="str">
            <v>.</v>
          </cell>
        </row>
        <row r="502">
          <cell r="BC502" t="str">
            <v>.</v>
          </cell>
        </row>
        <row r="503">
          <cell r="BC503" t="str">
            <v>.</v>
          </cell>
        </row>
        <row r="504">
          <cell r="BC504" t="str">
            <v>.</v>
          </cell>
        </row>
        <row r="505">
          <cell r="BC505" t="str">
            <v>.</v>
          </cell>
        </row>
        <row r="506">
          <cell r="BC506" t="str">
            <v>.</v>
          </cell>
        </row>
        <row r="507">
          <cell r="BC507" t="str">
            <v>.</v>
          </cell>
        </row>
        <row r="508">
          <cell r="BC508" t="str">
            <v>.</v>
          </cell>
        </row>
        <row r="509">
          <cell r="BC509" t="str">
            <v>.</v>
          </cell>
        </row>
        <row r="510">
          <cell r="BC510" t="str">
            <v>.</v>
          </cell>
        </row>
        <row r="511">
          <cell r="BC511" t="str">
            <v>.</v>
          </cell>
        </row>
        <row r="512">
          <cell r="BC512" t="str">
            <v>.</v>
          </cell>
        </row>
        <row r="513">
          <cell r="BC513" t="str">
            <v>.</v>
          </cell>
        </row>
        <row r="514">
          <cell r="BC514" t="str">
            <v>.</v>
          </cell>
        </row>
        <row r="515">
          <cell r="BC515" t="str">
            <v>.</v>
          </cell>
        </row>
        <row r="516">
          <cell r="BC516" t="str">
            <v>.</v>
          </cell>
        </row>
        <row r="517">
          <cell r="BC517" t="str">
            <v>.</v>
          </cell>
        </row>
        <row r="518">
          <cell r="BC518" t="str">
            <v>.</v>
          </cell>
        </row>
        <row r="519">
          <cell r="BC519" t="str">
            <v>.</v>
          </cell>
        </row>
        <row r="520">
          <cell r="BC520" t="str">
            <v>.</v>
          </cell>
        </row>
        <row r="521">
          <cell r="BC521" t="str">
            <v>.</v>
          </cell>
        </row>
        <row r="522">
          <cell r="BC522" t="str">
            <v>.</v>
          </cell>
        </row>
        <row r="523">
          <cell r="BC523" t="str">
            <v>.</v>
          </cell>
        </row>
        <row r="524">
          <cell r="BC524" t="str">
            <v>.</v>
          </cell>
        </row>
        <row r="525">
          <cell r="BC525" t="str">
            <v>.</v>
          </cell>
        </row>
        <row r="526">
          <cell r="BC526" t="str">
            <v>.</v>
          </cell>
        </row>
        <row r="527">
          <cell r="BC527" t="str">
            <v>.</v>
          </cell>
        </row>
        <row r="528">
          <cell r="BC528" t="str">
            <v>.</v>
          </cell>
        </row>
        <row r="529">
          <cell r="BC529" t="str">
            <v>.</v>
          </cell>
        </row>
        <row r="530">
          <cell r="BC530" t="str">
            <v>.</v>
          </cell>
        </row>
        <row r="531">
          <cell r="BC531" t="str">
            <v>.</v>
          </cell>
        </row>
        <row r="532">
          <cell r="BC532" t="str">
            <v>.</v>
          </cell>
        </row>
        <row r="533">
          <cell r="BC533" t="str">
            <v>.</v>
          </cell>
        </row>
        <row r="534">
          <cell r="BC534" t="str">
            <v>.</v>
          </cell>
        </row>
        <row r="535">
          <cell r="BC535" t="str">
            <v>.</v>
          </cell>
        </row>
        <row r="536">
          <cell r="BC536" t="str">
            <v>.</v>
          </cell>
        </row>
        <row r="537">
          <cell r="BC537" t="str">
            <v>.</v>
          </cell>
        </row>
        <row r="538">
          <cell r="BC538" t="str">
            <v>.</v>
          </cell>
        </row>
        <row r="539">
          <cell r="BC539" t="str">
            <v>.</v>
          </cell>
        </row>
        <row r="540">
          <cell r="BC540" t="str">
            <v>.</v>
          </cell>
        </row>
        <row r="541">
          <cell r="BC541" t="str">
            <v>.</v>
          </cell>
        </row>
        <row r="542">
          <cell r="BC542" t="str">
            <v>.</v>
          </cell>
        </row>
        <row r="543">
          <cell r="BC543" t="str">
            <v>.</v>
          </cell>
        </row>
        <row r="544">
          <cell r="BC544" t="str">
            <v>.</v>
          </cell>
        </row>
        <row r="545">
          <cell r="BC545" t="str">
            <v>.</v>
          </cell>
        </row>
        <row r="546">
          <cell r="BC546" t="str">
            <v>.</v>
          </cell>
        </row>
        <row r="547">
          <cell r="BC547" t="str">
            <v>.</v>
          </cell>
        </row>
        <row r="548">
          <cell r="BC548" t="str">
            <v>.</v>
          </cell>
        </row>
        <row r="549">
          <cell r="BC549" t="str">
            <v>.</v>
          </cell>
        </row>
        <row r="550">
          <cell r="BC550" t="str">
            <v>.</v>
          </cell>
        </row>
        <row r="551">
          <cell r="BC551" t="str">
            <v>.</v>
          </cell>
        </row>
        <row r="552">
          <cell r="BC552" t="str">
            <v>.</v>
          </cell>
        </row>
        <row r="553">
          <cell r="BC553" t="str">
            <v>.</v>
          </cell>
        </row>
        <row r="554">
          <cell r="BC554" t="str">
            <v>.</v>
          </cell>
        </row>
        <row r="555">
          <cell r="BC555" t="str">
            <v>.</v>
          </cell>
        </row>
        <row r="556">
          <cell r="BC556" t="str">
            <v>.</v>
          </cell>
        </row>
        <row r="557">
          <cell r="BC557" t="str">
            <v>.</v>
          </cell>
        </row>
        <row r="558">
          <cell r="BC558" t="str">
            <v>.</v>
          </cell>
        </row>
        <row r="559">
          <cell r="BC559" t="str">
            <v>.</v>
          </cell>
        </row>
        <row r="560">
          <cell r="BC560" t="str">
            <v>.</v>
          </cell>
        </row>
        <row r="561">
          <cell r="BC561" t="str">
            <v>.</v>
          </cell>
        </row>
        <row r="562">
          <cell r="BC562" t="str">
            <v>.</v>
          </cell>
        </row>
        <row r="563">
          <cell r="BC563" t="str">
            <v>.</v>
          </cell>
        </row>
        <row r="564">
          <cell r="BC564" t="str">
            <v>.</v>
          </cell>
        </row>
        <row r="565">
          <cell r="BC565" t="str">
            <v>.</v>
          </cell>
        </row>
        <row r="566">
          <cell r="BC566" t="str">
            <v>.</v>
          </cell>
        </row>
        <row r="567">
          <cell r="BC567" t="str">
            <v>.</v>
          </cell>
        </row>
        <row r="568">
          <cell r="BC568" t="str">
            <v>.</v>
          </cell>
        </row>
        <row r="569">
          <cell r="BC569" t="str">
            <v>.</v>
          </cell>
        </row>
        <row r="570">
          <cell r="BC570" t="str">
            <v>.</v>
          </cell>
        </row>
        <row r="571">
          <cell r="BC571" t="str">
            <v>.</v>
          </cell>
        </row>
        <row r="572">
          <cell r="BC572" t="str">
            <v>.</v>
          </cell>
        </row>
        <row r="573">
          <cell r="BC573" t="str">
            <v>.</v>
          </cell>
        </row>
        <row r="574">
          <cell r="BC574" t="str">
            <v>.</v>
          </cell>
        </row>
        <row r="575">
          <cell r="BC575" t="str">
            <v>.</v>
          </cell>
        </row>
        <row r="576">
          <cell r="BC576" t="str">
            <v>.</v>
          </cell>
        </row>
        <row r="577">
          <cell r="BC577" t="str">
            <v>.</v>
          </cell>
        </row>
        <row r="578">
          <cell r="BC578" t="str">
            <v>.</v>
          </cell>
        </row>
        <row r="579">
          <cell r="BC579" t="str">
            <v>.</v>
          </cell>
        </row>
        <row r="580">
          <cell r="BC580" t="str">
            <v>.</v>
          </cell>
        </row>
        <row r="581">
          <cell r="BC581" t="str">
            <v>.</v>
          </cell>
        </row>
        <row r="582">
          <cell r="BC582" t="str">
            <v>.</v>
          </cell>
        </row>
        <row r="583">
          <cell r="BC583" t="str">
            <v>.</v>
          </cell>
        </row>
        <row r="584">
          <cell r="BC584" t="str">
            <v>.</v>
          </cell>
        </row>
        <row r="585">
          <cell r="BC585" t="str">
            <v>.</v>
          </cell>
        </row>
        <row r="586">
          <cell r="BC586" t="str">
            <v>.</v>
          </cell>
        </row>
        <row r="587">
          <cell r="BC587" t="str">
            <v>.</v>
          </cell>
        </row>
        <row r="588">
          <cell r="BC588" t="str">
            <v>.</v>
          </cell>
        </row>
        <row r="589">
          <cell r="BC589" t="str">
            <v>.</v>
          </cell>
        </row>
        <row r="590">
          <cell r="BC590" t="str">
            <v>.</v>
          </cell>
        </row>
        <row r="591">
          <cell r="BC591" t="str">
            <v>.</v>
          </cell>
        </row>
        <row r="592">
          <cell r="BC592" t="str">
            <v>.</v>
          </cell>
        </row>
        <row r="593">
          <cell r="BC593" t="str">
            <v>.</v>
          </cell>
        </row>
        <row r="594">
          <cell r="BC594" t="str">
            <v>.</v>
          </cell>
        </row>
        <row r="595">
          <cell r="BC595" t="str">
            <v>.</v>
          </cell>
        </row>
        <row r="596">
          <cell r="BC596" t="str">
            <v>.</v>
          </cell>
        </row>
        <row r="597">
          <cell r="BC597" t="str">
            <v>.</v>
          </cell>
        </row>
        <row r="598">
          <cell r="BC598" t="str">
            <v>.</v>
          </cell>
        </row>
        <row r="599">
          <cell r="BC599" t="str">
            <v>.</v>
          </cell>
        </row>
        <row r="600">
          <cell r="BC600" t="str">
            <v>.</v>
          </cell>
        </row>
        <row r="601">
          <cell r="BC601" t="str">
            <v>.</v>
          </cell>
        </row>
        <row r="602">
          <cell r="BC602" t="str">
            <v>.</v>
          </cell>
        </row>
        <row r="603">
          <cell r="BC603" t="str">
            <v>.</v>
          </cell>
        </row>
        <row r="604">
          <cell r="BC604" t="str">
            <v>.</v>
          </cell>
        </row>
        <row r="605">
          <cell r="BC605" t="str">
            <v>.</v>
          </cell>
        </row>
        <row r="606">
          <cell r="BC606" t="str">
            <v>.</v>
          </cell>
        </row>
        <row r="607">
          <cell r="BC607" t="str">
            <v>.</v>
          </cell>
        </row>
        <row r="608">
          <cell r="BC608" t="str">
            <v>.</v>
          </cell>
        </row>
        <row r="609">
          <cell r="BC609" t="str">
            <v>.</v>
          </cell>
        </row>
        <row r="610">
          <cell r="BC610" t="str">
            <v>.</v>
          </cell>
        </row>
        <row r="611">
          <cell r="BC611" t="str">
            <v>.</v>
          </cell>
        </row>
        <row r="612">
          <cell r="BC612" t="str">
            <v>.</v>
          </cell>
        </row>
        <row r="613">
          <cell r="BC613" t="str">
            <v>.</v>
          </cell>
        </row>
        <row r="614">
          <cell r="BC614" t="str">
            <v>.</v>
          </cell>
        </row>
        <row r="615">
          <cell r="BC615" t="str">
            <v>.</v>
          </cell>
        </row>
        <row r="616">
          <cell r="BC616" t="str">
            <v>.</v>
          </cell>
        </row>
        <row r="617">
          <cell r="BC617" t="str">
            <v>.</v>
          </cell>
        </row>
        <row r="618">
          <cell r="BC618" t="str">
            <v>.</v>
          </cell>
        </row>
        <row r="619">
          <cell r="BC619" t="str">
            <v>.</v>
          </cell>
        </row>
        <row r="620">
          <cell r="BC620" t="str">
            <v>.</v>
          </cell>
        </row>
        <row r="621">
          <cell r="BC621" t="str">
            <v>.</v>
          </cell>
        </row>
        <row r="622">
          <cell r="BC622" t="str">
            <v>.</v>
          </cell>
        </row>
        <row r="623">
          <cell r="BC623" t="str">
            <v>.</v>
          </cell>
        </row>
        <row r="624">
          <cell r="BC624" t="str">
            <v>.</v>
          </cell>
        </row>
        <row r="625">
          <cell r="BC625" t="str">
            <v>.</v>
          </cell>
        </row>
        <row r="626">
          <cell r="BC626" t="str">
            <v>.</v>
          </cell>
        </row>
        <row r="627">
          <cell r="BC627" t="str">
            <v>.</v>
          </cell>
        </row>
        <row r="628">
          <cell r="BC628" t="str">
            <v>.</v>
          </cell>
        </row>
        <row r="629">
          <cell r="BC629" t="str">
            <v>.</v>
          </cell>
        </row>
        <row r="630">
          <cell r="BC630" t="str">
            <v>.</v>
          </cell>
        </row>
        <row r="631">
          <cell r="BC631" t="str">
            <v>.</v>
          </cell>
        </row>
        <row r="632">
          <cell r="BC632" t="str">
            <v>.</v>
          </cell>
        </row>
        <row r="633">
          <cell r="BC633" t="str">
            <v>.</v>
          </cell>
        </row>
        <row r="634">
          <cell r="BC634" t="str">
            <v>.</v>
          </cell>
        </row>
        <row r="635">
          <cell r="BC635" t="str">
            <v>.</v>
          </cell>
        </row>
        <row r="636">
          <cell r="BC636" t="str">
            <v>.</v>
          </cell>
        </row>
        <row r="637">
          <cell r="BC637" t="str">
            <v>.</v>
          </cell>
        </row>
        <row r="638">
          <cell r="BC638" t="str">
            <v>.</v>
          </cell>
        </row>
        <row r="639">
          <cell r="BC639" t="str">
            <v>.</v>
          </cell>
        </row>
        <row r="640">
          <cell r="BC640" t="str">
            <v>.</v>
          </cell>
        </row>
        <row r="641">
          <cell r="BC641" t="str">
            <v>.</v>
          </cell>
        </row>
        <row r="642">
          <cell r="BC642" t="str">
            <v>.</v>
          </cell>
        </row>
        <row r="643">
          <cell r="BC643" t="str">
            <v>.</v>
          </cell>
        </row>
        <row r="644">
          <cell r="BC644" t="str">
            <v>.</v>
          </cell>
        </row>
        <row r="645">
          <cell r="BC645" t="str">
            <v>.</v>
          </cell>
        </row>
        <row r="646">
          <cell r="BC646" t="str">
            <v>.</v>
          </cell>
        </row>
        <row r="647">
          <cell r="BC647" t="str">
            <v>.</v>
          </cell>
        </row>
        <row r="648">
          <cell r="BC648" t="str">
            <v>.</v>
          </cell>
        </row>
        <row r="649">
          <cell r="BC649" t="str">
            <v>.</v>
          </cell>
        </row>
        <row r="650">
          <cell r="BC650" t="str">
            <v>.</v>
          </cell>
        </row>
        <row r="651">
          <cell r="BC651" t="str">
            <v>.</v>
          </cell>
        </row>
        <row r="652">
          <cell r="BC652" t="str">
            <v>.</v>
          </cell>
        </row>
        <row r="653">
          <cell r="BC653" t="str">
            <v>.</v>
          </cell>
        </row>
        <row r="654">
          <cell r="BC654" t="str">
            <v>.</v>
          </cell>
        </row>
        <row r="655">
          <cell r="BC655" t="str">
            <v>.</v>
          </cell>
        </row>
        <row r="656">
          <cell r="BC656" t="str">
            <v>.</v>
          </cell>
        </row>
        <row r="657">
          <cell r="BC657" t="str">
            <v>.</v>
          </cell>
        </row>
        <row r="658">
          <cell r="BC658" t="str">
            <v>.</v>
          </cell>
        </row>
        <row r="659">
          <cell r="BC659" t="str">
            <v>.</v>
          </cell>
        </row>
        <row r="660">
          <cell r="BC660" t="str">
            <v>.</v>
          </cell>
        </row>
        <row r="661">
          <cell r="BC661" t="str">
            <v>.</v>
          </cell>
        </row>
        <row r="662">
          <cell r="BC662" t="str">
            <v>.</v>
          </cell>
        </row>
        <row r="663">
          <cell r="BC663" t="str">
            <v>.</v>
          </cell>
        </row>
        <row r="664">
          <cell r="BC664" t="str">
            <v>.</v>
          </cell>
        </row>
        <row r="665">
          <cell r="BC665" t="str">
            <v>.</v>
          </cell>
        </row>
        <row r="666">
          <cell r="BC666" t="str">
            <v>.</v>
          </cell>
        </row>
        <row r="667">
          <cell r="BC667" t="str">
            <v>.</v>
          </cell>
        </row>
        <row r="668">
          <cell r="BC668" t="str">
            <v>.</v>
          </cell>
        </row>
        <row r="669">
          <cell r="BC669" t="str">
            <v>.</v>
          </cell>
        </row>
        <row r="670">
          <cell r="BC670" t="str">
            <v>.</v>
          </cell>
        </row>
        <row r="671">
          <cell r="BC671" t="str">
            <v>.</v>
          </cell>
        </row>
        <row r="672">
          <cell r="BC672" t="str">
            <v>.</v>
          </cell>
        </row>
        <row r="673">
          <cell r="BC673" t="str">
            <v>.</v>
          </cell>
        </row>
        <row r="674">
          <cell r="BC674" t="str">
            <v>.</v>
          </cell>
        </row>
        <row r="675">
          <cell r="BC675" t="str">
            <v>.</v>
          </cell>
        </row>
        <row r="676">
          <cell r="BC676" t="str">
            <v>.</v>
          </cell>
        </row>
        <row r="677">
          <cell r="BC677" t="str">
            <v>.</v>
          </cell>
        </row>
        <row r="678">
          <cell r="BC678" t="str">
            <v>.</v>
          </cell>
        </row>
        <row r="679">
          <cell r="BC679" t="str">
            <v>.</v>
          </cell>
        </row>
        <row r="680">
          <cell r="BC680" t="str">
            <v>.</v>
          </cell>
        </row>
        <row r="681">
          <cell r="BC681" t="str">
            <v>.</v>
          </cell>
        </row>
        <row r="682">
          <cell r="BC682" t="str">
            <v>.</v>
          </cell>
        </row>
        <row r="683">
          <cell r="BC683" t="str">
            <v>.</v>
          </cell>
        </row>
        <row r="684">
          <cell r="BC684" t="str">
            <v>.</v>
          </cell>
        </row>
        <row r="685">
          <cell r="BC685" t="str">
            <v>.</v>
          </cell>
        </row>
        <row r="686">
          <cell r="BC686" t="str">
            <v>.</v>
          </cell>
        </row>
        <row r="687">
          <cell r="BC687" t="str">
            <v>.</v>
          </cell>
        </row>
        <row r="688">
          <cell r="BC688" t="str">
            <v>.</v>
          </cell>
        </row>
        <row r="689">
          <cell r="BC689" t="str">
            <v>.</v>
          </cell>
        </row>
        <row r="690">
          <cell r="BC690" t="str">
            <v>.</v>
          </cell>
        </row>
        <row r="691">
          <cell r="BC691" t="str">
            <v>.</v>
          </cell>
        </row>
        <row r="692">
          <cell r="BC692" t="str">
            <v>.</v>
          </cell>
        </row>
        <row r="693">
          <cell r="BC693" t="str">
            <v>.</v>
          </cell>
        </row>
        <row r="694">
          <cell r="BC694" t="str">
            <v>.</v>
          </cell>
        </row>
        <row r="695">
          <cell r="BC695" t="str">
            <v>.</v>
          </cell>
        </row>
        <row r="696">
          <cell r="BC696" t="str">
            <v>.</v>
          </cell>
        </row>
        <row r="697">
          <cell r="BC697" t="str">
            <v>.</v>
          </cell>
        </row>
        <row r="698">
          <cell r="BC698" t="str">
            <v>.</v>
          </cell>
        </row>
        <row r="699">
          <cell r="BC699" t="str">
            <v>.</v>
          </cell>
        </row>
        <row r="700">
          <cell r="BC700" t="str">
            <v>.</v>
          </cell>
        </row>
        <row r="701">
          <cell r="BC701" t="str">
            <v>.</v>
          </cell>
        </row>
        <row r="702">
          <cell r="BC702" t="str">
            <v>.</v>
          </cell>
        </row>
        <row r="703">
          <cell r="BC703" t="str">
            <v>.</v>
          </cell>
        </row>
        <row r="704">
          <cell r="BC704" t="str">
            <v>.</v>
          </cell>
        </row>
        <row r="705">
          <cell r="BC705" t="str">
            <v>.</v>
          </cell>
        </row>
        <row r="706">
          <cell r="BC706" t="str">
            <v>.</v>
          </cell>
        </row>
        <row r="707">
          <cell r="BC707" t="str">
            <v>.</v>
          </cell>
        </row>
        <row r="708">
          <cell r="BC708" t="str">
            <v>.</v>
          </cell>
        </row>
        <row r="709">
          <cell r="BC709" t="str">
            <v>.</v>
          </cell>
        </row>
        <row r="710">
          <cell r="BC710" t="str">
            <v>.</v>
          </cell>
        </row>
        <row r="711">
          <cell r="BC711" t="str">
            <v>.</v>
          </cell>
        </row>
        <row r="712">
          <cell r="BC712" t="str">
            <v>.</v>
          </cell>
        </row>
        <row r="713">
          <cell r="BC713" t="str">
            <v>.</v>
          </cell>
        </row>
        <row r="714">
          <cell r="BC714" t="str">
            <v>.</v>
          </cell>
        </row>
        <row r="715">
          <cell r="BC715" t="str">
            <v>.</v>
          </cell>
        </row>
        <row r="716">
          <cell r="BC716" t="str">
            <v>.</v>
          </cell>
        </row>
        <row r="717">
          <cell r="BC717" t="str">
            <v>.</v>
          </cell>
        </row>
        <row r="718">
          <cell r="BC718" t="str">
            <v>.</v>
          </cell>
        </row>
        <row r="719">
          <cell r="BC719" t="str">
            <v>.</v>
          </cell>
        </row>
        <row r="720">
          <cell r="BC720" t="str">
            <v>.</v>
          </cell>
        </row>
        <row r="721">
          <cell r="BC721" t="str">
            <v>.</v>
          </cell>
        </row>
        <row r="722">
          <cell r="BC722" t="str">
            <v>.</v>
          </cell>
        </row>
        <row r="723">
          <cell r="BC723" t="str">
            <v>.</v>
          </cell>
        </row>
        <row r="724">
          <cell r="BC724" t="str">
            <v>.</v>
          </cell>
        </row>
        <row r="725">
          <cell r="BC725" t="str">
            <v>.</v>
          </cell>
        </row>
        <row r="726">
          <cell r="BC726" t="str">
            <v>.</v>
          </cell>
        </row>
        <row r="727">
          <cell r="BC727" t="str">
            <v>.</v>
          </cell>
        </row>
        <row r="728">
          <cell r="BC728" t="str">
            <v>.</v>
          </cell>
        </row>
        <row r="729">
          <cell r="BC729" t="str">
            <v>.</v>
          </cell>
        </row>
        <row r="730">
          <cell r="BC730" t="str">
            <v>.</v>
          </cell>
        </row>
        <row r="731">
          <cell r="BC731" t="str">
            <v>.</v>
          </cell>
        </row>
        <row r="732">
          <cell r="BC732" t="str">
            <v>.</v>
          </cell>
        </row>
        <row r="733">
          <cell r="BC733" t="str">
            <v>.</v>
          </cell>
        </row>
        <row r="734">
          <cell r="BC734" t="str">
            <v>.</v>
          </cell>
        </row>
        <row r="735">
          <cell r="BC735" t="str">
            <v>.</v>
          </cell>
        </row>
        <row r="736">
          <cell r="BC736" t="str">
            <v>.</v>
          </cell>
        </row>
        <row r="737">
          <cell r="BC737" t="str">
            <v>.</v>
          </cell>
        </row>
        <row r="738">
          <cell r="BC738" t="str">
            <v>.</v>
          </cell>
        </row>
        <row r="739">
          <cell r="BC739" t="str">
            <v>.</v>
          </cell>
        </row>
        <row r="740">
          <cell r="BC740" t="str">
            <v>.</v>
          </cell>
        </row>
        <row r="741">
          <cell r="BC741" t="str">
            <v>.</v>
          </cell>
        </row>
        <row r="742">
          <cell r="BC742" t="str">
            <v>.</v>
          </cell>
        </row>
        <row r="743">
          <cell r="BC743" t="str">
            <v>.</v>
          </cell>
        </row>
        <row r="744">
          <cell r="BC744" t="str">
            <v>.</v>
          </cell>
        </row>
        <row r="745">
          <cell r="BC745" t="str">
            <v>.</v>
          </cell>
        </row>
        <row r="746">
          <cell r="BC746" t="str">
            <v>.</v>
          </cell>
        </row>
        <row r="747">
          <cell r="BC747" t="str">
            <v>.</v>
          </cell>
        </row>
        <row r="748">
          <cell r="BC748" t="str">
            <v>.</v>
          </cell>
        </row>
        <row r="749">
          <cell r="BC749" t="str">
            <v>.</v>
          </cell>
        </row>
        <row r="750">
          <cell r="BC750" t="str">
            <v>.</v>
          </cell>
        </row>
        <row r="751">
          <cell r="BC751" t="str">
            <v>.</v>
          </cell>
        </row>
        <row r="752">
          <cell r="BC752" t="str">
            <v>.</v>
          </cell>
        </row>
        <row r="753">
          <cell r="BC753" t="str">
            <v>.</v>
          </cell>
        </row>
        <row r="754">
          <cell r="BC754" t="str">
            <v>.</v>
          </cell>
        </row>
        <row r="755">
          <cell r="BC755" t="str">
            <v>.</v>
          </cell>
        </row>
        <row r="756">
          <cell r="BC756" t="str">
            <v>.</v>
          </cell>
        </row>
        <row r="757">
          <cell r="BC757" t="str">
            <v>.</v>
          </cell>
        </row>
        <row r="758">
          <cell r="BC758" t="str">
            <v>.</v>
          </cell>
        </row>
        <row r="759">
          <cell r="BC759" t="str">
            <v>.</v>
          </cell>
        </row>
        <row r="760">
          <cell r="BC760" t="str">
            <v>.</v>
          </cell>
        </row>
        <row r="761">
          <cell r="BC761" t="str">
            <v>.</v>
          </cell>
        </row>
        <row r="762">
          <cell r="BC762" t="str">
            <v>.</v>
          </cell>
        </row>
        <row r="763">
          <cell r="BC763" t="str">
            <v>.</v>
          </cell>
        </row>
        <row r="764">
          <cell r="BC764" t="str">
            <v>.</v>
          </cell>
        </row>
        <row r="765">
          <cell r="BC765" t="str">
            <v>.</v>
          </cell>
        </row>
        <row r="766">
          <cell r="BC766" t="str">
            <v>.</v>
          </cell>
        </row>
        <row r="767">
          <cell r="BC767" t="str">
            <v>.</v>
          </cell>
        </row>
        <row r="768">
          <cell r="BC768" t="str">
            <v>.</v>
          </cell>
        </row>
        <row r="769">
          <cell r="BC769" t="str">
            <v>.</v>
          </cell>
        </row>
        <row r="770">
          <cell r="BC770" t="str">
            <v>.</v>
          </cell>
        </row>
        <row r="771">
          <cell r="BC771" t="str">
            <v>.</v>
          </cell>
        </row>
        <row r="772">
          <cell r="BC772" t="str">
            <v>.</v>
          </cell>
        </row>
        <row r="773">
          <cell r="BC773" t="str">
            <v>.</v>
          </cell>
        </row>
        <row r="774">
          <cell r="BC774" t="str">
            <v>.</v>
          </cell>
        </row>
        <row r="775">
          <cell r="BC775" t="str">
            <v>.</v>
          </cell>
        </row>
        <row r="776">
          <cell r="BC776" t="str">
            <v>.</v>
          </cell>
        </row>
        <row r="777">
          <cell r="BC777" t="str">
            <v>.</v>
          </cell>
        </row>
        <row r="778">
          <cell r="BC778" t="str">
            <v>.</v>
          </cell>
        </row>
        <row r="779">
          <cell r="BC779" t="str">
            <v>.</v>
          </cell>
        </row>
        <row r="780">
          <cell r="BC780" t="str">
            <v>.</v>
          </cell>
        </row>
        <row r="781">
          <cell r="BC781" t="str">
            <v>.</v>
          </cell>
        </row>
        <row r="782">
          <cell r="BC782" t="str">
            <v>.</v>
          </cell>
        </row>
        <row r="783">
          <cell r="BC783" t="str">
            <v>.</v>
          </cell>
        </row>
        <row r="784">
          <cell r="BC784" t="str">
            <v>.</v>
          </cell>
        </row>
        <row r="785">
          <cell r="BC785" t="str">
            <v>.</v>
          </cell>
        </row>
        <row r="786">
          <cell r="BC786" t="str">
            <v>.</v>
          </cell>
        </row>
        <row r="787">
          <cell r="BC787" t="str">
            <v>.</v>
          </cell>
        </row>
        <row r="788">
          <cell r="BC788" t="str">
            <v>.</v>
          </cell>
        </row>
        <row r="789">
          <cell r="BC789" t="str">
            <v>.</v>
          </cell>
        </row>
        <row r="790">
          <cell r="BC790" t="str">
            <v>.</v>
          </cell>
        </row>
        <row r="791">
          <cell r="BC791" t="str">
            <v>.</v>
          </cell>
        </row>
        <row r="792">
          <cell r="BC792" t="str">
            <v>.</v>
          </cell>
        </row>
        <row r="793">
          <cell r="BC793" t="str">
            <v>.</v>
          </cell>
        </row>
        <row r="794">
          <cell r="BC794" t="str">
            <v>.</v>
          </cell>
        </row>
        <row r="795">
          <cell r="BC795" t="str">
            <v>.</v>
          </cell>
        </row>
        <row r="796">
          <cell r="BC796" t="str">
            <v>.</v>
          </cell>
        </row>
        <row r="797">
          <cell r="BC797" t="str">
            <v>.</v>
          </cell>
        </row>
        <row r="798">
          <cell r="BC798" t="str">
            <v>.</v>
          </cell>
        </row>
        <row r="799">
          <cell r="BC799" t="str">
            <v>.</v>
          </cell>
        </row>
        <row r="800">
          <cell r="BC800" t="str">
            <v>.</v>
          </cell>
        </row>
        <row r="801">
          <cell r="BC801" t="str">
            <v>.</v>
          </cell>
        </row>
        <row r="802">
          <cell r="BC802" t="str">
            <v>.</v>
          </cell>
        </row>
        <row r="803">
          <cell r="BC803" t="str">
            <v>.</v>
          </cell>
        </row>
        <row r="804">
          <cell r="BC804" t="str">
            <v>.</v>
          </cell>
        </row>
        <row r="805">
          <cell r="BC805" t="str">
            <v>.</v>
          </cell>
        </row>
        <row r="806">
          <cell r="BC806" t="str">
            <v>.</v>
          </cell>
        </row>
        <row r="807">
          <cell r="BC807" t="str">
            <v>.</v>
          </cell>
        </row>
        <row r="808">
          <cell r="BC808" t="str">
            <v>.</v>
          </cell>
        </row>
        <row r="809">
          <cell r="BC809" t="str">
            <v>.</v>
          </cell>
        </row>
        <row r="810">
          <cell r="BC810" t="str">
            <v>.</v>
          </cell>
        </row>
        <row r="811">
          <cell r="BC811" t="str">
            <v>.</v>
          </cell>
        </row>
        <row r="812">
          <cell r="BC812" t="str">
            <v>.</v>
          </cell>
        </row>
        <row r="813">
          <cell r="BC813" t="str">
            <v>.</v>
          </cell>
        </row>
        <row r="814">
          <cell r="BC814" t="str">
            <v>.</v>
          </cell>
        </row>
        <row r="815">
          <cell r="BC815" t="str">
            <v>.</v>
          </cell>
        </row>
        <row r="816">
          <cell r="BC816" t="str">
            <v>.</v>
          </cell>
        </row>
        <row r="817">
          <cell r="BC817" t="str">
            <v>.</v>
          </cell>
        </row>
        <row r="818">
          <cell r="BC818" t="str">
            <v>.</v>
          </cell>
        </row>
        <row r="819">
          <cell r="BC819" t="str">
            <v>.</v>
          </cell>
        </row>
        <row r="820">
          <cell r="BC820" t="str">
            <v>.</v>
          </cell>
        </row>
        <row r="821">
          <cell r="BC821" t="str">
            <v>.</v>
          </cell>
        </row>
        <row r="822">
          <cell r="BC822" t="str">
            <v>.</v>
          </cell>
        </row>
        <row r="823">
          <cell r="BC823" t="str">
            <v>.</v>
          </cell>
        </row>
        <row r="824">
          <cell r="BC824" t="str">
            <v>.</v>
          </cell>
        </row>
        <row r="825">
          <cell r="BC825" t="str">
            <v>.</v>
          </cell>
        </row>
        <row r="826">
          <cell r="BC826" t="str">
            <v>.</v>
          </cell>
        </row>
        <row r="827">
          <cell r="BC827" t="str">
            <v>.</v>
          </cell>
        </row>
        <row r="828">
          <cell r="BC828" t="str">
            <v>.</v>
          </cell>
        </row>
        <row r="829">
          <cell r="BC829" t="str">
            <v>.</v>
          </cell>
        </row>
        <row r="830">
          <cell r="BC830" t="str">
            <v>.</v>
          </cell>
        </row>
        <row r="831">
          <cell r="BC831" t="str">
            <v>.</v>
          </cell>
        </row>
        <row r="832">
          <cell r="BC832" t="str">
            <v>.</v>
          </cell>
        </row>
        <row r="833">
          <cell r="BC833" t="str">
            <v>.</v>
          </cell>
        </row>
        <row r="834">
          <cell r="BC834" t="str">
            <v>.</v>
          </cell>
        </row>
        <row r="835">
          <cell r="BC835" t="str">
            <v>.</v>
          </cell>
        </row>
        <row r="836">
          <cell r="BC836" t="str">
            <v>.</v>
          </cell>
        </row>
        <row r="837">
          <cell r="BC837" t="str">
            <v>.</v>
          </cell>
        </row>
        <row r="838">
          <cell r="BC838" t="str">
            <v>.</v>
          </cell>
        </row>
        <row r="839">
          <cell r="BC839" t="str">
            <v>.</v>
          </cell>
        </row>
        <row r="840">
          <cell r="BC840" t="str">
            <v>.</v>
          </cell>
        </row>
        <row r="841">
          <cell r="BC841" t="str">
            <v>.</v>
          </cell>
        </row>
        <row r="842">
          <cell r="BC842" t="str">
            <v>.</v>
          </cell>
        </row>
        <row r="843">
          <cell r="BC843" t="str">
            <v>.</v>
          </cell>
        </row>
        <row r="844">
          <cell r="BC844" t="str">
            <v>.</v>
          </cell>
        </row>
        <row r="845">
          <cell r="BC845" t="str">
            <v>.</v>
          </cell>
        </row>
        <row r="846">
          <cell r="BC846" t="str">
            <v>.</v>
          </cell>
        </row>
        <row r="847">
          <cell r="BC847" t="str">
            <v>.</v>
          </cell>
        </row>
        <row r="848">
          <cell r="BC848" t="str">
            <v>.</v>
          </cell>
        </row>
        <row r="849">
          <cell r="BC849" t="str">
            <v>.</v>
          </cell>
        </row>
        <row r="850">
          <cell r="BC850" t="str">
            <v>.</v>
          </cell>
        </row>
        <row r="851">
          <cell r="BC851" t="str">
            <v>.</v>
          </cell>
        </row>
        <row r="852">
          <cell r="BC852" t="str">
            <v>.</v>
          </cell>
        </row>
        <row r="853">
          <cell r="BC853" t="str">
            <v>.</v>
          </cell>
        </row>
        <row r="854">
          <cell r="BC854" t="str">
            <v>.</v>
          </cell>
        </row>
        <row r="855">
          <cell r="BC855" t="str">
            <v>.</v>
          </cell>
        </row>
        <row r="856">
          <cell r="BC856" t="str">
            <v>.</v>
          </cell>
        </row>
        <row r="857">
          <cell r="BC857" t="str">
            <v>.</v>
          </cell>
        </row>
        <row r="858">
          <cell r="BC858" t="str">
            <v>.</v>
          </cell>
        </row>
        <row r="859">
          <cell r="BC859" t="str">
            <v>.</v>
          </cell>
        </row>
        <row r="860">
          <cell r="BC860" t="str">
            <v>.</v>
          </cell>
        </row>
        <row r="861">
          <cell r="BC861" t="str">
            <v>.</v>
          </cell>
        </row>
        <row r="862">
          <cell r="BC862" t="str">
            <v>.</v>
          </cell>
        </row>
        <row r="863">
          <cell r="BC863" t="str">
            <v>.</v>
          </cell>
        </row>
        <row r="864">
          <cell r="BC864" t="str">
            <v>.</v>
          </cell>
        </row>
        <row r="865">
          <cell r="BC865" t="str">
            <v>.</v>
          </cell>
        </row>
        <row r="866">
          <cell r="BC866" t="str">
            <v>.</v>
          </cell>
        </row>
        <row r="867">
          <cell r="BC867" t="str">
            <v>.</v>
          </cell>
        </row>
        <row r="868">
          <cell r="BC868" t="str">
            <v>.</v>
          </cell>
        </row>
        <row r="869">
          <cell r="BC869" t="str">
            <v>.</v>
          </cell>
        </row>
        <row r="870">
          <cell r="BC870" t="str">
            <v>.</v>
          </cell>
        </row>
        <row r="871">
          <cell r="BC871" t="str">
            <v>.</v>
          </cell>
        </row>
        <row r="872">
          <cell r="BC872" t="str">
            <v>.</v>
          </cell>
        </row>
        <row r="873">
          <cell r="BC873" t="str">
            <v>.</v>
          </cell>
        </row>
        <row r="874">
          <cell r="BC874" t="str">
            <v>.</v>
          </cell>
        </row>
        <row r="875">
          <cell r="BC875" t="str">
            <v>.</v>
          </cell>
        </row>
        <row r="876">
          <cell r="BC876" t="str">
            <v>.</v>
          </cell>
        </row>
        <row r="877">
          <cell r="BC877" t="str">
            <v>.</v>
          </cell>
        </row>
        <row r="878">
          <cell r="BC878" t="str">
            <v>.</v>
          </cell>
        </row>
        <row r="879">
          <cell r="BC879" t="str">
            <v>.</v>
          </cell>
        </row>
        <row r="880">
          <cell r="BC880" t="str">
            <v>.</v>
          </cell>
        </row>
        <row r="881">
          <cell r="BC881" t="str">
            <v>.</v>
          </cell>
        </row>
        <row r="882">
          <cell r="BC882" t="str">
            <v>.</v>
          </cell>
        </row>
        <row r="883">
          <cell r="BC883" t="str">
            <v>.</v>
          </cell>
        </row>
        <row r="884">
          <cell r="BC884" t="str">
            <v>.</v>
          </cell>
        </row>
        <row r="885">
          <cell r="BC885" t="str">
            <v>.</v>
          </cell>
        </row>
        <row r="886">
          <cell r="BC886" t="str">
            <v>.</v>
          </cell>
        </row>
        <row r="887">
          <cell r="BC887" t="str">
            <v>.</v>
          </cell>
        </row>
        <row r="888">
          <cell r="BC888" t="str">
            <v>.</v>
          </cell>
        </row>
        <row r="889">
          <cell r="BC889" t="str">
            <v>.</v>
          </cell>
        </row>
        <row r="890">
          <cell r="BC890" t="str">
            <v>.</v>
          </cell>
        </row>
        <row r="891">
          <cell r="BC891" t="str">
            <v>.</v>
          </cell>
        </row>
        <row r="892">
          <cell r="BC892" t="str">
            <v>.</v>
          </cell>
        </row>
        <row r="893">
          <cell r="BC893" t="str">
            <v>.</v>
          </cell>
        </row>
        <row r="894">
          <cell r="BC894" t="str">
            <v>.</v>
          </cell>
        </row>
        <row r="895">
          <cell r="BC895" t="str">
            <v>.</v>
          </cell>
        </row>
        <row r="896">
          <cell r="BC896" t="str">
            <v>.</v>
          </cell>
        </row>
        <row r="897">
          <cell r="BC897" t="str">
            <v>.</v>
          </cell>
        </row>
        <row r="898">
          <cell r="BC898" t="str">
            <v>.</v>
          </cell>
        </row>
        <row r="899">
          <cell r="BC899" t="str">
            <v>.</v>
          </cell>
        </row>
        <row r="900">
          <cell r="BC900" t="str">
            <v>.</v>
          </cell>
        </row>
        <row r="901">
          <cell r="BC901" t="str">
            <v>.</v>
          </cell>
        </row>
        <row r="902">
          <cell r="BC902" t="str">
            <v>.</v>
          </cell>
        </row>
        <row r="903">
          <cell r="BC903" t="str">
            <v>.</v>
          </cell>
        </row>
        <row r="904">
          <cell r="BC904" t="str">
            <v>.</v>
          </cell>
        </row>
        <row r="905">
          <cell r="BC905" t="str">
            <v>.</v>
          </cell>
        </row>
        <row r="906">
          <cell r="BC906" t="str">
            <v>.</v>
          </cell>
        </row>
        <row r="907">
          <cell r="BC907" t="str">
            <v>.</v>
          </cell>
        </row>
        <row r="908">
          <cell r="BC908" t="str">
            <v>.</v>
          </cell>
        </row>
        <row r="909">
          <cell r="BC909" t="str">
            <v>.</v>
          </cell>
        </row>
        <row r="910">
          <cell r="BC910" t="str">
            <v>.</v>
          </cell>
        </row>
        <row r="911">
          <cell r="BC911" t="str">
            <v>.</v>
          </cell>
        </row>
        <row r="912">
          <cell r="BC912" t="str">
            <v>.</v>
          </cell>
        </row>
        <row r="913">
          <cell r="BC913" t="str">
            <v>.</v>
          </cell>
        </row>
        <row r="914">
          <cell r="BC914" t="str">
            <v>.</v>
          </cell>
        </row>
        <row r="915">
          <cell r="BC915" t="str">
            <v>.</v>
          </cell>
        </row>
        <row r="916">
          <cell r="BC916" t="str">
            <v>.</v>
          </cell>
        </row>
        <row r="917">
          <cell r="BC917" t="str">
            <v>.</v>
          </cell>
        </row>
        <row r="918">
          <cell r="BC918" t="str">
            <v>.</v>
          </cell>
        </row>
        <row r="919">
          <cell r="BC919" t="str">
            <v>.</v>
          </cell>
        </row>
        <row r="920">
          <cell r="BC920" t="str">
            <v>.</v>
          </cell>
        </row>
        <row r="921">
          <cell r="BC921" t="str">
            <v>.</v>
          </cell>
        </row>
        <row r="922">
          <cell r="BC922" t="str">
            <v>.</v>
          </cell>
        </row>
        <row r="923">
          <cell r="BC923" t="str">
            <v>.</v>
          </cell>
        </row>
        <row r="924">
          <cell r="BC924" t="str">
            <v>.</v>
          </cell>
        </row>
        <row r="925">
          <cell r="BC925" t="str">
            <v>.</v>
          </cell>
        </row>
        <row r="926">
          <cell r="BC926" t="str">
            <v>.</v>
          </cell>
        </row>
        <row r="927">
          <cell r="BC927" t="str">
            <v>.</v>
          </cell>
        </row>
        <row r="928">
          <cell r="BC928" t="str">
            <v>.</v>
          </cell>
        </row>
        <row r="929">
          <cell r="BC929" t="str">
            <v>.</v>
          </cell>
        </row>
        <row r="930">
          <cell r="BC930" t="str">
            <v>.</v>
          </cell>
        </row>
        <row r="931">
          <cell r="BC931" t="str">
            <v>.</v>
          </cell>
        </row>
        <row r="932">
          <cell r="BC932" t="str">
            <v>.</v>
          </cell>
        </row>
        <row r="933">
          <cell r="BC933" t="str">
            <v>.</v>
          </cell>
        </row>
        <row r="934">
          <cell r="BC934" t="str">
            <v>.</v>
          </cell>
        </row>
        <row r="935">
          <cell r="BC935" t="str">
            <v>.</v>
          </cell>
        </row>
        <row r="936">
          <cell r="BC936" t="str">
            <v>.</v>
          </cell>
        </row>
        <row r="937">
          <cell r="BC937" t="str">
            <v>.</v>
          </cell>
        </row>
        <row r="938">
          <cell r="BC938" t="str">
            <v>.</v>
          </cell>
        </row>
        <row r="939">
          <cell r="BC939" t="str">
            <v>.</v>
          </cell>
        </row>
        <row r="940">
          <cell r="BC940" t="str">
            <v>.</v>
          </cell>
        </row>
        <row r="941">
          <cell r="BC941" t="str">
            <v>.</v>
          </cell>
        </row>
        <row r="942">
          <cell r="BC942" t="str">
            <v>.</v>
          </cell>
        </row>
        <row r="943">
          <cell r="BC943" t="str">
            <v>.</v>
          </cell>
        </row>
        <row r="944">
          <cell r="BC944" t="str">
            <v>.</v>
          </cell>
        </row>
        <row r="945">
          <cell r="BC945" t="str">
            <v>.</v>
          </cell>
        </row>
        <row r="946">
          <cell r="BC946" t="str">
            <v>.</v>
          </cell>
        </row>
        <row r="947">
          <cell r="BC947" t="str">
            <v>.</v>
          </cell>
        </row>
        <row r="948">
          <cell r="BC948" t="str">
            <v>.</v>
          </cell>
        </row>
        <row r="949">
          <cell r="BC949" t="str">
            <v>.</v>
          </cell>
        </row>
        <row r="950">
          <cell r="BC950" t="str">
            <v>.</v>
          </cell>
        </row>
        <row r="951">
          <cell r="BC951" t="str">
            <v>.</v>
          </cell>
        </row>
        <row r="952">
          <cell r="BC952" t="str">
            <v>.</v>
          </cell>
        </row>
        <row r="953">
          <cell r="BC953" t="str">
            <v>.</v>
          </cell>
        </row>
        <row r="954">
          <cell r="BC954" t="str">
            <v>.</v>
          </cell>
        </row>
        <row r="955">
          <cell r="BC955" t="str">
            <v>.</v>
          </cell>
        </row>
        <row r="956">
          <cell r="BC956" t="str">
            <v>.</v>
          </cell>
        </row>
        <row r="957">
          <cell r="BC957" t="str">
            <v>.</v>
          </cell>
        </row>
        <row r="958">
          <cell r="BC958" t="str">
            <v>.</v>
          </cell>
        </row>
        <row r="959">
          <cell r="BC959" t="str">
            <v>.</v>
          </cell>
        </row>
        <row r="960">
          <cell r="BC960" t="str">
            <v>.</v>
          </cell>
        </row>
        <row r="961">
          <cell r="BC961" t="str">
            <v>.</v>
          </cell>
        </row>
        <row r="962">
          <cell r="BC962" t="str">
            <v>.</v>
          </cell>
        </row>
        <row r="963">
          <cell r="BC963" t="str">
            <v>.</v>
          </cell>
        </row>
        <row r="964">
          <cell r="BC964" t="str">
            <v>.</v>
          </cell>
        </row>
        <row r="965">
          <cell r="BC965" t="str">
            <v>.</v>
          </cell>
        </row>
        <row r="966">
          <cell r="BC966" t="str">
            <v>.</v>
          </cell>
        </row>
        <row r="967">
          <cell r="BC967" t="str">
            <v>.</v>
          </cell>
        </row>
        <row r="968">
          <cell r="BC968" t="str">
            <v>.</v>
          </cell>
        </row>
        <row r="969">
          <cell r="BC969" t="str">
            <v>.</v>
          </cell>
        </row>
        <row r="970">
          <cell r="BC970" t="str">
            <v>.</v>
          </cell>
        </row>
        <row r="971">
          <cell r="BC971" t="str">
            <v>.</v>
          </cell>
        </row>
        <row r="972">
          <cell r="BC972" t="str">
            <v>.</v>
          </cell>
        </row>
        <row r="973">
          <cell r="BC973" t="str">
            <v>.</v>
          </cell>
        </row>
        <row r="974">
          <cell r="BC974" t="str">
            <v>.</v>
          </cell>
        </row>
        <row r="975">
          <cell r="BC975" t="str">
            <v>.</v>
          </cell>
        </row>
        <row r="976">
          <cell r="BC976" t="str">
            <v>.</v>
          </cell>
        </row>
        <row r="977">
          <cell r="BC977" t="str">
            <v>.</v>
          </cell>
        </row>
        <row r="978">
          <cell r="BC978" t="str">
            <v>.</v>
          </cell>
        </row>
        <row r="979">
          <cell r="BC979" t="str">
            <v>.</v>
          </cell>
        </row>
        <row r="980">
          <cell r="BC980" t="str">
            <v>.</v>
          </cell>
        </row>
        <row r="981">
          <cell r="BC981" t="str">
            <v>.</v>
          </cell>
        </row>
        <row r="982">
          <cell r="BC982" t="str">
            <v>.</v>
          </cell>
        </row>
        <row r="983">
          <cell r="BC983" t="str">
            <v>.</v>
          </cell>
        </row>
        <row r="984">
          <cell r="BC984" t="str">
            <v>.</v>
          </cell>
        </row>
        <row r="985">
          <cell r="BC985" t="str">
            <v>.</v>
          </cell>
        </row>
        <row r="986">
          <cell r="BC986" t="str">
            <v>.</v>
          </cell>
        </row>
        <row r="987">
          <cell r="BC987" t="str">
            <v>.</v>
          </cell>
        </row>
        <row r="988">
          <cell r="BC988" t="str">
            <v>.</v>
          </cell>
        </row>
        <row r="989">
          <cell r="BC989" t="str">
            <v>.</v>
          </cell>
        </row>
        <row r="990">
          <cell r="BC990" t="str">
            <v>.</v>
          </cell>
        </row>
        <row r="991">
          <cell r="BC991" t="str">
            <v>.</v>
          </cell>
        </row>
        <row r="992">
          <cell r="BC992" t="str">
            <v>.</v>
          </cell>
        </row>
        <row r="993">
          <cell r="BC993" t="str">
            <v>.</v>
          </cell>
        </row>
        <row r="994">
          <cell r="BC994" t="str">
            <v>.</v>
          </cell>
        </row>
        <row r="995">
          <cell r="BC995" t="str">
            <v>.</v>
          </cell>
        </row>
        <row r="996">
          <cell r="BC996" t="str">
            <v>.</v>
          </cell>
        </row>
        <row r="997">
          <cell r="BC997" t="str">
            <v>.</v>
          </cell>
        </row>
        <row r="998">
          <cell r="A998" t="str">
            <v>.</v>
          </cell>
          <cell r="B998" t="str">
            <v>.</v>
          </cell>
          <cell r="C998" t="str">
            <v>.</v>
          </cell>
          <cell r="D998" t="str">
            <v>.</v>
          </cell>
          <cell r="E998" t="str">
            <v>.</v>
          </cell>
          <cell r="F998" t="str">
            <v>.</v>
          </cell>
          <cell r="Q998" t="str">
            <v>.</v>
          </cell>
          <cell r="R998" t="str">
            <v>.</v>
          </cell>
          <cell r="S998" t="str">
            <v>.</v>
          </cell>
          <cell r="T998" t="str">
            <v>.</v>
          </cell>
          <cell r="U998" t="str">
            <v>.</v>
          </cell>
          <cell r="V998" t="str">
            <v>.</v>
          </cell>
          <cell r="Z998" t="str">
            <v>.</v>
          </cell>
          <cell r="AB998" t="str">
            <v>.</v>
          </cell>
          <cell r="AC998" t="str">
            <v>.</v>
          </cell>
          <cell r="AD998" t="str">
            <v>.</v>
          </cell>
          <cell r="AE998" t="str">
            <v>.</v>
          </cell>
          <cell r="AF998" t="str">
            <v>.</v>
          </cell>
          <cell r="AG998" t="str">
            <v>.</v>
          </cell>
          <cell r="AH998" t="str">
            <v>.</v>
          </cell>
          <cell r="AI998" t="str">
            <v>.</v>
          </cell>
          <cell r="AJ998" t="str">
            <v>.</v>
          </cell>
          <cell r="AK998" t="str">
            <v>.</v>
          </cell>
          <cell r="AL998" t="str">
            <v>.</v>
          </cell>
          <cell r="AM998" t="str">
            <v>.</v>
          </cell>
          <cell r="AN998" t="str">
            <v>.</v>
          </cell>
          <cell r="AO998" t="str">
            <v>.</v>
          </cell>
          <cell r="AP998" t="str">
            <v>.</v>
          </cell>
          <cell r="AQ998" t="str">
            <v>.</v>
          </cell>
          <cell r="AR998" t="str">
            <v>.</v>
          </cell>
          <cell r="AS998" t="str">
            <v>.</v>
          </cell>
          <cell r="AT998" t="str">
            <v>.</v>
          </cell>
          <cell r="AU998" t="str">
            <v>.</v>
          </cell>
          <cell r="AV998" t="str">
            <v>.</v>
          </cell>
          <cell r="AW998" t="str">
            <v>.</v>
          </cell>
          <cell r="AX998" t="str">
            <v>.</v>
          </cell>
          <cell r="AY998" t="str">
            <v>.</v>
          </cell>
          <cell r="AZ998" t="str">
            <v>.</v>
          </cell>
          <cell r="BA998" t="str">
            <v>.</v>
          </cell>
          <cell r="BB998" t="str">
            <v>.</v>
          </cell>
          <cell r="BC998" t="str">
            <v>.</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hello"/>
      <sheetName val="Repurchases"/>
      <sheetName val="Advert Comps"/>
      <sheetName val="A$ US-GAAP Financials"/>
      <sheetName val="GAAP Conversion"/>
      <sheetName val="ROIC &amp; FCF Template"/>
      <sheetName val="Drivers"/>
      <sheetName val="TV Syndication"/>
      <sheetName val="GOOG"/>
      <sheetName val="FMV'07"/>
      <sheetName val="FMV'06"/>
      <sheetName val="FMV'05"/>
      <sheetName val="TV Guide"/>
      <sheetName val=" Fox Comps"/>
      <sheetName val="Quarterly Releases"/>
      <sheetName val="Theatrical Ultimates"/>
      <sheetName val="Programming Costs"/>
      <sheetName val="Television Broadcasting"/>
      <sheetName val="TV Production"/>
      <sheetName val="Total Multichannel subs"/>
      <sheetName val="BIA Station Data"/>
      <sheetName val="Television - US$ Summary"/>
      <sheetName val="Sports Reserve"/>
      <sheetName val="Station Group"/>
      <sheetName val="Sheet2"/>
      <sheetName val="Sheet3"/>
    </sheetNames>
    <sheetDataSet>
      <sheetData sheetId="0"/>
      <sheetData sheetId="1" refreshError="1">
        <row r="1">
          <cell r="A1" t="str">
            <v>Fox Entertainment Group, Inc.</v>
          </cell>
        </row>
        <row r="2">
          <cell r="A2" t="str">
            <v>Revenue and Operating Income Comparisons</v>
          </cell>
        </row>
        <row r="4">
          <cell r="A4" t="str">
            <v>($ Millions)</v>
          </cell>
          <cell r="H4" t="str">
            <v>Pro Forma</v>
          </cell>
          <cell r="K4" t="str">
            <v xml:space="preserve"> EITF 09-1/</v>
          </cell>
          <cell r="N4" t="str">
            <v xml:space="preserve"> EITF 09-1/</v>
          </cell>
          <cell r="O4" t="str">
            <v>PF</v>
          </cell>
          <cell r="Q4" t="str">
            <v xml:space="preserve"> EITF 09-1/</v>
          </cell>
          <cell r="R4" t="str">
            <v>PF</v>
          </cell>
          <cell r="AK4" t="str">
            <v>F1998</v>
          </cell>
          <cell r="AP4" t="str">
            <v>F1999</v>
          </cell>
          <cell r="AU4" t="str">
            <v>F2000</v>
          </cell>
          <cell r="AZ4" t="str">
            <v>F2001</v>
          </cell>
          <cell r="BE4" t="str">
            <v>F2001 Pro Forma  EITF 09-1/FAS 142</v>
          </cell>
          <cell r="BJ4" t="str">
            <v>F2002</v>
          </cell>
          <cell r="BO4" t="str">
            <v>F2002 Pro Forma FAS 142</v>
          </cell>
          <cell r="BT4" t="str">
            <v>F2003</v>
          </cell>
          <cell r="BY4" t="str">
            <v>F2004</v>
          </cell>
          <cell r="CD4" t="str">
            <v>F2005E</v>
          </cell>
          <cell r="CI4" t="str">
            <v>F2006</v>
          </cell>
          <cell r="CN4" t="str">
            <v>F2007E</v>
          </cell>
        </row>
        <row r="5">
          <cell r="B5">
            <v>1994</v>
          </cell>
          <cell r="C5">
            <v>1995</v>
          </cell>
          <cell r="D5">
            <v>1996</v>
          </cell>
          <cell r="E5">
            <v>1997</v>
          </cell>
          <cell r="F5">
            <v>1998</v>
          </cell>
          <cell r="G5">
            <v>1999</v>
          </cell>
          <cell r="H5">
            <v>1998</v>
          </cell>
          <cell r="I5">
            <v>1999</v>
          </cell>
          <cell r="J5">
            <v>2000</v>
          </cell>
          <cell r="K5" t="str">
            <v>Adj</v>
          </cell>
          <cell r="L5">
            <v>2000</v>
          </cell>
          <cell r="M5">
            <v>2001</v>
          </cell>
          <cell r="N5" t="str">
            <v>Adj</v>
          </cell>
          <cell r="O5">
            <v>2001</v>
          </cell>
          <cell r="P5">
            <v>2002</v>
          </cell>
          <cell r="Q5" t="str">
            <v>Adj</v>
          </cell>
          <cell r="R5">
            <v>2002</v>
          </cell>
          <cell r="S5">
            <v>2003</v>
          </cell>
          <cell r="T5">
            <v>2004</v>
          </cell>
          <cell r="U5">
            <v>2005</v>
          </cell>
          <cell r="V5">
            <v>2006</v>
          </cell>
          <cell r="W5" t="str">
            <v>2007E</v>
          </cell>
          <cell r="X5" t="str">
            <v>2008E</v>
          </cell>
          <cell r="Y5" t="str">
            <v>2009E</v>
          </cell>
          <cell r="Z5" t="str">
            <v>2010E</v>
          </cell>
          <cell r="AA5" t="str">
            <v>2011E</v>
          </cell>
          <cell r="AB5" t="str">
            <v>2012E</v>
          </cell>
          <cell r="AC5" t="str">
            <v>2013E</v>
          </cell>
          <cell r="AD5" t="str">
            <v>2014E</v>
          </cell>
          <cell r="AE5" t="str">
            <v>2015E</v>
          </cell>
          <cell r="AF5" t="str">
            <v>2016E</v>
          </cell>
          <cell r="AG5" t="str">
            <v>2017E</v>
          </cell>
          <cell r="AH5" t="str">
            <v>2018E</v>
          </cell>
          <cell r="AK5" t="str">
            <v>1Q</v>
          </cell>
          <cell r="AL5" t="str">
            <v>2Q</v>
          </cell>
          <cell r="AM5" t="str">
            <v>3Q</v>
          </cell>
          <cell r="AN5" t="str">
            <v>4Q</v>
          </cell>
          <cell r="AP5" t="str">
            <v>1Q</v>
          </cell>
          <cell r="AQ5" t="str">
            <v>2Q</v>
          </cell>
          <cell r="AR5" t="str">
            <v>3Q</v>
          </cell>
          <cell r="AS5" t="str">
            <v>4Q</v>
          </cell>
          <cell r="AU5" t="str">
            <v>1Q</v>
          </cell>
          <cell r="AV5" t="str">
            <v>2Q</v>
          </cell>
          <cell r="AW5" t="str">
            <v>3Q</v>
          </cell>
          <cell r="AX5" t="str">
            <v>4Q</v>
          </cell>
          <cell r="AZ5" t="str">
            <v>1Q</v>
          </cell>
          <cell r="BA5" t="str">
            <v>2Q</v>
          </cell>
          <cell r="BB5" t="str">
            <v>3Q</v>
          </cell>
          <cell r="BC5" t="str">
            <v>4Q</v>
          </cell>
          <cell r="BE5" t="str">
            <v>1Q</v>
          </cell>
          <cell r="BF5" t="str">
            <v>2Q</v>
          </cell>
          <cell r="BG5" t="str">
            <v>3Q</v>
          </cell>
          <cell r="BH5" t="str">
            <v>4Q</v>
          </cell>
          <cell r="BJ5" t="str">
            <v>1Q</v>
          </cell>
          <cell r="BK5" t="str">
            <v>2Q</v>
          </cell>
          <cell r="BL5" t="str">
            <v>3Q</v>
          </cell>
          <cell r="BM5" t="str">
            <v>4Q</v>
          </cell>
          <cell r="BO5" t="str">
            <v>1Q</v>
          </cell>
          <cell r="BP5" t="str">
            <v>2Q</v>
          </cell>
          <cell r="BQ5" t="str">
            <v>3Q</v>
          </cell>
          <cell r="BR5" t="str">
            <v>4Q</v>
          </cell>
          <cell r="BT5" t="str">
            <v>1Q</v>
          </cell>
          <cell r="BU5" t="str">
            <v>2Q</v>
          </cell>
          <cell r="BV5" t="str">
            <v>3Q</v>
          </cell>
          <cell r="BW5" t="str">
            <v>4Q</v>
          </cell>
          <cell r="BY5" t="str">
            <v>1Q</v>
          </cell>
          <cell r="BZ5" t="str">
            <v>2Q</v>
          </cell>
          <cell r="CA5" t="str">
            <v>3Q</v>
          </cell>
          <cell r="CB5" t="str">
            <v>4Q</v>
          </cell>
          <cell r="CD5" t="str">
            <v>1Q</v>
          </cell>
          <cell r="CE5" t="str">
            <v>2Q</v>
          </cell>
          <cell r="CF5" t="str">
            <v>3Q</v>
          </cell>
          <cell r="CG5" t="str">
            <v>4Q</v>
          </cell>
          <cell r="CI5" t="str">
            <v>1Q</v>
          </cell>
          <cell r="CJ5" t="str">
            <v>2Q</v>
          </cell>
          <cell r="CK5" t="str">
            <v>3Q</v>
          </cell>
          <cell r="CL5" t="str">
            <v>4Q</v>
          </cell>
          <cell r="CN5" t="str">
            <v>1Q</v>
          </cell>
          <cell r="CO5" t="str">
            <v>2Q</v>
          </cell>
          <cell r="CP5" t="str">
            <v>3Q</v>
          </cell>
          <cell r="CQ5" t="str">
            <v>4QE</v>
          </cell>
        </row>
        <row r="6">
          <cell r="A6" t="str">
            <v>Cable Networks</v>
          </cell>
        </row>
        <row r="7">
          <cell r="A7" t="str">
            <v xml:space="preserve">     Revenue</v>
          </cell>
          <cell r="B7">
            <v>0</v>
          </cell>
          <cell r="C7">
            <v>0</v>
          </cell>
          <cell r="D7">
            <v>0</v>
          </cell>
          <cell r="E7">
            <v>37</v>
          </cell>
          <cell r="F7">
            <v>72</v>
          </cell>
          <cell r="G7">
            <v>129</v>
          </cell>
          <cell r="H7">
            <v>136</v>
          </cell>
          <cell r="I7">
            <v>311</v>
          </cell>
          <cell r="J7">
            <v>1250</v>
          </cell>
          <cell r="K7">
            <v>-70</v>
          </cell>
          <cell r="L7">
            <v>1180</v>
          </cell>
          <cell r="M7">
            <v>1455</v>
          </cell>
          <cell r="N7">
            <v>-90</v>
          </cell>
          <cell r="O7">
            <v>1365</v>
          </cell>
          <cell r="P7">
            <v>1808</v>
          </cell>
          <cell r="Q7">
            <v>-54</v>
          </cell>
          <cell r="R7">
            <v>1754</v>
          </cell>
          <cell r="S7">
            <v>2145</v>
          </cell>
          <cell r="T7">
            <v>2409</v>
          </cell>
          <cell r="U7">
            <v>2688</v>
          </cell>
          <cell r="V7">
            <v>3358</v>
          </cell>
          <cell r="W7">
            <v>3798.8517314602582</v>
          </cell>
          <cell r="X7">
            <v>4096.2704117469812</v>
          </cell>
          <cell r="Y7">
            <v>4379.0243827254326</v>
          </cell>
          <cell r="Z7">
            <v>4667.8568440575309</v>
          </cell>
          <cell r="AA7">
            <v>4969.2289232239091</v>
          </cell>
          <cell r="AB7">
            <v>5279.7683011271956</v>
          </cell>
          <cell r="AC7">
            <v>5599.7167346200067</v>
          </cell>
          <cell r="AD7">
            <v>5941.0049489319408</v>
          </cell>
          <cell r="AE7">
            <v>6305.5550824611601</v>
          </cell>
          <cell r="AF7">
            <v>6695.3938449992847</v>
          </cell>
          <cell r="AG7">
            <v>7112.6837230098281</v>
          </cell>
          <cell r="AH7">
            <v>7559.749134138362</v>
          </cell>
          <cell r="AK7">
            <v>14.385999999999999</v>
          </cell>
          <cell r="AL7">
            <v>15.154</v>
          </cell>
          <cell r="AM7">
            <v>20.067</v>
          </cell>
          <cell r="AN7">
            <v>22.393000000000008</v>
          </cell>
          <cell r="AP7">
            <v>90</v>
          </cell>
          <cell r="AQ7">
            <v>51</v>
          </cell>
          <cell r="AR7">
            <v>57</v>
          </cell>
          <cell r="AS7">
            <v>113</v>
          </cell>
          <cell r="AU7">
            <v>302</v>
          </cell>
          <cell r="AV7">
            <v>289</v>
          </cell>
          <cell r="AW7">
            <v>273</v>
          </cell>
          <cell r="AX7">
            <v>386.00000000000006</v>
          </cell>
          <cell r="AZ7">
            <v>365</v>
          </cell>
          <cell r="BA7">
            <v>314</v>
          </cell>
          <cell r="BB7">
            <v>339</v>
          </cell>
          <cell r="BC7">
            <v>437</v>
          </cell>
          <cell r="BE7">
            <v>341</v>
          </cell>
          <cell r="BF7">
            <v>290</v>
          </cell>
          <cell r="BG7">
            <v>317</v>
          </cell>
          <cell r="BH7">
            <v>411</v>
          </cell>
          <cell r="BJ7">
            <v>436</v>
          </cell>
          <cell r="BK7">
            <v>404</v>
          </cell>
          <cell r="BL7">
            <v>435</v>
          </cell>
          <cell r="BM7">
            <v>533</v>
          </cell>
          <cell r="BO7">
            <v>410</v>
          </cell>
          <cell r="BP7">
            <v>376</v>
          </cell>
          <cell r="BQ7">
            <v>435</v>
          </cell>
          <cell r="BR7">
            <v>533</v>
          </cell>
          <cell r="BT7">
            <v>523</v>
          </cell>
          <cell r="BU7">
            <v>470</v>
          </cell>
          <cell r="BV7">
            <v>515</v>
          </cell>
          <cell r="BW7">
            <v>637</v>
          </cell>
          <cell r="BY7">
            <v>596</v>
          </cell>
          <cell r="BZ7">
            <v>565</v>
          </cell>
          <cell r="CA7">
            <v>580</v>
          </cell>
          <cell r="CB7">
            <v>668</v>
          </cell>
          <cell r="CC7">
            <v>0</v>
          </cell>
          <cell r="CD7">
            <v>600</v>
          </cell>
          <cell r="CE7">
            <v>624</v>
          </cell>
          <cell r="CF7">
            <v>633</v>
          </cell>
          <cell r="CG7">
            <v>831</v>
          </cell>
          <cell r="CH7">
            <v>0</v>
          </cell>
          <cell r="CI7">
            <v>775</v>
          </cell>
          <cell r="CJ7">
            <v>810</v>
          </cell>
          <cell r="CK7">
            <v>839</v>
          </cell>
          <cell r="CL7">
            <v>934</v>
          </cell>
          <cell r="CM7">
            <v>0</v>
          </cell>
          <cell r="CN7">
            <v>889</v>
          </cell>
          <cell r="CO7">
            <v>920</v>
          </cell>
          <cell r="CP7">
            <v>998</v>
          </cell>
          <cell r="CQ7">
            <v>991.85173146025818</v>
          </cell>
          <cell r="CR7">
            <v>0</v>
          </cell>
        </row>
        <row r="8">
          <cell r="A8" t="str">
            <v xml:space="preserve">     % Growth</v>
          </cell>
          <cell r="B8" t="str">
            <v>NM</v>
          </cell>
          <cell r="C8" t="str">
            <v>NM</v>
          </cell>
          <cell r="D8" t="str">
            <v>NM</v>
          </cell>
          <cell r="E8" t="str">
            <v>NM</v>
          </cell>
          <cell r="F8">
            <v>0.94594594594594605</v>
          </cell>
          <cell r="G8">
            <v>0.79166666666666674</v>
          </cell>
          <cell r="H8">
            <v>5.4263565891472965E-2</v>
          </cell>
          <cell r="I8">
            <v>1.2867647058823528</v>
          </cell>
          <cell r="J8">
            <v>8.6899224806201545</v>
          </cell>
          <cell r="L8">
            <v>2.7942122186495175</v>
          </cell>
          <cell r="M8">
            <v>0.16399999999999992</v>
          </cell>
          <cell r="O8">
            <v>0.15677966101694918</v>
          </cell>
          <cell r="P8">
            <v>0.24261168384879728</v>
          </cell>
          <cell r="R8">
            <v>0.28498168498168508</v>
          </cell>
          <cell r="S8">
            <v>0.18639380530973448</v>
          </cell>
          <cell r="T8">
            <v>0.12307692307692308</v>
          </cell>
          <cell r="U8">
            <v>0.11581569115815693</v>
          </cell>
          <cell r="V8">
            <v>0.24925595238095233</v>
          </cell>
          <cell r="W8">
            <v>0.13128401770704534</v>
          </cell>
          <cell r="X8">
            <v>7.8291731636600748E-2</v>
          </cell>
          <cell r="Y8">
            <v>6.9027174125904978E-2</v>
          </cell>
          <cell r="Z8">
            <v>6.595817608860477E-2</v>
          </cell>
          <cell r="AA8">
            <v>6.4563265163121608E-2</v>
          </cell>
          <cell r="AB8">
            <v>6.2492467684869046E-2</v>
          </cell>
          <cell r="AC8">
            <v>6.0598953447351889E-2</v>
          </cell>
          <cell r="AD8">
            <v>6.0947406893269163E-2</v>
          </cell>
          <cell r="AE8">
            <v>6.1361694976328485E-2</v>
          </cell>
          <cell r="AF8">
            <v>6.1824654204109208E-2</v>
          </cell>
          <cell r="AG8">
            <v>6.2324918842856736E-2</v>
          </cell>
          <cell r="AH8">
            <v>6.2854673220216206E-2</v>
          </cell>
          <cell r="AP8">
            <v>5.2560823022382879</v>
          </cell>
          <cell r="AQ8">
            <v>2.3654480665170912</v>
          </cell>
          <cell r="AR8">
            <v>1.8404843773359247</v>
          </cell>
          <cell r="AS8">
            <v>4.0462198008306149</v>
          </cell>
          <cell r="AU8">
            <v>2.3555555555555556</v>
          </cell>
          <cell r="AV8">
            <v>4.666666666666667</v>
          </cell>
          <cell r="AW8">
            <v>3.7894736842105265</v>
          </cell>
          <cell r="AX8">
            <v>2.4159292035398234</v>
          </cell>
          <cell r="AZ8">
            <v>0.20860927152317887</v>
          </cell>
          <cell r="BA8">
            <v>8.6505190311418678E-2</v>
          </cell>
          <cell r="BB8">
            <v>0.24175824175824179</v>
          </cell>
          <cell r="BC8">
            <v>0.13212435233160602</v>
          </cell>
          <cell r="BJ8">
            <v>0.19452054794520546</v>
          </cell>
          <cell r="BK8">
            <v>0.28662420382165599</v>
          </cell>
          <cell r="BL8">
            <v>0.2831858407079646</v>
          </cell>
          <cell r="BM8">
            <v>0.21967963386727685</v>
          </cell>
          <cell r="BO8">
            <v>0.20234604105571852</v>
          </cell>
          <cell r="BP8">
            <v>0.29655172413793096</v>
          </cell>
          <cell r="BQ8">
            <v>0.37223974763406931</v>
          </cell>
          <cell r="BR8">
            <v>0.29683698296836991</v>
          </cell>
          <cell r="BT8">
            <v>0.275609756097561</v>
          </cell>
          <cell r="BU8">
            <v>0.25</v>
          </cell>
          <cell r="BV8">
            <v>0.18390804597701149</v>
          </cell>
          <cell r="BW8">
            <v>0.19512195121951215</v>
          </cell>
          <cell r="BY8">
            <v>0.1395793499043978</v>
          </cell>
          <cell r="BZ8">
            <v>0.2021276595744681</v>
          </cell>
          <cell r="CA8">
            <v>0.12621359223300965</v>
          </cell>
          <cell r="CB8">
            <v>4.8665620094191508E-2</v>
          </cell>
          <cell r="CD8">
            <v>6.7114093959732557E-3</v>
          </cell>
          <cell r="CE8">
            <v>0.10442477876106193</v>
          </cell>
          <cell r="CF8">
            <v>9.1379310344827491E-2</v>
          </cell>
          <cell r="CG8">
            <v>0.24401197604790426</v>
          </cell>
          <cell r="CI8">
            <v>0.29166666666666674</v>
          </cell>
          <cell r="CJ8">
            <v>0.29807692307692313</v>
          </cell>
          <cell r="CK8">
            <v>0.32543443917851511</v>
          </cell>
          <cell r="CL8">
            <v>0.12394705174488574</v>
          </cell>
          <cell r="CN8">
            <v>0.1470967741935485</v>
          </cell>
          <cell r="CO8">
            <v>0.13580246913580241</v>
          </cell>
          <cell r="CP8">
            <v>0.18951132300357565</v>
          </cell>
          <cell r="CQ8">
            <v>6.1939755310769007E-2</v>
          </cell>
        </row>
        <row r="9">
          <cell r="A9" t="str">
            <v xml:space="preserve">     EBITDA</v>
          </cell>
          <cell r="B9">
            <v>0</v>
          </cell>
          <cell r="C9">
            <v>0</v>
          </cell>
          <cell r="D9">
            <v>0</v>
          </cell>
          <cell r="E9">
            <v>-123</v>
          </cell>
          <cell r="F9">
            <v>-96</v>
          </cell>
          <cell r="G9">
            <v>-72</v>
          </cell>
          <cell r="H9">
            <v>-96</v>
          </cell>
          <cell r="I9">
            <v>-77</v>
          </cell>
          <cell r="J9">
            <v>107</v>
          </cell>
          <cell r="K9">
            <v>0</v>
          </cell>
          <cell r="L9">
            <v>107</v>
          </cell>
          <cell r="M9">
            <v>148.99999999999997</v>
          </cell>
          <cell r="N9">
            <v>0</v>
          </cell>
          <cell r="O9">
            <v>149</v>
          </cell>
          <cell r="P9">
            <v>243</v>
          </cell>
          <cell r="Q9">
            <v>0</v>
          </cell>
          <cell r="R9">
            <v>243</v>
          </cell>
          <cell r="S9">
            <v>472</v>
          </cell>
          <cell r="T9">
            <v>658</v>
          </cell>
          <cell r="U9">
            <v>858</v>
          </cell>
          <cell r="V9">
            <v>1018</v>
          </cell>
          <cell r="W9">
            <v>1155.4135235815866</v>
          </cell>
          <cell r="X9">
            <v>1366.0845135036836</v>
          </cell>
          <cell r="Y9">
            <v>1523.0909124075426</v>
          </cell>
          <cell r="Z9">
            <v>1625.7357768082823</v>
          </cell>
          <cell r="AA9">
            <v>1729.1824235996712</v>
          </cell>
          <cell r="AB9">
            <v>1839.1388893639519</v>
          </cell>
          <cell r="AC9">
            <v>1951.9934654185151</v>
          </cell>
          <cell r="AD9">
            <v>2069.1214971865311</v>
          </cell>
          <cell r="AE9">
            <v>2190.6206622783557</v>
          </cell>
          <cell r="AF9">
            <v>2316.5570597402575</v>
          </cell>
          <cell r="AG9">
            <v>2446.9657791617969</v>
          </cell>
          <cell r="AH9">
            <v>2581.8492847492789</v>
          </cell>
          <cell r="AK9">
            <v>-28.93</v>
          </cell>
          <cell r="AL9">
            <v>-22.033999999999999</v>
          </cell>
          <cell r="AM9">
            <v>-24.225999999999999</v>
          </cell>
          <cell r="AN9">
            <v>-20.809999999999995</v>
          </cell>
          <cell r="AP9">
            <v>-15</v>
          </cell>
          <cell r="AQ9">
            <v>-24</v>
          </cell>
          <cell r="AR9">
            <v>-15</v>
          </cell>
          <cell r="AS9">
            <v>-23</v>
          </cell>
          <cell r="AU9">
            <v>38</v>
          </cell>
          <cell r="AV9">
            <v>32</v>
          </cell>
          <cell r="AW9">
            <v>28</v>
          </cell>
          <cell r="AX9">
            <v>9</v>
          </cell>
          <cell r="AZ9">
            <v>50</v>
          </cell>
          <cell r="BA9">
            <v>56</v>
          </cell>
          <cell r="BB9">
            <v>35</v>
          </cell>
          <cell r="BC9">
            <v>8</v>
          </cell>
          <cell r="BE9">
            <v>50</v>
          </cell>
          <cell r="BF9">
            <v>56</v>
          </cell>
          <cell r="BG9">
            <v>35</v>
          </cell>
          <cell r="BH9">
            <v>8</v>
          </cell>
          <cell r="BJ9">
            <v>43</v>
          </cell>
          <cell r="BK9">
            <v>73</v>
          </cell>
          <cell r="BL9">
            <v>83</v>
          </cell>
          <cell r="BM9">
            <v>44</v>
          </cell>
          <cell r="BO9">
            <v>43</v>
          </cell>
          <cell r="BP9">
            <v>73</v>
          </cell>
          <cell r="BQ9">
            <v>83</v>
          </cell>
          <cell r="BR9">
            <v>44</v>
          </cell>
          <cell r="BT9">
            <v>128</v>
          </cell>
          <cell r="BU9">
            <v>132</v>
          </cell>
          <cell r="BV9">
            <v>106</v>
          </cell>
          <cell r="BW9">
            <v>106</v>
          </cell>
          <cell r="BY9">
            <v>143</v>
          </cell>
          <cell r="BZ9">
            <v>198</v>
          </cell>
          <cell r="CA9">
            <v>152</v>
          </cell>
          <cell r="CB9">
            <v>165</v>
          </cell>
          <cell r="CC9">
            <v>0</v>
          </cell>
          <cell r="CD9">
            <v>206</v>
          </cell>
          <cell r="CE9">
            <v>265</v>
          </cell>
          <cell r="CF9">
            <v>211</v>
          </cell>
          <cell r="CG9">
            <v>177</v>
          </cell>
          <cell r="CH9">
            <v>-1</v>
          </cell>
          <cell r="CI9">
            <v>236</v>
          </cell>
          <cell r="CJ9">
            <v>301</v>
          </cell>
          <cell r="CK9">
            <v>249</v>
          </cell>
          <cell r="CL9">
            <v>232</v>
          </cell>
          <cell r="CM9">
            <v>0</v>
          </cell>
          <cell r="CN9">
            <v>285</v>
          </cell>
          <cell r="CO9">
            <v>305</v>
          </cell>
          <cell r="CP9">
            <v>314</v>
          </cell>
          <cell r="CQ9">
            <v>251.41352358158701</v>
          </cell>
          <cell r="CR9">
            <v>0</v>
          </cell>
        </row>
        <row r="10">
          <cell r="A10" t="str">
            <v xml:space="preserve">     % Growth</v>
          </cell>
          <cell r="L10" t="str">
            <v>NM</v>
          </cell>
          <cell r="O10">
            <v>0.39252336448598135</v>
          </cell>
          <cell r="R10">
            <v>0.63087248322147649</v>
          </cell>
          <cell r="S10">
            <v>0.9423868312757202</v>
          </cell>
          <cell r="T10">
            <v>0.39406779661016955</v>
          </cell>
          <cell r="U10">
            <v>0.30395136778115495</v>
          </cell>
          <cell r="V10">
            <v>0.18648018648018638</v>
          </cell>
          <cell r="W10">
            <v>0.13498381491314992</v>
          </cell>
          <cell r="X10">
            <v>0.18233384465593994</v>
          </cell>
          <cell r="Y10">
            <v>0.11493168786547092</v>
          </cell>
          <cell r="Z10">
            <v>6.7392473794285479E-2</v>
          </cell>
          <cell r="AA10">
            <v>6.3630663892062511E-2</v>
          </cell>
          <cell r="AB10">
            <v>6.3588701957415283E-2</v>
          </cell>
          <cell r="AC10">
            <v>6.136272616887184E-2</v>
          </cell>
          <cell r="AD10">
            <v>6.0004315507738326E-2</v>
          </cell>
          <cell r="AE10">
            <v>5.8720169529451027E-2</v>
          </cell>
          <cell r="AF10">
            <v>5.7488911535656495E-2</v>
          </cell>
          <cell r="AG10">
            <v>5.6294196973573074E-2</v>
          </cell>
          <cell r="AH10">
            <v>5.5122759270334498E-2</v>
          </cell>
          <cell r="BO10">
            <v>-0.14000000000000001</v>
          </cell>
          <cell r="BP10">
            <v>0.3035714285714286</v>
          </cell>
          <cell r="BQ10">
            <v>1.3714285714285714</v>
          </cell>
          <cell r="BR10">
            <v>4.5</v>
          </cell>
          <cell r="BT10">
            <v>1.9767441860465116</v>
          </cell>
          <cell r="BU10">
            <v>0.80821917808219168</v>
          </cell>
          <cell r="BV10">
            <v>0.27710843373493965</v>
          </cell>
          <cell r="BW10">
            <v>1.4090909090909092</v>
          </cell>
          <cell r="BY10">
            <v>0.1171875</v>
          </cell>
          <cell r="BZ10">
            <v>0.5</v>
          </cell>
          <cell r="CA10">
            <v>0.4339622641509433</v>
          </cell>
          <cell r="CB10">
            <v>0.55660377358490565</v>
          </cell>
          <cell r="CD10">
            <v>0.44055944055944063</v>
          </cell>
          <cell r="CE10">
            <v>0.33838383838383845</v>
          </cell>
          <cell r="CF10">
            <v>0.38815789473684204</v>
          </cell>
          <cell r="CG10">
            <v>7.2727272727272751E-2</v>
          </cell>
          <cell r="CI10">
            <v>0.14563106796116498</v>
          </cell>
          <cell r="CJ10">
            <v>0.13584905660377355</v>
          </cell>
          <cell r="CK10">
            <v>0.1800947867298579</v>
          </cell>
          <cell r="CL10">
            <v>0.31073446327683607</v>
          </cell>
          <cell r="CN10">
            <v>0.20762711864406769</v>
          </cell>
          <cell r="CO10">
            <v>1.3289036544850585E-2</v>
          </cell>
          <cell r="CP10">
            <v>0.26104417670682722</v>
          </cell>
          <cell r="CQ10">
            <v>8.3678980955116389E-2</v>
          </cell>
        </row>
        <row r="11">
          <cell r="A11" t="str">
            <v xml:space="preserve">     Launch Fee Amortization</v>
          </cell>
          <cell r="J11">
            <v>0</v>
          </cell>
          <cell r="K11">
            <v>70</v>
          </cell>
          <cell r="L11">
            <v>70</v>
          </cell>
          <cell r="M11">
            <v>0</v>
          </cell>
          <cell r="N11">
            <v>98</v>
          </cell>
          <cell r="O11">
            <v>98</v>
          </cell>
          <cell r="P11">
            <v>62</v>
          </cell>
          <cell r="Q11">
            <v>54</v>
          </cell>
          <cell r="R11">
            <v>116</v>
          </cell>
          <cell r="S11">
            <v>125</v>
          </cell>
          <cell r="T11">
            <v>129</v>
          </cell>
          <cell r="U11">
            <v>117</v>
          </cell>
          <cell r="V11">
            <v>103</v>
          </cell>
          <cell r="W11">
            <v>76</v>
          </cell>
          <cell r="X11">
            <v>58</v>
          </cell>
          <cell r="Y11">
            <v>28</v>
          </cell>
          <cell r="Z11">
            <v>18</v>
          </cell>
          <cell r="AA11">
            <v>8</v>
          </cell>
          <cell r="AB11">
            <v>0</v>
          </cell>
          <cell r="AC11">
            <v>0</v>
          </cell>
          <cell r="AD11">
            <v>0</v>
          </cell>
          <cell r="AE11">
            <v>0</v>
          </cell>
          <cell r="AF11">
            <v>0</v>
          </cell>
          <cell r="AG11">
            <v>0</v>
          </cell>
          <cell r="AH11">
            <v>0</v>
          </cell>
          <cell r="AZ11">
            <v>0</v>
          </cell>
          <cell r="BA11">
            <v>0</v>
          </cell>
          <cell r="BB11">
            <v>0</v>
          </cell>
          <cell r="BC11">
            <v>0</v>
          </cell>
          <cell r="BE11">
            <v>24</v>
          </cell>
          <cell r="BF11">
            <v>24</v>
          </cell>
          <cell r="BG11">
            <v>24</v>
          </cell>
          <cell r="BH11">
            <v>26</v>
          </cell>
          <cell r="BJ11">
            <v>0</v>
          </cell>
          <cell r="BK11">
            <v>0</v>
          </cell>
          <cell r="BL11">
            <v>30</v>
          </cell>
          <cell r="BM11">
            <v>32</v>
          </cell>
          <cell r="BO11">
            <v>26</v>
          </cell>
          <cell r="BP11">
            <v>28</v>
          </cell>
          <cell r="BQ11">
            <v>30</v>
          </cell>
          <cell r="BR11">
            <v>32</v>
          </cell>
          <cell r="BT11">
            <v>31</v>
          </cell>
          <cell r="BU11">
            <v>32</v>
          </cell>
          <cell r="BV11">
            <v>31</v>
          </cell>
          <cell r="BW11">
            <v>31</v>
          </cell>
          <cell r="BY11">
            <v>31</v>
          </cell>
          <cell r="BZ11">
            <v>32</v>
          </cell>
          <cell r="CA11">
            <v>31</v>
          </cell>
          <cell r="CB11">
            <v>35</v>
          </cell>
          <cell r="CD11">
            <v>29</v>
          </cell>
          <cell r="CE11">
            <v>28</v>
          </cell>
          <cell r="CF11">
            <v>29</v>
          </cell>
          <cell r="CG11">
            <v>31</v>
          </cell>
          <cell r="CH11">
            <v>0</v>
          </cell>
          <cell r="CI11">
            <v>27</v>
          </cell>
          <cell r="CJ11">
            <v>26</v>
          </cell>
          <cell r="CK11">
            <v>25</v>
          </cell>
          <cell r="CL11">
            <v>25</v>
          </cell>
          <cell r="CM11">
            <v>0</v>
          </cell>
          <cell r="CN11">
            <v>23</v>
          </cell>
          <cell r="CO11">
            <v>16</v>
          </cell>
          <cell r="CP11">
            <v>17</v>
          </cell>
          <cell r="CQ11">
            <v>20</v>
          </cell>
          <cell r="CR11">
            <v>0</v>
          </cell>
        </row>
        <row r="12">
          <cell r="A12" t="str">
            <v xml:space="preserve">     Adjusted EBITDA</v>
          </cell>
          <cell r="J12">
            <v>107</v>
          </cell>
          <cell r="L12">
            <v>37</v>
          </cell>
          <cell r="M12">
            <v>148.99999999999997</v>
          </cell>
          <cell r="O12">
            <v>51</v>
          </cell>
          <cell r="P12">
            <v>181</v>
          </cell>
          <cell r="R12">
            <v>127</v>
          </cell>
          <cell r="S12">
            <v>347</v>
          </cell>
          <cell r="T12">
            <v>529</v>
          </cell>
          <cell r="U12">
            <v>741</v>
          </cell>
          <cell r="V12">
            <v>915</v>
          </cell>
          <cell r="W12">
            <v>1079.4135235815866</v>
          </cell>
          <cell r="X12">
            <v>1308.0845135036836</v>
          </cell>
          <cell r="Y12">
            <v>1495.0909124075426</v>
          </cell>
          <cell r="Z12">
            <v>1607.7357768082823</v>
          </cell>
          <cell r="AA12">
            <v>1721.1824235996712</v>
          </cell>
          <cell r="AB12">
            <v>1839.1388893639519</v>
          </cell>
          <cell r="AC12">
            <v>1951.9934654185151</v>
          </cell>
          <cell r="AD12">
            <v>2069.1214971865311</v>
          </cell>
          <cell r="AE12">
            <v>2190.6206622783557</v>
          </cell>
          <cell r="AF12">
            <v>2316.5570597402575</v>
          </cell>
          <cell r="AG12">
            <v>2446.9657791617969</v>
          </cell>
          <cell r="AH12">
            <v>2581.8492847492789</v>
          </cell>
          <cell r="AZ12">
            <v>50</v>
          </cell>
          <cell r="BA12">
            <v>56</v>
          </cell>
          <cell r="BB12">
            <v>35</v>
          </cell>
          <cell r="BC12">
            <v>8</v>
          </cell>
          <cell r="BE12">
            <v>26</v>
          </cell>
          <cell r="BF12">
            <v>32</v>
          </cell>
          <cell r="BG12">
            <v>11</v>
          </cell>
          <cell r="BH12">
            <v>-18</v>
          </cell>
          <cell r="BJ12">
            <v>43</v>
          </cell>
          <cell r="BK12">
            <v>73</v>
          </cell>
          <cell r="BL12">
            <v>53</v>
          </cell>
          <cell r="BM12">
            <v>12</v>
          </cell>
          <cell r="BO12">
            <v>17</v>
          </cell>
          <cell r="BP12">
            <v>45</v>
          </cell>
          <cell r="BQ12">
            <v>53</v>
          </cell>
          <cell r="BR12">
            <v>12</v>
          </cell>
          <cell r="BT12">
            <v>97</v>
          </cell>
          <cell r="BU12">
            <v>100</v>
          </cell>
          <cell r="BV12">
            <v>75</v>
          </cell>
          <cell r="BW12">
            <v>75</v>
          </cell>
          <cell r="BY12">
            <v>112</v>
          </cell>
          <cell r="BZ12">
            <v>166</v>
          </cell>
          <cell r="CA12">
            <v>121</v>
          </cell>
          <cell r="CB12">
            <v>130</v>
          </cell>
          <cell r="CC12">
            <v>0</v>
          </cell>
          <cell r="CD12">
            <v>177</v>
          </cell>
          <cell r="CE12">
            <v>237</v>
          </cell>
          <cell r="CF12">
            <v>182</v>
          </cell>
          <cell r="CG12">
            <v>146</v>
          </cell>
          <cell r="CI12">
            <v>209</v>
          </cell>
          <cell r="CJ12">
            <v>275</v>
          </cell>
          <cell r="CK12">
            <v>224</v>
          </cell>
          <cell r="CL12">
            <v>207</v>
          </cell>
          <cell r="CM12">
            <v>0</v>
          </cell>
          <cell r="CN12">
            <v>262</v>
          </cell>
          <cell r="CO12">
            <v>289</v>
          </cell>
          <cell r="CP12">
            <v>297</v>
          </cell>
          <cell r="CQ12">
            <v>231.41352358158701</v>
          </cell>
          <cell r="CR12">
            <v>0</v>
          </cell>
        </row>
        <row r="13">
          <cell r="A13" t="str">
            <v xml:space="preserve">     Adjusted EBITDA Margin</v>
          </cell>
          <cell r="B13" t="str">
            <v>NM</v>
          </cell>
          <cell r="C13" t="str">
            <v>NM</v>
          </cell>
          <cell r="D13" t="str">
            <v>NM</v>
          </cell>
          <cell r="E13">
            <v>-3.3243243243243241</v>
          </cell>
          <cell r="F13">
            <v>-1.3333333333333333</v>
          </cell>
          <cell r="G13">
            <v>-0.55813953488372092</v>
          </cell>
          <cell r="H13">
            <v>-0.70588235294117652</v>
          </cell>
          <cell r="I13">
            <v>-0.24758842443729903</v>
          </cell>
          <cell r="J13">
            <v>8.5599999999999996E-2</v>
          </cell>
          <cell r="L13">
            <v>3.1355932203389829E-2</v>
          </cell>
          <cell r="M13">
            <v>0.10240549828178692</v>
          </cell>
          <cell r="O13">
            <v>3.7362637362637362E-2</v>
          </cell>
          <cell r="P13">
            <v>0.10011061946902655</v>
          </cell>
          <cell r="R13">
            <v>7.2405929304446975E-2</v>
          </cell>
          <cell r="S13">
            <v>0.16177156177156177</v>
          </cell>
          <cell r="T13">
            <v>0.21959319219593193</v>
          </cell>
          <cell r="U13">
            <v>0.27566964285714285</v>
          </cell>
          <cell r="V13">
            <v>0.2724836212030971</v>
          </cell>
          <cell r="W13">
            <v>0.28414205130524162</v>
          </cell>
          <cell r="X13">
            <v>0.31933548863191641</v>
          </cell>
          <cell r="Y13">
            <v>0.34142100653868079</v>
          </cell>
          <cell r="Z13">
            <v>0.34442696734691614</v>
          </cell>
          <cell r="AA13">
            <v>0.34636810865276296</v>
          </cell>
          <cell r="AB13">
            <v>0.34833704520164416</v>
          </cell>
          <cell r="AC13">
            <v>0.34858789433944043</v>
          </cell>
          <cell r="AD13">
            <v>0.34827802955432863</v>
          </cell>
          <cell r="AE13">
            <v>0.34741123241814914</v>
          </cell>
          <cell r="AF13">
            <v>0.34599265007695823</v>
          </cell>
          <cell r="AG13">
            <v>0.34402848129543012</v>
          </cell>
          <cell r="AH13">
            <v>0.34152578861250144</v>
          </cell>
          <cell r="AK13" t="str">
            <v>NM</v>
          </cell>
          <cell r="AL13" t="str">
            <v>NM</v>
          </cell>
          <cell r="AM13" t="str">
            <v>NM</v>
          </cell>
          <cell r="AN13" t="str">
            <v>NM</v>
          </cell>
          <cell r="AP13" t="str">
            <v>NM</v>
          </cell>
          <cell r="AQ13" t="str">
            <v>NM</v>
          </cell>
          <cell r="AR13" t="str">
            <v>NM</v>
          </cell>
          <cell r="AS13" t="str">
            <v>NM</v>
          </cell>
          <cell r="AU13">
            <v>0.12582781456953643</v>
          </cell>
          <cell r="AV13">
            <v>0.11072664359861592</v>
          </cell>
          <cell r="AW13">
            <v>0.10256410256410256</v>
          </cell>
          <cell r="AX13">
            <v>2.3316062176165799E-2</v>
          </cell>
          <cell r="AZ13">
            <v>0.13698630136986301</v>
          </cell>
          <cell r="BA13">
            <v>0.17834394904458598</v>
          </cell>
          <cell r="BB13">
            <v>0.10324483775811209</v>
          </cell>
          <cell r="BC13">
            <v>1.8306636155606407E-2</v>
          </cell>
          <cell r="BE13">
            <v>7.6246334310850442E-2</v>
          </cell>
          <cell r="BF13">
            <v>0.1103448275862069</v>
          </cell>
          <cell r="BG13">
            <v>3.4700315457413249E-2</v>
          </cell>
          <cell r="BH13">
            <v>-4.3795620437956206E-2</v>
          </cell>
          <cell r="BJ13">
            <v>9.862385321100918E-2</v>
          </cell>
          <cell r="BK13">
            <v>0.18069306930693069</v>
          </cell>
          <cell r="BL13">
            <v>0.12183908045977011</v>
          </cell>
          <cell r="BM13">
            <v>2.2514071294559099E-2</v>
          </cell>
          <cell r="BO13">
            <v>4.1463414634146344E-2</v>
          </cell>
          <cell r="BP13">
            <v>0.11968085106382979</v>
          </cell>
          <cell r="BQ13">
            <v>0.12183908045977011</v>
          </cell>
          <cell r="BR13">
            <v>2.2514071294559099E-2</v>
          </cell>
          <cell r="BT13">
            <v>0.18546845124282982</v>
          </cell>
          <cell r="BU13">
            <v>0.21276595744680851</v>
          </cell>
          <cell r="BV13">
            <v>0.14563106796116504</v>
          </cell>
          <cell r="BW13">
            <v>0.11773940345368916</v>
          </cell>
          <cell r="BY13">
            <v>0.18791946308724833</v>
          </cell>
          <cell r="BZ13">
            <v>0.2938053097345133</v>
          </cell>
          <cell r="CA13">
            <v>0.20862068965517241</v>
          </cell>
          <cell r="CB13">
            <v>0.19461077844311378</v>
          </cell>
          <cell r="CD13">
            <v>0.29499999999999998</v>
          </cell>
          <cell r="CE13">
            <v>0.37980769230769229</v>
          </cell>
          <cell r="CF13">
            <v>0.28751974723538704</v>
          </cell>
          <cell r="CG13">
            <v>0.17569193742478942</v>
          </cell>
          <cell r="CI13">
            <v>0.26967741935483869</v>
          </cell>
          <cell r="CJ13">
            <v>0.33950617283950618</v>
          </cell>
          <cell r="CK13">
            <v>0.26698450536352802</v>
          </cell>
          <cell r="CL13">
            <v>0.22162740899357602</v>
          </cell>
          <cell r="CN13">
            <v>0.29471316085489313</v>
          </cell>
          <cell r="CO13">
            <v>0.31413043478260871</v>
          </cell>
          <cell r="CP13">
            <v>0.29759519038076154</v>
          </cell>
          <cell r="CQ13">
            <v>0.23331463387263277</v>
          </cell>
        </row>
        <row r="14">
          <cell r="A14" t="str">
            <v xml:space="preserve">     EBITA</v>
          </cell>
          <cell r="B14">
            <v>0</v>
          </cell>
          <cell r="C14">
            <v>0</v>
          </cell>
          <cell r="D14">
            <v>0</v>
          </cell>
          <cell r="E14">
            <v>-129.69999999999999</v>
          </cell>
          <cell r="F14">
            <v>-107.9</v>
          </cell>
          <cell r="G14">
            <v>-85.3</v>
          </cell>
          <cell r="H14">
            <v>-107.9</v>
          </cell>
          <cell r="I14">
            <v>-90.3</v>
          </cell>
          <cell r="J14">
            <v>72</v>
          </cell>
          <cell r="K14">
            <v>-70</v>
          </cell>
          <cell r="L14">
            <v>2</v>
          </cell>
          <cell r="M14">
            <v>102.99999999999997</v>
          </cell>
          <cell r="N14">
            <v>-97.999999999999972</v>
          </cell>
          <cell r="O14">
            <v>5</v>
          </cell>
          <cell r="P14">
            <v>130.36792823600518</v>
          </cell>
          <cell r="Q14">
            <v>-54</v>
          </cell>
          <cell r="R14">
            <v>76.367928236005184</v>
          </cell>
          <cell r="S14">
            <v>300</v>
          </cell>
          <cell r="T14">
            <v>488</v>
          </cell>
          <cell r="U14">
            <v>702</v>
          </cell>
          <cell r="V14">
            <v>864</v>
          </cell>
          <cell r="W14">
            <v>1026.8394754215865</v>
          </cell>
          <cell r="X14">
            <v>1253.8383538124835</v>
          </cell>
          <cell r="Y14">
            <v>1439.0678345779586</v>
          </cell>
          <cell r="Z14">
            <v>1549.8237601826274</v>
          </cell>
          <cell r="AA14">
            <v>1661.2617297103404</v>
          </cell>
          <cell r="AB14">
            <v>1777.0815229230891</v>
          </cell>
          <cell r="AC14">
            <v>1887.6625975893205</v>
          </cell>
          <cell r="AD14">
            <v>2002.3708484960464</v>
          </cell>
          <cell r="AE14">
            <v>2121.2938423467585</v>
          </cell>
          <cell r="AF14">
            <v>2244.4868608039419</v>
          </cell>
          <cell r="AG14">
            <v>2371.9734201559377</v>
          </cell>
          <cell r="AH14">
            <v>2503.7436024891676</v>
          </cell>
          <cell r="AK14">
            <v>-30.045999999999999</v>
          </cell>
          <cell r="AL14">
            <v>-24.373000000000005</v>
          </cell>
          <cell r="AM14">
            <v>-28.245000000000005</v>
          </cell>
          <cell r="AN14">
            <v>-25.236000000000004</v>
          </cell>
          <cell r="AP14">
            <v>-18</v>
          </cell>
          <cell r="AQ14">
            <v>-27</v>
          </cell>
          <cell r="AR14">
            <v>-19</v>
          </cell>
          <cell r="AS14">
            <v>-26.299999999999997</v>
          </cell>
          <cell r="AU14">
            <v>29</v>
          </cell>
          <cell r="AV14">
            <v>23</v>
          </cell>
          <cell r="AW14">
            <v>19</v>
          </cell>
          <cell r="AX14">
            <v>1</v>
          </cell>
          <cell r="AZ14">
            <v>40</v>
          </cell>
          <cell r="BA14">
            <v>22</v>
          </cell>
          <cell r="BB14">
            <v>1</v>
          </cell>
          <cell r="BC14">
            <v>-34</v>
          </cell>
          <cell r="BE14">
            <v>16</v>
          </cell>
          <cell r="BF14">
            <v>22</v>
          </cell>
          <cell r="BG14">
            <v>1</v>
          </cell>
          <cell r="BH14">
            <v>-34</v>
          </cell>
          <cell r="BJ14">
            <v>22.812472937037739</v>
          </cell>
          <cell r="BK14">
            <v>52.812472937037739</v>
          </cell>
          <cell r="BL14">
            <v>32.812472937037739</v>
          </cell>
          <cell r="BM14">
            <v>-8.1875270629622641</v>
          </cell>
          <cell r="BO14">
            <v>4.3419820590012961</v>
          </cell>
          <cell r="BP14">
            <v>32.341982059001296</v>
          </cell>
          <cell r="BQ14">
            <v>40.341982059001296</v>
          </cell>
          <cell r="BR14">
            <v>-0.65801794099870747</v>
          </cell>
          <cell r="BT14">
            <v>83</v>
          </cell>
          <cell r="BU14">
            <v>89</v>
          </cell>
          <cell r="BV14">
            <v>64</v>
          </cell>
          <cell r="BW14">
            <v>64</v>
          </cell>
          <cell r="BY14">
            <v>102</v>
          </cell>
          <cell r="BZ14">
            <v>155</v>
          </cell>
          <cell r="CA14">
            <v>111</v>
          </cell>
          <cell r="CB14">
            <v>120</v>
          </cell>
          <cell r="CC14">
            <v>0</v>
          </cell>
          <cell r="CD14">
            <v>167</v>
          </cell>
          <cell r="CE14">
            <v>227</v>
          </cell>
          <cell r="CF14">
            <v>172</v>
          </cell>
          <cell r="CG14">
            <v>137</v>
          </cell>
          <cell r="CH14">
            <v>-1</v>
          </cell>
          <cell r="CI14">
            <v>197</v>
          </cell>
          <cell r="CJ14">
            <v>262</v>
          </cell>
          <cell r="CK14">
            <v>211</v>
          </cell>
          <cell r="CL14">
            <v>194</v>
          </cell>
          <cell r="CM14">
            <v>0</v>
          </cell>
          <cell r="CN14">
            <v>249</v>
          </cell>
          <cell r="CO14">
            <v>275</v>
          </cell>
          <cell r="CP14">
            <v>282</v>
          </cell>
          <cell r="CQ14">
            <v>220.839475421587</v>
          </cell>
          <cell r="CR14">
            <v>0</v>
          </cell>
        </row>
        <row r="15">
          <cell r="A15" t="str">
            <v xml:space="preserve">     EBITA Margin</v>
          </cell>
          <cell r="B15" t="str">
            <v>NM</v>
          </cell>
          <cell r="C15" t="str">
            <v>NM</v>
          </cell>
          <cell r="D15" t="str">
            <v>NM</v>
          </cell>
          <cell r="E15">
            <v>-3.5054054054054049</v>
          </cell>
          <cell r="F15">
            <v>-1.4986111111111111</v>
          </cell>
          <cell r="G15">
            <v>-0.66124031007751938</v>
          </cell>
          <cell r="H15">
            <v>-0.79338235294117654</v>
          </cell>
          <cell r="I15">
            <v>-0.29035369774919612</v>
          </cell>
          <cell r="J15">
            <v>5.7599999999999998E-2</v>
          </cell>
          <cell r="L15">
            <v>1.6949152542372881E-3</v>
          </cell>
          <cell r="M15">
            <v>7.0790378006872837E-2</v>
          </cell>
          <cell r="P15">
            <v>7.2106154997790481E-2</v>
          </cell>
          <cell r="R15">
            <v>4.3539297740025761E-2</v>
          </cell>
          <cell r="S15">
            <v>0.13986013986013987</v>
          </cell>
          <cell r="T15">
            <v>0.20257368202573681</v>
          </cell>
          <cell r="U15">
            <v>0.2611607142857143</v>
          </cell>
          <cell r="V15">
            <v>0.25729600952948184</v>
          </cell>
          <cell r="W15">
            <v>0.27030259352261554</v>
          </cell>
          <cell r="X15">
            <v>0.30609267157188125</v>
          </cell>
          <cell r="Y15">
            <v>0.32862749982732603</v>
          </cell>
          <cell r="Z15">
            <v>0.33202041364135843</v>
          </cell>
          <cell r="AA15">
            <v>0.33430976020170072</v>
          </cell>
          <cell r="AB15">
            <v>0.33658324031827191</v>
          </cell>
          <cell r="AC15">
            <v>0.33709965825930588</v>
          </cell>
          <cell r="AD15">
            <v>0.33704244748290063</v>
          </cell>
          <cell r="AE15">
            <v>0.33641666984198054</v>
          </cell>
          <cell r="AF15">
            <v>0.33522850376909852</v>
          </cell>
          <cell r="AG15">
            <v>0.33348501248305262</v>
          </cell>
          <cell r="AH15">
            <v>0.33119400631731899</v>
          </cell>
          <cell r="AK15" t="str">
            <v>NM</v>
          </cell>
          <cell r="AL15" t="str">
            <v>NM</v>
          </cell>
          <cell r="AM15" t="str">
            <v>NM</v>
          </cell>
          <cell r="AN15" t="str">
            <v>NM</v>
          </cell>
          <cell r="AP15" t="str">
            <v>NM</v>
          </cell>
          <cell r="AQ15" t="str">
            <v>NM</v>
          </cell>
          <cell r="AR15" t="str">
            <v>NM</v>
          </cell>
          <cell r="AS15" t="str">
            <v>NM</v>
          </cell>
          <cell r="AU15">
            <v>9.602649006622517E-2</v>
          </cell>
          <cell r="AV15">
            <v>7.9584775086505188E-2</v>
          </cell>
          <cell r="AW15">
            <v>6.95970695970696E-2</v>
          </cell>
          <cell r="AX15">
            <v>2.5906735751295333E-3</v>
          </cell>
          <cell r="AZ15">
            <v>0.1095890410958904</v>
          </cell>
          <cell r="BA15">
            <v>7.0063694267515922E-2</v>
          </cell>
          <cell r="BB15">
            <v>2.9498525073746312E-3</v>
          </cell>
          <cell r="BC15">
            <v>-7.780320366132723E-2</v>
          </cell>
          <cell r="BE15">
            <v>4.6920821114369501E-2</v>
          </cell>
          <cell r="BF15">
            <v>7.586206896551724E-2</v>
          </cell>
          <cell r="BG15">
            <v>3.1545741324921135E-3</v>
          </cell>
          <cell r="BH15">
            <v>-8.2725060827250604E-2</v>
          </cell>
          <cell r="BJ15">
            <v>5.2322185635407657E-2</v>
          </cell>
          <cell r="BK15">
            <v>0.13072394291345976</v>
          </cell>
          <cell r="BL15">
            <v>7.5430972269052279E-2</v>
          </cell>
          <cell r="BM15">
            <v>-1.5361214001805373E-2</v>
          </cell>
          <cell r="BO15">
            <v>1.05902001439056E-2</v>
          </cell>
          <cell r="BP15">
            <v>8.6015909731386425E-2</v>
          </cell>
          <cell r="BQ15">
            <v>9.2740188641382296E-2</v>
          </cell>
          <cell r="BR15">
            <v>-1.2345552363953235E-3</v>
          </cell>
          <cell r="BT15">
            <v>0.1586998087954111</v>
          </cell>
          <cell r="BU15">
            <v>0.18936170212765957</v>
          </cell>
          <cell r="BV15">
            <v>0.12427184466019417</v>
          </cell>
          <cell r="BW15">
            <v>0.10047095761381476</v>
          </cell>
          <cell r="BY15">
            <v>0.17114093959731544</v>
          </cell>
          <cell r="BZ15">
            <v>0.27433628318584069</v>
          </cell>
          <cell r="CA15">
            <v>0.19137931034482758</v>
          </cell>
          <cell r="CB15">
            <v>0.17964071856287425</v>
          </cell>
          <cell r="CD15">
            <v>0.27833333333333332</v>
          </cell>
          <cell r="CE15">
            <v>0.36378205128205127</v>
          </cell>
          <cell r="CF15">
            <v>0.27172195892575041</v>
          </cell>
          <cell r="CG15">
            <v>0.16486161251504211</v>
          </cell>
          <cell r="CI15">
            <v>0.25419354838709679</v>
          </cell>
          <cell r="CJ15">
            <v>0.32345679012345679</v>
          </cell>
          <cell r="CK15">
            <v>0.25148986889153757</v>
          </cell>
          <cell r="CL15">
            <v>0.20770877944325483</v>
          </cell>
          <cell r="CN15">
            <v>0.28008998875140606</v>
          </cell>
          <cell r="CO15">
            <v>0.29891304347826086</v>
          </cell>
          <cell r="CP15">
            <v>0.28256513026052105</v>
          </cell>
          <cell r="CQ15">
            <v>0.22265371770481773</v>
          </cell>
        </row>
        <row r="16">
          <cell r="A16" t="str">
            <v xml:space="preserve">     Operating Income</v>
          </cell>
          <cell r="B16">
            <v>0</v>
          </cell>
          <cell r="C16">
            <v>0</v>
          </cell>
          <cell r="D16">
            <v>0</v>
          </cell>
          <cell r="E16">
            <v>-148</v>
          </cell>
          <cell r="F16">
            <v>-141</v>
          </cell>
          <cell r="G16">
            <v>-129</v>
          </cell>
          <cell r="H16">
            <v>-141</v>
          </cell>
          <cell r="I16">
            <v>-153</v>
          </cell>
          <cell r="J16">
            <v>-75</v>
          </cell>
          <cell r="K16">
            <v>0</v>
          </cell>
          <cell r="L16">
            <v>-75</v>
          </cell>
          <cell r="M16">
            <v>-59.000000000000028</v>
          </cell>
          <cell r="N16">
            <v>0</v>
          </cell>
          <cell r="O16">
            <v>-59</v>
          </cell>
          <cell r="P16">
            <v>6</v>
          </cell>
          <cell r="Q16">
            <v>0</v>
          </cell>
          <cell r="R16">
            <v>6</v>
          </cell>
          <cell r="S16">
            <v>300</v>
          </cell>
          <cell r="T16">
            <v>488</v>
          </cell>
          <cell r="U16">
            <v>702</v>
          </cell>
          <cell r="V16">
            <v>864</v>
          </cell>
          <cell r="W16">
            <v>1026.8394754215865</v>
          </cell>
          <cell r="X16">
            <v>1253.8383538124835</v>
          </cell>
          <cell r="Y16">
            <v>1439.0678345779586</v>
          </cell>
          <cell r="Z16">
            <v>1549.8237601826274</v>
          </cell>
          <cell r="AA16">
            <v>1661.2617297103404</v>
          </cell>
          <cell r="AB16">
            <v>1777.0815229230891</v>
          </cell>
          <cell r="AC16">
            <v>1887.6625975893205</v>
          </cell>
          <cell r="AD16">
            <v>2002.3708484960464</v>
          </cell>
          <cell r="AE16">
            <v>2121.2938423467585</v>
          </cell>
          <cell r="AF16">
            <v>2244.4868608039419</v>
          </cell>
          <cell r="AG16">
            <v>2371.9734201559377</v>
          </cell>
          <cell r="AH16">
            <v>2503.7436024891676</v>
          </cell>
          <cell r="AK16">
            <v>-38.320999999999998</v>
          </cell>
          <cell r="AL16">
            <v>-32.648000000000003</v>
          </cell>
          <cell r="AM16">
            <v>-36.520000000000003</v>
          </cell>
          <cell r="AN16">
            <v>-33.511000000000003</v>
          </cell>
          <cell r="AP16">
            <v>-29</v>
          </cell>
          <cell r="AQ16">
            <v>-38</v>
          </cell>
          <cell r="AR16">
            <v>-41</v>
          </cell>
          <cell r="AS16">
            <v>-45</v>
          </cell>
          <cell r="AU16">
            <v>-3</v>
          </cell>
          <cell r="AV16">
            <v>-12</v>
          </cell>
          <cell r="AW16">
            <v>-18</v>
          </cell>
          <cell r="AX16">
            <v>-42</v>
          </cell>
          <cell r="AZ16">
            <v>-1</v>
          </cell>
          <cell r="BA16">
            <v>4</v>
          </cell>
          <cell r="BB16">
            <v>-18</v>
          </cell>
          <cell r="BC16">
            <v>-44</v>
          </cell>
          <cell r="BE16">
            <v>-1</v>
          </cell>
          <cell r="BF16">
            <v>4</v>
          </cell>
          <cell r="BG16">
            <v>-18</v>
          </cell>
          <cell r="BH16">
            <v>-44</v>
          </cell>
          <cell r="BJ16">
            <v>-16</v>
          </cell>
          <cell r="BK16">
            <v>17</v>
          </cell>
          <cell r="BL16">
            <v>23</v>
          </cell>
          <cell r="BM16">
            <v>-18</v>
          </cell>
          <cell r="BO16">
            <v>-16</v>
          </cell>
          <cell r="BP16">
            <v>17</v>
          </cell>
          <cell r="BQ16">
            <v>23</v>
          </cell>
          <cell r="BR16">
            <v>-18</v>
          </cell>
          <cell r="BT16">
            <v>83</v>
          </cell>
          <cell r="BU16">
            <v>89</v>
          </cell>
          <cell r="BV16">
            <v>64</v>
          </cell>
          <cell r="BW16">
            <v>64</v>
          </cell>
          <cell r="BY16">
            <v>102</v>
          </cell>
          <cell r="BZ16">
            <v>155</v>
          </cell>
          <cell r="CA16">
            <v>111</v>
          </cell>
          <cell r="CB16">
            <v>120</v>
          </cell>
          <cell r="CC16">
            <v>0</v>
          </cell>
          <cell r="CD16">
            <v>166</v>
          </cell>
          <cell r="CE16">
            <v>227</v>
          </cell>
          <cell r="CF16">
            <v>172</v>
          </cell>
          <cell r="CG16">
            <v>137</v>
          </cell>
          <cell r="CH16">
            <v>0</v>
          </cell>
          <cell r="CI16">
            <v>197</v>
          </cell>
          <cell r="CJ16">
            <v>262</v>
          </cell>
          <cell r="CK16">
            <v>211</v>
          </cell>
          <cell r="CL16">
            <v>194</v>
          </cell>
          <cell r="CM16">
            <v>0</v>
          </cell>
          <cell r="CN16">
            <v>249</v>
          </cell>
          <cell r="CO16">
            <v>275</v>
          </cell>
          <cell r="CP16">
            <v>282</v>
          </cell>
          <cell r="CQ16">
            <v>220.839475421587</v>
          </cell>
          <cell r="CR16">
            <v>0</v>
          </cell>
        </row>
        <row r="17">
          <cell r="A17" t="str">
            <v xml:space="preserve">     Operating Income Margin</v>
          </cell>
          <cell r="B17" t="str">
            <v>NM</v>
          </cell>
          <cell r="C17" t="str">
            <v>NM</v>
          </cell>
          <cell r="D17" t="str">
            <v>NM</v>
          </cell>
          <cell r="E17">
            <v>-4</v>
          </cell>
          <cell r="F17">
            <v>-1.9583333333333333</v>
          </cell>
          <cell r="G17">
            <v>-1</v>
          </cell>
          <cell r="H17">
            <v>-1.036764705882353</v>
          </cell>
          <cell r="I17">
            <v>-0.49196141479099681</v>
          </cell>
          <cell r="J17">
            <v>-0.06</v>
          </cell>
          <cell r="M17">
            <v>-4.0549828178694181E-2</v>
          </cell>
          <cell r="P17">
            <v>3.3185840707964601E-3</v>
          </cell>
          <cell r="R17">
            <v>3.4207525655644243E-3</v>
          </cell>
          <cell r="S17">
            <v>0.13986013986013987</v>
          </cell>
          <cell r="T17">
            <v>0.20257368202573681</v>
          </cell>
          <cell r="U17">
            <v>0.2611607142857143</v>
          </cell>
          <cell r="V17">
            <v>0.25729600952948184</v>
          </cell>
          <cell r="W17">
            <v>0.27030259352261554</v>
          </cell>
          <cell r="X17">
            <v>0.30609267157188125</v>
          </cell>
          <cell r="Y17">
            <v>0.32862749982732603</v>
          </cell>
          <cell r="Z17">
            <v>0.33202041364135843</v>
          </cell>
          <cell r="AA17">
            <v>0.33430976020170072</v>
          </cell>
          <cell r="AB17">
            <v>0.33658324031827191</v>
          </cell>
          <cell r="AC17">
            <v>0.33709965825930588</v>
          </cell>
          <cell r="AD17">
            <v>0.33704244748290063</v>
          </cell>
          <cell r="AE17">
            <v>0.33641666984198054</v>
          </cell>
          <cell r="AF17">
            <v>0.33522850376909852</v>
          </cell>
          <cell r="AG17">
            <v>0.33348501248305262</v>
          </cell>
          <cell r="AH17">
            <v>0.33119400631731899</v>
          </cell>
          <cell r="AK17" t="str">
            <v>NM</v>
          </cell>
          <cell r="AL17" t="str">
            <v>NM</v>
          </cell>
          <cell r="AM17" t="str">
            <v>NM</v>
          </cell>
          <cell r="AN17" t="str">
            <v>NM</v>
          </cell>
          <cell r="AP17" t="str">
            <v>NM</v>
          </cell>
          <cell r="AQ17" t="str">
            <v>NM</v>
          </cell>
          <cell r="AR17" t="str">
            <v>NM</v>
          </cell>
          <cell r="AS17" t="str">
            <v>NM</v>
          </cell>
          <cell r="AU17" t="str">
            <v>NM</v>
          </cell>
          <cell r="AV17" t="str">
            <v>NM</v>
          </cell>
          <cell r="AW17" t="str">
            <v>NM</v>
          </cell>
          <cell r="AX17">
            <v>-0.1088082901554404</v>
          </cell>
          <cell r="AZ17">
            <v>-2.7397260273972603E-3</v>
          </cell>
          <cell r="BA17">
            <v>1.2738853503184714E-2</v>
          </cell>
          <cell r="BB17">
            <v>-5.3097345132743362E-2</v>
          </cell>
          <cell r="BC17">
            <v>-0.10068649885583524</v>
          </cell>
          <cell r="BE17">
            <v>-2.9325513196480938E-3</v>
          </cell>
          <cell r="BF17">
            <v>1.3793103448275862E-2</v>
          </cell>
          <cell r="BG17">
            <v>-5.6782334384858045E-2</v>
          </cell>
          <cell r="BH17">
            <v>-0.1070559610705596</v>
          </cell>
          <cell r="BJ17">
            <v>-3.669724770642202E-2</v>
          </cell>
          <cell r="BK17">
            <v>4.2079207920792082E-2</v>
          </cell>
          <cell r="BL17">
            <v>5.2873563218390804E-2</v>
          </cell>
          <cell r="BM17">
            <v>-3.3771106941838651E-2</v>
          </cell>
          <cell r="BO17">
            <v>-3.9024390243902439E-2</v>
          </cell>
          <cell r="BP17">
            <v>4.5212765957446811E-2</v>
          </cell>
          <cell r="BQ17">
            <v>5.2873563218390804E-2</v>
          </cell>
          <cell r="BR17">
            <v>-3.3771106941838651E-2</v>
          </cell>
          <cell r="BT17">
            <v>0.1586998087954111</v>
          </cell>
          <cell r="BU17">
            <v>0.18936170212765957</v>
          </cell>
          <cell r="BV17">
            <v>0.12427184466019417</v>
          </cell>
          <cell r="BW17">
            <v>0.10047095761381476</v>
          </cell>
          <cell r="BY17">
            <v>0.17114093959731544</v>
          </cell>
          <cell r="BZ17">
            <v>0.27433628318584069</v>
          </cell>
          <cell r="CA17">
            <v>0.19137931034482758</v>
          </cell>
          <cell r="CB17">
            <v>0.17964071856287425</v>
          </cell>
          <cell r="CD17">
            <v>0.27666666666666667</v>
          </cell>
          <cell r="CE17">
            <v>0.36378205128205127</v>
          </cell>
          <cell r="CF17">
            <v>0.27172195892575041</v>
          </cell>
          <cell r="CG17">
            <v>0.16486161251504211</v>
          </cell>
          <cell r="CI17">
            <v>0.25419354838709679</v>
          </cell>
          <cell r="CJ17">
            <v>0.32345679012345679</v>
          </cell>
          <cell r="CK17">
            <v>0.25148986889153757</v>
          </cell>
          <cell r="CL17">
            <v>0.20770877944325483</v>
          </cell>
          <cell r="CN17">
            <v>0.28008998875140606</v>
          </cell>
          <cell r="CO17">
            <v>0.29891304347826086</v>
          </cell>
          <cell r="CP17">
            <v>0.28256513026052105</v>
          </cell>
          <cell r="CQ17">
            <v>0.22265371770481773</v>
          </cell>
        </row>
        <row r="19">
          <cell r="A19" t="str">
            <v>Filmed Entertainment</v>
          </cell>
        </row>
        <row r="20">
          <cell r="A20" t="str">
            <v xml:space="preserve">     Revenue</v>
          </cell>
          <cell r="B20">
            <v>2094</v>
          </cell>
          <cell r="C20">
            <v>2215</v>
          </cell>
          <cell r="D20">
            <v>2324</v>
          </cell>
          <cell r="E20">
            <v>3112</v>
          </cell>
          <cell r="F20">
            <v>3876</v>
          </cell>
          <cell r="G20">
            <v>4416</v>
          </cell>
          <cell r="H20">
            <v>3876</v>
          </cell>
          <cell r="I20">
            <v>4416</v>
          </cell>
          <cell r="J20">
            <v>3856</v>
          </cell>
          <cell r="K20">
            <v>0</v>
          </cell>
          <cell r="L20">
            <v>3856</v>
          </cell>
          <cell r="M20">
            <v>3585</v>
          </cell>
          <cell r="O20">
            <v>3585</v>
          </cell>
          <cell r="P20">
            <v>4048</v>
          </cell>
          <cell r="Q20">
            <v>0</v>
          </cell>
          <cell r="R20">
            <v>4048</v>
          </cell>
          <cell r="S20">
            <v>4498</v>
          </cell>
          <cell r="T20">
            <v>5210</v>
          </cell>
          <cell r="U20">
            <v>5949</v>
          </cell>
          <cell r="V20">
            <v>6199</v>
          </cell>
          <cell r="W20">
            <v>6788.8386965433619</v>
          </cell>
          <cell r="X20">
            <v>7152.6368877395926</v>
          </cell>
          <cell r="Y20">
            <v>7423.4758131202998</v>
          </cell>
          <cell r="Z20">
            <v>7728.3314869011174</v>
          </cell>
          <cell r="AA20">
            <v>8021.0672564758543</v>
          </cell>
          <cell r="AB20">
            <v>8325.249381589696</v>
          </cell>
          <cell r="AC20">
            <v>8633.4458964454589</v>
          </cell>
          <cell r="AD20">
            <v>8953.3202568705274</v>
          </cell>
          <cell r="AE20">
            <v>9285.3247597036116</v>
          </cell>
          <cell r="AF20">
            <v>9629.9295751624322</v>
          </cell>
          <cell r="AG20">
            <v>9987.6234659288057</v>
          </cell>
          <cell r="AH20">
            <v>10358.914535621987</v>
          </cell>
          <cell r="AK20">
            <v>803</v>
          </cell>
          <cell r="AL20">
            <v>1003</v>
          </cell>
          <cell r="AM20">
            <v>1132</v>
          </cell>
          <cell r="AN20">
            <v>938</v>
          </cell>
          <cell r="AP20">
            <v>1062</v>
          </cell>
          <cell r="AQ20">
            <v>1470</v>
          </cell>
          <cell r="AR20">
            <v>812</v>
          </cell>
          <cell r="AS20">
            <v>1072</v>
          </cell>
          <cell r="AU20">
            <v>789</v>
          </cell>
          <cell r="AV20">
            <v>1073</v>
          </cell>
          <cell r="AW20">
            <v>805</v>
          </cell>
          <cell r="AX20">
            <v>1189</v>
          </cell>
          <cell r="AZ20">
            <v>731</v>
          </cell>
          <cell r="BA20">
            <v>1057</v>
          </cell>
          <cell r="BB20">
            <v>859</v>
          </cell>
          <cell r="BC20">
            <v>938</v>
          </cell>
          <cell r="BE20">
            <v>731</v>
          </cell>
          <cell r="BF20">
            <v>1057</v>
          </cell>
          <cell r="BG20">
            <v>859</v>
          </cell>
          <cell r="BH20">
            <v>938</v>
          </cell>
          <cell r="BJ20">
            <v>939</v>
          </cell>
          <cell r="BK20">
            <v>1117</v>
          </cell>
          <cell r="BL20">
            <v>1065</v>
          </cell>
          <cell r="BM20">
            <v>927</v>
          </cell>
          <cell r="BO20">
            <v>939</v>
          </cell>
          <cell r="BP20">
            <v>1117</v>
          </cell>
          <cell r="BQ20">
            <v>1065</v>
          </cell>
          <cell r="BR20">
            <v>927</v>
          </cell>
          <cell r="BT20">
            <v>883</v>
          </cell>
          <cell r="BU20">
            <v>1338</v>
          </cell>
          <cell r="BV20">
            <v>1171</v>
          </cell>
          <cell r="BW20">
            <v>1106</v>
          </cell>
          <cell r="BY20">
            <v>1250</v>
          </cell>
          <cell r="BZ20">
            <v>1384</v>
          </cell>
          <cell r="CA20">
            <v>1194</v>
          </cell>
          <cell r="CB20">
            <v>1382</v>
          </cell>
          <cell r="CC20">
            <v>0</v>
          </cell>
          <cell r="CD20">
            <v>1384</v>
          </cell>
          <cell r="CE20">
            <v>1879</v>
          </cell>
          <cell r="CF20">
            <v>1485</v>
          </cell>
          <cell r="CG20">
            <v>1201</v>
          </cell>
          <cell r="CH20">
            <v>0</v>
          </cell>
          <cell r="CI20">
            <v>1419</v>
          </cell>
          <cell r="CJ20">
            <v>1607</v>
          </cell>
          <cell r="CK20">
            <v>1388</v>
          </cell>
          <cell r="CL20">
            <v>1785</v>
          </cell>
          <cell r="CM20">
            <v>0</v>
          </cell>
          <cell r="CN20">
            <v>1213</v>
          </cell>
          <cell r="CO20">
            <v>2265</v>
          </cell>
          <cell r="CP20">
            <v>1802</v>
          </cell>
          <cell r="CQ20">
            <v>1508.8386965433635</v>
          </cell>
          <cell r="CR20">
            <v>0</v>
          </cell>
        </row>
        <row r="21">
          <cell r="A21" t="str">
            <v xml:space="preserve">     % Growth</v>
          </cell>
          <cell r="C21">
            <v>5.778414517669539E-2</v>
          </cell>
          <cell r="D21">
            <v>4.9209932279909774E-2</v>
          </cell>
          <cell r="E21">
            <v>0.3390705679862307</v>
          </cell>
          <cell r="F21">
            <v>0.24550128534704374</v>
          </cell>
          <cell r="G21">
            <v>0.13931888544891646</v>
          </cell>
          <cell r="H21">
            <v>-0.12228260869565222</v>
          </cell>
          <cell r="I21">
            <v>0.13931888544891646</v>
          </cell>
          <cell r="J21">
            <v>-0.12681159420289856</v>
          </cell>
          <cell r="L21">
            <v>-0.12681159420289856</v>
          </cell>
          <cell r="M21">
            <v>-7.028008298755184E-2</v>
          </cell>
          <cell r="O21">
            <v>-7.028008298755184E-2</v>
          </cell>
          <cell r="P21">
            <v>0.12914923291492331</v>
          </cell>
          <cell r="R21">
            <v>0.12914923291492331</v>
          </cell>
          <cell r="S21">
            <v>0.11116600790513842</v>
          </cell>
          <cell r="T21">
            <v>0.15829257447754563</v>
          </cell>
          <cell r="U21">
            <v>0.14184261036468326</v>
          </cell>
          <cell r="V21">
            <v>4.2023869557908933E-2</v>
          </cell>
          <cell r="W21">
            <v>9.5150620510301875E-2</v>
          </cell>
          <cell r="X21">
            <v>5.3587691129185933E-2</v>
          </cell>
          <cell r="Y21">
            <v>3.7865605318921691E-2</v>
          </cell>
          <cell r="Z21">
            <v>4.1066433225526833E-2</v>
          </cell>
          <cell r="AA21">
            <v>3.7878262606993562E-2</v>
          </cell>
          <cell r="AB21">
            <v>3.7922899208737926E-2</v>
          </cell>
          <cell r="AC21">
            <v>3.7019493438515294E-2</v>
          </cell>
          <cell r="AD21">
            <v>3.7050601146034534E-2</v>
          </cell>
          <cell r="AE21">
            <v>3.7081718659434104E-2</v>
          </cell>
          <cell r="AF21">
            <v>3.7112844663692801E-2</v>
          </cell>
          <cell r="AG21">
            <v>3.7143977842676978E-2</v>
          </cell>
          <cell r="AH21">
            <v>3.7175116879383907E-2</v>
          </cell>
          <cell r="AP21">
            <v>0.32254047322540469</v>
          </cell>
          <cell r="AQ21">
            <v>0.4656031904287139</v>
          </cell>
          <cell r="AR21">
            <v>-0.28268551236749118</v>
          </cell>
          <cell r="AS21">
            <v>0.14285714285714279</v>
          </cell>
          <cell r="AU21">
            <v>-0.25706214689265539</v>
          </cell>
          <cell r="AV21">
            <v>-0.2700680272108843</v>
          </cell>
          <cell r="AW21">
            <v>-8.6206896551723755E-3</v>
          </cell>
          <cell r="AX21">
            <v>0.10914179104477606</v>
          </cell>
          <cell r="AZ21">
            <v>-7.3510773130544993E-2</v>
          </cell>
          <cell r="BA21">
            <v>-1.491146318732528E-2</v>
          </cell>
          <cell r="BB21">
            <v>6.70807453416149E-2</v>
          </cell>
          <cell r="BC21">
            <v>-0.2111017661900757</v>
          </cell>
          <cell r="BJ21">
            <v>0.28454172366621067</v>
          </cell>
          <cell r="BK21">
            <v>5.6764427625354719E-2</v>
          </cell>
          <cell r="BL21">
            <v>0.23981373690337593</v>
          </cell>
          <cell r="BM21">
            <v>-1.1727078891258014E-2</v>
          </cell>
          <cell r="BO21">
            <v>0.28454172366621067</v>
          </cell>
          <cell r="BP21">
            <v>5.6764427625354719E-2</v>
          </cell>
          <cell r="BQ21">
            <v>0.23981373690337593</v>
          </cell>
          <cell r="BR21">
            <v>-1.1727078891258014E-2</v>
          </cell>
          <cell r="BT21">
            <v>-5.9637912673056404E-2</v>
          </cell>
          <cell r="BU21">
            <v>0.19785138764547905</v>
          </cell>
          <cell r="BV21">
            <v>9.9530516431924898E-2</v>
          </cell>
          <cell r="BW21">
            <v>0.1930960086299891</v>
          </cell>
          <cell r="BY21">
            <v>0.41562853907134767</v>
          </cell>
          <cell r="BZ21">
            <v>3.4379671150971625E-2</v>
          </cell>
          <cell r="CA21">
            <v>1.9641332194705319E-2</v>
          </cell>
          <cell r="CB21">
            <v>0.24954792043399632</v>
          </cell>
          <cell r="CD21">
            <v>0.10719999999999996</v>
          </cell>
          <cell r="CE21">
            <v>0.35765895953757232</v>
          </cell>
          <cell r="CF21">
            <v>0.24371859296482401</v>
          </cell>
          <cell r="CG21">
            <v>-0.13096960926193923</v>
          </cell>
          <cell r="CI21">
            <v>2.5289017341040498E-2</v>
          </cell>
          <cell r="CJ21">
            <v>-0.14475784992017027</v>
          </cell>
          <cell r="CK21">
            <v>-6.5319865319865333E-2</v>
          </cell>
          <cell r="CL21">
            <v>0.48626144879267286</v>
          </cell>
          <cell r="CN21">
            <v>-0.14517265680056379</v>
          </cell>
          <cell r="CO21">
            <v>0.40945861854387067</v>
          </cell>
          <cell r="CP21">
            <v>0.29827089337175794</v>
          </cell>
          <cell r="CQ21">
            <v>-0.1547122148216451</v>
          </cell>
        </row>
        <row r="22">
          <cell r="A22" t="str">
            <v xml:space="preserve">     EBITDA</v>
          </cell>
          <cell r="B22">
            <v>114</v>
          </cell>
          <cell r="C22">
            <v>139</v>
          </cell>
          <cell r="D22">
            <v>142</v>
          </cell>
          <cell r="E22">
            <v>138</v>
          </cell>
          <cell r="F22">
            <v>292</v>
          </cell>
          <cell r="G22">
            <v>396</v>
          </cell>
          <cell r="H22">
            <v>292</v>
          </cell>
          <cell r="I22">
            <v>396</v>
          </cell>
          <cell r="J22">
            <v>179</v>
          </cell>
          <cell r="K22">
            <v>0</v>
          </cell>
          <cell r="L22">
            <v>179</v>
          </cell>
          <cell r="M22">
            <v>342</v>
          </cell>
          <cell r="O22">
            <v>342</v>
          </cell>
          <cell r="P22">
            <v>544</v>
          </cell>
          <cell r="Q22">
            <v>0</v>
          </cell>
          <cell r="R22">
            <v>544</v>
          </cell>
          <cell r="S22">
            <v>717</v>
          </cell>
          <cell r="T22">
            <v>967</v>
          </cell>
          <cell r="U22">
            <v>1119</v>
          </cell>
          <cell r="V22">
            <v>1177</v>
          </cell>
          <cell r="W22">
            <v>1264.6186178749026</v>
          </cell>
          <cell r="X22">
            <v>1277.2209896828117</v>
          </cell>
          <cell r="Y22">
            <v>1290.9482770165316</v>
          </cell>
          <cell r="Z22">
            <v>1337.6163521977724</v>
          </cell>
          <cell r="AA22">
            <v>1385.6983246594411</v>
          </cell>
          <cell r="AB22">
            <v>1435.6156906671124</v>
          </cell>
          <cell r="AC22">
            <v>1483.7202768697221</v>
          </cell>
          <cell r="AD22">
            <v>1533.477609092698</v>
          </cell>
          <cell r="AE22">
            <v>1584.9461417612256</v>
          </cell>
          <cell r="AF22">
            <v>1638.1864639735984</v>
          </cell>
          <cell r="AG22">
            <v>1693.2613801075695</v>
          </cell>
          <cell r="AH22">
            <v>1750.2359935723075</v>
          </cell>
          <cell r="AK22">
            <v>57</v>
          </cell>
          <cell r="AL22">
            <v>74</v>
          </cell>
          <cell r="AM22">
            <v>165</v>
          </cell>
          <cell r="AN22">
            <v>-4</v>
          </cell>
          <cell r="AP22">
            <v>134</v>
          </cell>
          <cell r="AQ22">
            <v>172</v>
          </cell>
          <cell r="AR22">
            <v>51</v>
          </cell>
          <cell r="AS22">
            <v>39</v>
          </cell>
          <cell r="AU22">
            <v>62</v>
          </cell>
          <cell r="AV22">
            <v>44</v>
          </cell>
          <cell r="AW22">
            <v>111</v>
          </cell>
          <cell r="AX22">
            <v>-38</v>
          </cell>
          <cell r="AZ22">
            <v>119</v>
          </cell>
          <cell r="BA22">
            <v>151</v>
          </cell>
          <cell r="BB22">
            <v>63</v>
          </cell>
          <cell r="BC22">
            <v>9</v>
          </cell>
          <cell r="BE22">
            <v>119</v>
          </cell>
          <cell r="BF22">
            <v>151</v>
          </cell>
          <cell r="BG22">
            <v>63</v>
          </cell>
          <cell r="BH22">
            <v>9</v>
          </cell>
          <cell r="BJ22">
            <v>137</v>
          </cell>
          <cell r="BK22">
            <v>135</v>
          </cell>
          <cell r="BL22">
            <v>180</v>
          </cell>
          <cell r="BM22">
            <v>92</v>
          </cell>
          <cell r="BO22">
            <v>137</v>
          </cell>
          <cell r="BP22">
            <v>135</v>
          </cell>
          <cell r="BQ22">
            <v>180</v>
          </cell>
          <cell r="BR22">
            <v>92</v>
          </cell>
          <cell r="BT22">
            <v>118</v>
          </cell>
          <cell r="BU22">
            <v>274</v>
          </cell>
          <cell r="BV22">
            <v>220</v>
          </cell>
          <cell r="BW22">
            <v>105</v>
          </cell>
          <cell r="BY22">
            <v>345</v>
          </cell>
          <cell r="BZ22">
            <v>275</v>
          </cell>
          <cell r="CA22">
            <v>237</v>
          </cell>
          <cell r="CB22">
            <v>110</v>
          </cell>
          <cell r="CC22">
            <v>0</v>
          </cell>
          <cell r="CD22">
            <v>306</v>
          </cell>
          <cell r="CE22">
            <v>419</v>
          </cell>
          <cell r="CF22">
            <v>269</v>
          </cell>
          <cell r="CG22">
            <v>125</v>
          </cell>
          <cell r="CH22">
            <v>0</v>
          </cell>
          <cell r="CI22">
            <v>387</v>
          </cell>
          <cell r="CJ22">
            <v>326</v>
          </cell>
          <cell r="CK22">
            <v>242</v>
          </cell>
          <cell r="CL22">
            <v>222</v>
          </cell>
          <cell r="CM22">
            <v>0</v>
          </cell>
          <cell r="CN22">
            <v>259</v>
          </cell>
          <cell r="CO22">
            <v>490</v>
          </cell>
          <cell r="CP22">
            <v>410</v>
          </cell>
          <cell r="CQ22">
            <v>105.6186178749025</v>
          </cell>
          <cell r="CR22">
            <v>0</v>
          </cell>
        </row>
        <row r="23">
          <cell r="A23" t="str">
            <v xml:space="preserve">     EBITDA Margin</v>
          </cell>
          <cell r="B23">
            <v>5.4441260744985676E-2</v>
          </cell>
          <cell r="C23">
            <v>6.2753950338600456E-2</v>
          </cell>
          <cell r="D23">
            <v>6.1101549053356283E-2</v>
          </cell>
          <cell r="E23">
            <v>4.4344473007712083E-2</v>
          </cell>
          <cell r="F23">
            <v>7.533539731682147E-2</v>
          </cell>
          <cell r="G23">
            <v>8.9673913043478257E-2</v>
          </cell>
          <cell r="H23">
            <v>7.533539731682147E-2</v>
          </cell>
          <cell r="I23">
            <v>8.9673913043478257E-2</v>
          </cell>
          <cell r="J23">
            <v>4.6421161825726143E-2</v>
          </cell>
          <cell r="L23">
            <v>4.6421161825726143E-2</v>
          </cell>
          <cell r="M23">
            <v>9.5397489539748956E-2</v>
          </cell>
          <cell r="O23">
            <v>9.5397489539748956E-2</v>
          </cell>
          <cell r="P23">
            <v>0.13438735177865613</v>
          </cell>
          <cell r="R23">
            <v>0.13438735177865613</v>
          </cell>
          <cell r="S23">
            <v>0.15940417963539349</v>
          </cell>
          <cell r="T23">
            <v>0.18560460652591171</v>
          </cell>
          <cell r="U23">
            <v>0.18809884014120021</v>
          </cell>
          <cell r="V23">
            <v>0.18986933376351026</v>
          </cell>
          <cell r="W23">
            <v>0.18627907870587673</v>
          </cell>
          <cell r="X23">
            <v>0.17856645174762178</v>
          </cell>
          <cell r="Y23">
            <v>0.17390078576600213</v>
          </cell>
          <cell r="Z23">
            <v>0.17307957797422657</v>
          </cell>
          <cell r="AA23">
            <v>0.17275735015694946</v>
          </cell>
          <cell r="AB23">
            <v>0.1724411636054779</v>
          </cell>
          <cell r="AC23">
            <v>0.17185725082039324</v>
          </cell>
          <cell r="AD23">
            <v>0.17127474111248844</v>
          </cell>
          <cell r="AE23">
            <v>0.17069366799528263</v>
          </cell>
          <cell r="AF23">
            <v>0.17011406482128572</v>
          </cell>
          <cell r="AG23">
            <v>0.16953596477519026</v>
          </cell>
          <cell r="AH23">
            <v>0.16895940086711189</v>
          </cell>
          <cell r="AK23">
            <v>7.0983810709838113E-2</v>
          </cell>
          <cell r="AL23">
            <v>7.3778664007976072E-2</v>
          </cell>
          <cell r="AM23">
            <v>0.14575971731448764</v>
          </cell>
          <cell r="AN23">
            <v>-4.2643923240938165E-3</v>
          </cell>
          <cell r="AP23">
            <v>0.12617702448210924</v>
          </cell>
          <cell r="AQ23">
            <v>0.11700680272108843</v>
          </cell>
          <cell r="AR23">
            <v>6.2807881773399021E-2</v>
          </cell>
          <cell r="AS23">
            <v>3.6380597014925374E-2</v>
          </cell>
          <cell r="AU23">
            <v>7.8580481622306714E-2</v>
          </cell>
          <cell r="AV23">
            <v>4.1006523765144458E-2</v>
          </cell>
          <cell r="AW23">
            <v>0.13788819875776398</v>
          </cell>
          <cell r="AX23">
            <v>-3.1959629941126999E-2</v>
          </cell>
          <cell r="AZ23">
            <v>0.16279069767441862</v>
          </cell>
          <cell r="BA23">
            <v>0.14285714285714285</v>
          </cell>
          <cell r="BB23">
            <v>7.334109429569266E-2</v>
          </cell>
          <cell r="BC23">
            <v>9.5948827292110881E-3</v>
          </cell>
          <cell r="BE23">
            <v>0.16279069767441862</v>
          </cell>
          <cell r="BF23">
            <v>0.14285714285714285</v>
          </cell>
          <cell r="BG23">
            <v>7.334109429569266E-2</v>
          </cell>
          <cell r="BH23">
            <v>9.5948827292110881E-3</v>
          </cell>
          <cell r="BJ23">
            <v>0.14589989350372737</v>
          </cell>
          <cell r="BK23">
            <v>0.12085944494180842</v>
          </cell>
          <cell r="BL23">
            <v>0.16901408450704225</v>
          </cell>
          <cell r="BM23">
            <v>9.9244875943905075E-2</v>
          </cell>
          <cell r="BO23">
            <v>0.14589989350372737</v>
          </cell>
          <cell r="BP23">
            <v>0.12085944494180842</v>
          </cell>
          <cell r="BQ23">
            <v>0.16901408450704225</v>
          </cell>
          <cell r="BR23">
            <v>9.9244875943905075E-2</v>
          </cell>
          <cell r="BT23">
            <v>0.13363533408833522</v>
          </cell>
          <cell r="BU23">
            <v>0.20478325859491778</v>
          </cell>
          <cell r="BV23">
            <v>0.18787361229718189</v>
          </cell>
          <cell r="BW23">
            <v>9.49367088607595E-2</v>
          </cell>
          <cell r="BY23">
            <v>0.27600000000000002</v>
          </cell>
          <cell r="BZ23">
            <v>0.19869942196531792</v>
          </cell>
          <cell r="CA23">
            <v>0.19849246231155779</v>
          </cell>
          <cell r="CB23">
            <v>7.9594790159189577E-2</v>
          </cell>
          <cell r="CD23">
            <v>0.22109826589595374</v>
          </cell>
          <cell r="CE23">
            <v>0.22299095263437999</v>
          </cell>
          <cell r="CF23">
            <v>0.18114478114478114</v>
          </cell>
          <cell r="CG23">
            <v>0.10407993338884262</v>
          </cell>
          <cell r="CI23">
            <v>0.27272727272727271</v>
          </cell>
          <cell r="CJ23">
            <v>0.20286247666459239</v>
          </cell>
          <cell r="CK23">
            <v>0.17435158501440923</v>
          </cell>
          <cell r="CL23">
            <v>0.12436974789915967</v>
          </cell>
          <cell r="CN23">
            <v>0.21352019785655399</v>
          </cell>
          <cell r="CO23">
            <v>0.21633554083885209</v>
          </cell>
          <cell r="CP23">
            <v>0.22752497225305215</v>
          </cell>
          <cell r="CQ23">
            <v>6.9999939766170388E-2</v>
          </cell>
        </row>
        <row r="24">
          <cell r="A24" t="str">
            <v xml:space="preserve">     % Growth</v>
          </cell>
          <cell r="L24">
            <v>-0.54797979797979801</v>
          </cell>
          <cell r="M24">
            <v>0.9106145251396649</v>
          </cell>
          <cell r="O24">
            <v>0.9106145251396649</v>
          </cell>
          <cell r="P24">
            <v>0.59064327485380108</v>
          </cell>
          <cell r="R24">
            <v>0.59064327485380108</v>
          </cell>
          <cell r="S24">
            <v>0.31801470588235303</v>
          </cell>
          <cell r="T24">
            <v>0.3486750348675034</v>
          </cell>
          <cell r="U24">
            <v>0.15718717683557393</v>
          </cell>
          <cell r="V24">
            <v>5.1831992850759567E-2</v>
          </cell>
          <cell r="W24">
            <v>7.4442326146901161E-2</v>
          </cell>
          <cell r="X24">
            <v>9.965353688281553E-3</v>
          </cell>
          <cell r="Y24">
            <v>1.0747777749196663E-2</v>
          </cell>
          <cell r="Z24">
            <v>3.6150228488699643E-2</v>
          </cell>
          <cell r="AA24">
            <v>3.5946011262996125E-2</v>
          </cell>
          <cell r="AB24">
            <v>3.6023256375040669E-2</v>
          </cell>
          <cell r="AC24">
            <v>3.350798303148661E-2</v>
          </cell>
          <cell r="AD24">
            <v>3.3535520811208031E-2</v>
          </cell>
          <cell r="AE24">
            <v>3.3563276283492316E-2</v>
          </cell>
          <cell r="AF24">
            <v>3.3591250080719393E-2</v>
          </cell>
          <cell r="AG24">
            <v>3.3619442807738098E-2</v>
          </cell>
          <cell r="AH24">
            <v>3.3647855041209596E-2</v>
          </cell>
          <cell r="BO24">
            <v>-0.10375779704853194</v>
          </cell>
          <cell r="BP24">
            <v>-0.15398388540734098</v>
          </cell>
          <cell r="BQ24">
            <v>1.3044936284372906</v>
          </cell>
          <cell r="BR24">
            <v>9.3435215150425499</v>
          </cell>
          <cell r="BT24">
            <v>-8.4061469277760814E-2</v>
          </cell>
          <cell r="BU24">
            <v>0.69439185074461585</v>
          </cell>
          <cell r="BV24">
            <v>0.11158553942499294</v>
          </cell>
          <cell r="BW24">
            <v>-4.3409466152999454E-2</v>
          </cell>
          <cell r="BY24">
            <v>1.0653220338983052</v>
          </cell>
          <cell r="BZ24">
            <v>-2.9708662081768589E-2</v>
          </cell>
          <cell r="CA24">
            <v>5.6521242576518915E-2</v>
          </cell>
          <cell r="CB24">
            <v>-0.16160154365653656</v>
          </cell>
          <cell r="CD24">
            <v>-0.11304347826086958</v>
          </cell>
          <cell r="CE24">
            <v>0.52363636363636368</v>
          </cell>
          <cell r="CF24">
            <v>0.13502109704641341</v>
          </cell>
          <cell r="CG24">
            <v>0.13636363636363646</v>
          </cell>
          <cell r="CI24">
            <v>0.26470588235294112</v>
          </cell>
          <cell r="CJ24">
            <v>-0.22195704057279231</v>
          </cell>
          <cell r="CK24">
            <v>-0.1003717472118959</v>
          </cell>
          <cell r="CL24">
            <v>0.77600000000000002</v>
          </cell>
          <cell r="CN24">
            <v>-0.33074935400516792</v>
          </cell>
          <cell r="CO24">
            <v>0.50306748466257667</v>
          </cell>
          <cell r="CP24">
            <v>0.69421487603305776</v>
          </cell>
          <cell r="CQ24">
            <v>-0.52424046002296176</v>
          </cell>
        </row>
        <row r="25">
          <cell r="A25" t="str">
            <v xml:space="preserve">     EBITA</v>
          </cell>
          <cell r="B25">
            <v>0</v>
          </cell>
          <cell r="C25">
            <v>0</v>
          </cell>
          <cell r="D25">
            <v>118</v>
          </cell>
          <cell r="E25">
            <v>113</v>
          </cell>
          <cell r="F25">
            <v>266</v>
          </cell>
          <cell r="G25">
            <v>355</v>
          </cell>
          <cell r="H25">
            <v>266</v>
          </cell>
          <cell r="I25">
            <v>355</v>
          </cell>
          <cell r="J25">
            <v>117.78722798242339</v>
          </cell>
          <cell r="K25">
            <v>0</v>
          </cell>
          <cell r="L25">
            <v>117.78722798242339</v>
          </cell>
          <cell r="M25">
            <v>277</v>
          </cell>
          <cell r="O25">
            <v>277</v>
          </cell>
          <cell r="P25">
            <v>485</v>
          </cell>
          <cell r="Q25">
            <v>0</v>
          </cell>
          <cell r="R25">
            <v>485</v>
          </cell>
          <cell r="S25">
            <v>662</v>
          </cell>
          <cell r="T25">
            <v>913</v>
          </cell>
          <cell r="U25">
            <v>1068</v>
          </cell>
          <cell r="V25">
            <v>1092</v>
          </cell>
          <cell r="W25">
            <v>1177.0686178749027</v>
          </cell>
          <cell r="X25">
            <v>1187.0444896828117</v>
          </cell>
          <cell r="Y25">
            <v>1198.0664820165316</v>
          </cell>
          <cell r="Z25">
            <v>1241.9481033477723</v>
          </cell>
          <cell r="AA25">
            <v>1287.1600283439411</v>
          </cell>
          <cell r="AB25">
            <v>1334.1212454621473</v>
          </cell>
          <cell r="AC25">
            <v>1379.1809983086082</v>
          </cell>
          <cell r="AD25">
            <v>1425.8021521747505</v>
          </cell>
          <cell r="AE25">
            <v>1474.0404211357397</v>
          </cell>
          <cell r="AF25">
            <v>1523.9535717293479</v>
          </cell>
          <cell r="AG25">
            <v>1575.6015010959916</v>
          </cell>
          <cell r="AH25">
            <v>1629.0463181903822</v>
          </cell>
          <cell r="AK25">
            <v>49.99</v>
          </cell>
          <cell r="AL25">
            <v>67</v>
          </cell>
          <cell r="AM25">
            <v>158</v>
          </cell>
          <cell r="AN25">
            <v>-8.9900000000000091</v>
          </cell>
          <cell r="AP25">
            <v>125</v>
          </cell>
          <cell r="AQ25">
            <v>164</v>
          </cell>
          <cell r="AR25">
            <v>41</v>
          </cell>
          <cell r="AS25">
            <v>25</v>
          </cell>
          <cell r="AU25">
            <v>49</v>
          </cell>
          <cell r="AV25">
            <v>32</v>
          </cell>
          <cell r="AW25">
            <v>98</v>
          </cell>
          <cell r="AX25">
            <v>-52</v>
          </cell>
          <cell r="AZ25">
            <v>105</v>
          </cell>
          <cell r="BA25">
            <v>133</v>
          </cell>
          <cell r="BB25">
            <v>49</v>
          </cell>
          <cell r="BC25">
            <v>-10</v>
          </cell>
          <cell r="BE25">
            <v>105</v>
          </cell>
          <cell r="BF25">
            <v>133</v>
          </cell>
          <cell r="BG25">
            <v>49</v>
          </cell>
          <cell r="BH25">
            <v>-10</v>
          </cell>
          <cell r="BJ25">
            <v>123</v>
          </cell>
          <cell r="BK25">
            <v>121</v>
          </cell>
          <cell r="BL25">
            <v>164</v>
          </cell>
          <cell r="BM25">
            <v>77</v>
          </cell>
          <cell r="BO25">
            <v>123</v>
          </cell>
          <cell r="BP25">
            <v>121</v>
          </cell>
          <cell r="BQ25">
            <v>164</v>
          </cell>
          <cell r="BR25">
            <v>77</v>
          </cell>
          <cell r="BT25">
            <v>105</v>
          </cell>
          <cell r="BU25">
            <v>260</v>
          </cell>
          <cell r="BV25">
            <v>205</v>
          </cell>
          <cell r="BW25">
            <v>92</v>
          </cell>
          <cell r="BY25">
            <v>333</v>
          </cell>
          <cell r="BZ25">
            <v>260</v>
          </cell>
          <cell r="CA25">
            <v>223</v>
          </cell>
          <cell r="CB25">
            <v>97</v>
          </cell>
          <cell r="CC25">
            <v>0</v>
          </cell>
          <cell r="CD25">
            <v>294</v>
          </cell>
          <cell r="CE25">
            <v>406</v>
          </cell>
          <cell r="CF25">
            <v>255</v>
          </cell>
          <cell r="CG25">
            <v>113</v>
          </cell>
          <cell r="CH25">
            <v>0</v>
          </cell>
          <cell r="CI25">
            <v>368</v>
          </cell>
          <cell r="CJ25">
            <v>299</v>
          </cell>
          <cell r="CK25">
            <v>225</v>
          </cell>
          <cell r="CL25">
            <v>200</v>
          </cell>
          <cell r="CM25">
            <v>0</v>
          </cell>
          <cell r="CN25">
            <v>239</v>
          </cell>
          <cell r="CO25">
            <v>470</v>
          </cell>
          <cell r="CP25">
            <v>388</v>
          </cell>
          <cell r="CQ25">
            <v>80.0686178749025</v>
          </cell>
          <cell r="CR25">
            <v>0</v>
          </cell>
        </row>
        <row r="26">
          <cell r="A26" t="str">
            <v xml:space="preserve">     EBITA Margin</v>
          </cell>
          <cell r="B26">
            <v>0</v>
          </cell>
          <cell r="C26">
            <v>0</v>
          </cell>
          <cell r="D26">
            <v>5.0774526678141134E-2</v>
          </cell>
          <cell r="E26">
            <v>3.6311053984575833E-2</v>
          </cell>
          <cell r="F26">
            <v>6.8627450980392163E-2</v>
          </cell>
          <cell r="G26">
            <v>8.0389492753623185E-2</v>
          </cell>
          <cell r="H26">
            <v>6.8627450980392163E-2</v>
          </cell>
          <cell r="I26">
            <v>8.0389492753623185E-2</v>
          </cell>
          <cell r="J26">
            <v>3.0546480285898181E-2</v>
          </cell>
          <cell r="M26">
            <v>7.7266387726638769E-2</v>
          </cell>
          <cell r="P26">
            <v>0.11981225296442688</v>
          </cell>
          <cell r="R26">
            <v>0.11981225296442688</v>
          </cell>
          <cell r="S26">
            <v>0.14717652289906624</v>
          </cell>
          <cell r="T26">
            <v>0.17523992322456813</v>
          </cell>
          <cell r="U26">
            <v>0.17952597075138679</v>
          </cell>
          <cell r="V26">
            <v>0.1761574447491531</v>
          </cell>
          <cell r="W26">
            <v>0.17338291134744807</v>
          </cell>
          <cell r="X26">
            <v>0.16595900341558464</v>
          </cell>
          <cell r="Y26">
            <v>0.16138888469186646</v>
          </cell>
          <cell r="Z26">
            <v>0.1607006771711037</v>
          </cell>
          <cell r="AA26">
            <v>0.16047241435418025</v>
          </cell>
          <cell r="AB26">
            <v>0.16025000385122379</v>
          </cell>
          <cell r="AC26">
            <v>0.15974861195069759</v>
          </cell>
          <cell r="AD26">
            <v>0.15924842530687203</v>
          </cell>
          <cell r="AE26">
            <v>0.15874947395838757</v>
          </cell>
          <cell r="AF26">
            <v>0.15825178780745577</v>
          </cell>
          <cell r="AG26">
            <v>0.1577553966137096</v>
          </cell>
          <cell r="AH26">
            <v>0.15726032998809447</v>
          </cell>
          <cell r="AK26">
            <v>6.2254047322540473E-2</v>
          </cell>
          <cell r="AL26">
            <v>6.6799601196410763E-2</v>
          </cell>
          <cell r="AM26">
            <v>0.13957597173144876</v>
          </cell>
          <cell r="AN26">
            <v>-9.5842217484008625E-3</v>
          </cell>
          <cell r="AP26">
            <v>0.11770244821092278</v>
          </cell>
          <cell r="AQ26">
            <v>0.11156462585034013</v>
          </cell>
          <cell r="AR26">
            <v>5.0492610837438424E-2</v>
          </cell>
          <cell r="AS26">
            <v>2.3320895522388061E-2</v>
          </cell>
          <cell r="AU26">
            <v>6.2103929024081114E-2</v>
          </cell>
          <cell r="AV26">
            <v>2.9822926374650512E-2</v>
          </cell>
          <cell r="AW26">
            <v>0.12173913043478261</v>
          </cell>
          <cell r="AX26">
            <v>-4.3734230445752732E-2</v>
          </cell>
          <cell r="AZ26">
            <v>0.1436388508891929</v>
          </cell>
          <cell r="BA26">
            <v>0.12582781456953643</v>
          </cell>
          <cell r="BB26">
            <v>5.7043073341094298E-2</v>
          </cell>
          <cell r="BC26">
            <v>-1.0660980810234541E-2</v>
          </cell>
          <cell r="BE26">
            <v>0.1436388508891929</v>
          </cell>
          <cell r="BF26">
            <v>0.12582781456953643</v>
          </cell>
          <cell r="BG26">
            <v>5.7043073341094298E-2</v>
          </cell>
          <cell r="BH26">
            <v>-1.0660980810234541E-2</v>
          </cell>
          <cell r="BJ26">
            <v>0.13099041533546327</v>
          </cell>
          <cell r="BK26">
            <v>0.10832587287376902</v>
          </cell>
          <cell r="BL26">
            <v>0.15399061032863851</v>
          </cell>
          <cell r="BM26">
            <v>8.306364617044229E-2</v>
          </cell>
          <cell r="BO26">
            <v>0.13099041533546327</v>
          </cell>
          <cell r="BP26">
            <v>0.10832587287376902</v>
          </cell>
          <cell r="BQ26">
            <v>0.15399061032863851</v>
          </cell>
          <cell r="BR26">
            <v>8.306364617044229E-2</v>
          </cell>
          <cell r="BT26">
            <v>0.11891279728199321</v>
          </cell>
          <cell r="BU26">
            <v>0.19431988041853512</v>
          </cell>
          <cell r="BV26">
            <v>0.17506404782237403</v>
          </cell>
          <cell r="BW26">
            <v>8.3182640144665462E-2</v>
          </cell>
          <cell r="BY26">
            <v>0.26640000000000003</v>
          </cell>
          <cell r="BZ26">
            <v>0.18786127167630057</v>
          </cell>
          <cell r="CA26">
            <v>0.18676716917922948</v>
          </cell>
          <cell r="CB26">
            <v>7.0188133140376266E-2</v>
          </cell>
          <cell r="CD26">
            <v>0.21242774566473988</v>
          </cell>
          <cell r="CE26">
            <v>0.21607237892496009</v>
          </cell>
          <cell r="CF26">
            <v>0.17171717171717171</v>
          </cell>
          <cell r="CG26">
            <v>9.4088259783513734E-2</v>
          </cell>
          <cell r="CI26">
            <v>0.25933756166314303</v>
          </cell>
          <cell r="CJ26">
            <v>0.18606098319850653</v>
          </cell>
          <cell r="CK26">
            <v>0.16210374639769454</v>
          </cell>
          <cell r="CL26">
            <v>0.11204481792717087</v>
          </cell>
          <cell r="CN26">
            <v>0.19703215169002472</v>
          </cell>
          <cell r="CO26">
            <v>0.20750551876379691</v>
          </cell>
          <cell r="CP26">
            <v>0.2153163152053274</v>
          </cell>
          <cell r="CQ26">
            <v>5.306638679027368E-2</v>
          </cell>
        </row>
        <row r="27">
          <cell r="A27" t="str">
            <v xml:space="preserve">     Operating Income</v>
          </cell>
          <cell r="B27">
            <v>0</v>
          </cell>
          <cell r="C27">
            <v>0</v>
          </cell>
          <cell r="D27">
            <v>118</v>
          </cell>
          <cell r="E27">
            <v>113</v>
          </cell>
          <cell r="F27">
            <v>266</v>
          </cell>
          <cell r="G27">
            <v>355</v>
          </cell>
          <cell r="H27">
            <v>266</v>
          </cell>
          <cell r="I27">
            <v>355</v>
          </cell>
          <cell r="J27">
            <v>117.78722798242339</v>
          </cell>
          <cell r="K27">
            <v>0</v>
          </cell>
          <cell r="L27">
            <v>117.78722798242339</v>
          </cell>
          <cell r="M27">
            <v>277</v>
          </cell>
          <cell r="O27">
            <v>277</v>
          </cell>
          <cell r="P27">
            <v>485</v>
          </cell>
          <cell r="Q27">
            <v>0</v>
          </cell>
          <cell r="R27">
            <v>485</v>
          </cell>
          <cell r="S27">
            <v>662</v>
          </cell>
          <cell r="T27">
            <v>913</v>
          </cell>
          <cell r="U27">
            <v>1068</v>
          </cell>
          <cell r="V27">
            <v>1092</v>
          </cell>
          <cell r="W27">
            <v>1177.0686178749027</v>
          </cell>
          <cell r="X27">
            <v>1187.0444896828117</v>
          </cell>
          <cell r="Y27">
            <v>1198.0664820165316</v>
          </cell>
          <cell r="Z27">
            <v>1241.9481033477723</v>
          </cell>
          <cell r="AA27">
            <v>1287.1600283439411</v>
          </cell>
          <cell r="AB27">
            <v>1334.1212454621473</v>
          </cell>
          <cell r="AC27">
            <v>1379.1809983086082</v>
          </cell>
          <cell r="AD27">
            <v>1425.8021521747505</v>
          </cell>
          <cell r="AE27">
            <v>1474.0404211357397</v>
          </cell>
          <cell r="AF27">
            <v>1523.9535717293479</v>
          </cell>
          <cell r="AG27">
            <v>1575.6015010959916</v>
          </cell>
          <cell r="AH27">
            <v>1629.0463181903822</v>
          </cell>
          <cell r="AK27">
            <v>49.99</v>
          </cell>
          <cell r="AL27">
            <v>67</v>
          </cell>
          <cell r="AM27">
            <v>158</v>
          </cell>
          <cell r="AN27">
            <v>-8.9900000000000091</v>
          </cell>
          <cell r="AP27">
            <v>125</v>
          </cell>
          <cell r="AQ27">
            <v>164</v>
          </cell>
          <cell r="AR27">
            <v>41</v>
          </cell>
          <cell r="AS27">
            <v>25</v>
          </cell>
          <cell r="AU27">
            <v>49</v>
          </cell>
          <cell r="AV27">
            <v>32</v>
          </cell>
          <cell r="AW27">
            <v>98</v>
          </cell>
          <cell r="AX27">
            <v>-52</v>
          </cell>
          <cell r="AZ27">
            <v>105</v>
          </cell>
          <cell r="BA27">
            <v>133</v>
          </cell>
          <cell r="BB27">
            <v>49</v>
          </cell>
          <cell r="BC27">
            <v>-10</v>
          </cell>
          <cell r="BE27">
            <v>105</v>
          </cell>
          <cell r="BF27">
            <v>133</v>
          </cell>
          <cell r="BG27">
            <v>49</v>
          </cell>
          <cell r="BH27">
            <v>-10</v>
          </cell>
          <cell r="BJ27">
            <v>123</v>
          </cell>
          <cell r="BK27">
            <v>121</v>
          </cell>
          <cell r="BL27">
            <v>164</v>
          </cell>
          <cell r="BM27">
            <v>77</v>
          </cell>
          <cell r="BO27">
            <v>123</v>
          </cell>
          <cell r="BP27">
            <v>121</v>
          </cell>
          <cell r="BQ27">
            <v>164</v>
          </cell>
          <cell r="BR27">
            <v>77</v>
          </cell>
          <cell r="BT27">
            <v>105</v>
          </cell>
          <cell r="BU27">
            <v>260</v>
          </cell>
          <cell r="BV27">
            <v>205</v>
          </cell>
          <cell r="BW27">
            <v>92</v>
          </cell>
          <cell r="BY27">
            <v>333</v>
          </cell>
          <cell r="BZ27">
            <v>260</v>
          </cell>
          <cell r="CA27">
            <v>223</v>
          </cell>
          <cell r="CB27">
            <v>97</v>
          </cell>
          <cell r="CC27">
            <v>0</v>
          </cell>
          <cell r="CD27">
            <v>294</v>
          </cell>
          <cell r="CE27">
            <v>406</v>
          </cell>
          <cell r="CF27">
            <v>255</v>
          </cell>
          <cell r="CG27">
            <v>113</v>
          </cell>
          <cell r="CH27">
            <v>0</v>
          </cell>
          <cell r="CI27">
            <v>368</v>
          </cell>
          <cell r="CJ27">
            <v>299</v>
          </cell>
          <cell r="CK27">
            <v>225</v>
          </cell>
          <cell r="CL27">
            <v>200</v>
          </cell>
          <cell r="CM27">
            <v>0</v>
          </cell>
          <cell r="CN27">
            <v>239</v>
          </cell>
          <cell r="CO27">
            <v>470</v>
          </cell>
          <cell r="CP27">
            <v>388</v>
          </cell>
          <cell r="CQ27">
            <v>80.0686178749025</v>
          </cell>
          <cell r="CR27">
            <v>0</v>
          </cell>
        </row>
        <row r="28">
          <cell r="A28" t="str">
            <v xml:space="preserve">     Operating Income Margin</v>
          </cell>
          <cell r="B28">
            <v>0</v>
          </cell>
          <cell r="C28">
            <v>0</v>
          </cell>
          <cell r="D28">
            <v>5.0774526678141134E-2</v>
          </cell>
          <cell r="E28">
            <v>3.6311053984575833E-2</v>
          </cell>
          <cell r="F28">
            <v>6.8627450980392163E-2</v>
          </cell>
          <cell r="G28">
            <v>8.0389492753623185E-2</v>
          </cell>
          <cell r="H28">
            <v>6.8627450980392163E-2</v>
          </cell>
          <cell r="I28">
            <v>8.0389492753623185E-2</v>
          </cell>
          <cell r="J28">
            <v>3.0546480285898181E-2</v>
          </cell>
          <cell r="M28">
            <v>7.7266387726638769E-2</v>
          </cell>
          <cell r="P28">
            <v>0.11981225296442688</v>
          </cell>
          <cell r="R28">
            <v>0.11981225296442688</v>
          </cell>
          <cell r="S28">
            <v>0.14717652289906624</v>
          </cell>
          <cell r="T28">
            <v>0.17523992322456813</v>
          </cell>
          <cell r="U28">
            <v>0.17952597075138679</v>
          </cell>
          <cell r="V28">
            <v>0.1761574447491531</v>
          </cell>
          <cell r="W28">
            <v>0.17338291134744807</v>
          </cell>
          <cell r="X28">
            <v>0.16595900341558464</v>
          </cell>
          <cell r="Y28">
            <v>0.16138888469186646</v>
          </cell>
          <cell r="Z28">
            <v>0.1607006771711037</v>
          </cell>
          <cell r="AA28">
            <v>0.16047241435418025</v>
          </cell>
          <cell r="AB28">
            <v>0.16025000385122379</v>
          </cell>
          <cell r="AC28">
            <v>0.15974861195069759</v>
          </cell>
          <cell r="AD28">
            <v>0.15924842530687203</v>
          </cell>
          <cell r="AE28">
            <v>0.15874947395838757</v>
          </cell>
          <cell r="AF28">
            <v>0.15825178780745577</v>
          </cell>
          <cell r="AG28">
            <v>0.1577553966137096</v>
          </cell>
          <cell r="AH28">
            <v>0.15726032998809447</v>
          </cell>
          <cell r="AK28">
            <v>6.2254047322540473E-2</v>
          </cell>
          <cell r="AL28">
            <v>6.6799601196410763E-2</v>
          </cell>
          <cell r="AM28">
            <v>0.13957597173144876</v>
          </cell>
          <cell r="AN28">
            <v>-9.5842217484008625E-3</v>
          </cell>
          <cell r="AP28">
            <v>0.11770244821092278</v>
          </cell>
          <cell r="AQ28">
            <v>0.11156462585034013</v>
          </cell>
          <cell r="AR28">
            <v>5.0492610837438424E-2</v>
          </cell>
          <cell r="AS28">
            <v>2.3320895522388061E-2</v>
          </cell>
          <cell r="AU28">
            <v>6.2103929024081114E-2</v>
          </cell>
          <cell r="AV28">
            <v>2.9822926374650512E-2</v>
          </cell>
          <cell r="AW28">
            <v>0.12173913043478261</v>
          </cell>
          <cell r="AX28">
            <v>-4.3734230445752732E-2</v>
          </cell>
          <cell r="AZ28">
            <v>0.1436388508891929</v>
          </cell>
          <cell r="BA28">
            <v>0.12582781456953643</v>
          </cell>
          <cell r="BB28">
            <v>5.7043073341094298E-2</v>
          </cell>
          <cell r="BC28">
            <v>-1.0660980810234541E-2</v>
          </cell>
          <cell r="BE28">
            <v>0.1436388508891929</v>
          </cell>
          <cell r="BF28">
            <v>0.12582781456953643</v>
          </cell>
          <cell r="BG28">
            <v>5.7043073341094298E-2</v>
          </cell>
          <cell r="BH28">
            <v>-1.0660980810234541E-2</v>
          </cell>
          <cell r="BJ28">
            <v>0.13099041533546327</v>
          </cell>
          <cell r="BK28">
            <v>0.10832587287376902</v>
          </cell>
          <cell r="BL28">
            <v>0.15399061032863851</v>
          </cell>
          <cell r="BM28">
            <v>8.306364617044229E-2</v>
          </cell>
          <cell r="BO28">
            <v>0.13099041533546327</v>
          </cell>
          <cell r="BP28">
            <v>0.10832587287376902</v>
          </cell>
          <cell r="BQ28">
            <v>0.15399061032863851</v>
          </cell>
          <cell r="BR28">
            <v>8.306364617044229E-2</v>
          </cell>
          <cell r="BT28">
            <v>0.11891279728199321</v>
          </cell>
          <cell r="BU28">
            <v>0.19431988041853512</v>
          </cell>
          <cell r="BV28">
            <v>0.17506404782237403</v>
          </cell>
          <cell r="BW28">
            <v>8.3182640144665462E-2</v>
          </cell>
          <cell r="BY28">
            <v>0.26640000000000003</v>
          </cell>
          <cell r="BZ28">
            <v>0.18786127167630057</v>
          </cell>
          <cell r="CA28">
            <v>0.18676716917922948</v>
          </cell>
          <cell r="CB28">
            <v>7.0188133140376266E-2</v>
          </cell>
          <cell r="CD28">
            <v>0.21242774566473988</v>
          </cell>
          <cell r="CE28">
            <v>0.21607237892496009</v>
          </cell>
          <cell r="CF28">
            <v>0.17171717171717171</v>
          </cell>
          <cell r="CG28">
            <v>9.4088259783513734E-2</v>
          </cell>
          <cell r="CI28">
            <v>0.25933756166314303</v>
          </cell>
          <cell r="CJ28">
            <v>0.18606098319850653</v>
          </cell>
          <cell r="CK28">
            <v>0.16210374639769454</v>
          </cell>
          <cell r="CL28">
            <v>0.11204481792717087</v>
          </cell>
          <cell r="CN28">
            <v>0.19703215169002472</v>
          </cell>
          <cell r="CO28">
            <v>0.20750551876379691</v>
          </cell>
          <cell r="CP28">
            <v>0.2153163152053274</v>
          </cell>
          <cell r="CQ28">
            <v>5.306638679027368E-2</v>
          </cell>
        </row>
        <row r="30">
          <cell r="A30" t="str">
            <v>Television Stations</v>
          </cell>
        </row>
        <row r="31">
          <cell r="A31" t="str">
            <v xml:space="preserve">     Revenue</v>
          </cell>
          <cell r="B31">
            <v>549.21699999999998</v>
          </cell>
          <cell r="C31">
            <v>674.81399999999996</v>
          </cell>
          <cell r="D31">
            <v>841.88400000000001</v>
          </cell>
          <cell r="E31">
            <v>1055</v>
          </cell>
          <cell r="F31">
            <v>1393</v>
          </cell>
          <cell r="G31">
            <v>1469</v>
          </cell>
          <cell r="H31">
            <v>1393</v>
          </cell>
          <cell r="I31">
            <v>1469</v>
          </cell>
          <cell r="J31">
            <v>1635</v>
          </cell>
          <cell r="K31">
            <v>0</v>
          </cell>
          <cell r="L31">
            <v>1635</v>
          </cell>
          <cell r="M31">
            <v>1550</v>
          </cell>
          <cell r="N31">
            <v>0</v>
          </cell>
          <cell r="O31">
            <v>1550</v>
          </cell>
          <cell r="P31">
            <v>1875</v>
          </cell>
          <cell r="Q31">
            <v>0</v>
          </cell>
          <cell r="R31">
            <v>1875</v>
          </cell>
          <cell r="S31">
            <v>2115</v>
          </cell>
          <cell r="T31">
            <v>2166</v>
          </cell>
          <cell r="U31">
            <v>2176.83</v>
          </cell>
          <cell r="V31">
            <v>2176.83</v>
          </cell>
          <cell r="W31">
            <v>2274.7873499999996</v>
          </cell>
          <cell r="X31">
            <v>2331.6570337499993</v>
          </cell>
          <cell r="Y31">
            <v>2459.8981706062491</v>
          </cell>
          <cell r="Z31">
            <v>2521.3956248714053</v>
          </cell>
          <cell r="AA31">
            <v>2660.0723842393322</v>
          </cell>
          <cell r="AB31">
            <v>2726.5741938453152</v>
          </cell>
          <cell r="AC31">
            <v>2876.5357745068072</v>
          </cell>
          <cell r="AD31">
            <v>2948.449168869477</v>
          </cell>
          <cell r="AE31">
            <v>3022.1603980912137</v>
          </cell>
          <cell r="AF31">
            <v>3097.7144080434937</v>
          </cell>
          <cell r="AG31">
            <v>3175.1572682445808</v>
          </cell>
          <cell r="AH31">
            <v>3254.5361999506949</v>
          </cell>
          <cell r="AK31">
            <v>320.39</v>
          </cell>
          <cell r="AL31">
            <v>403.97</v>
          </cell>
          <cell r="AM31">
            <v>292.52999999999997</v>
          </cell>
          <cell r="AN31">
            <v>376.11</v>
          </cell>
          <cell r="AP31">
            <v>313</v>
          </cell>
          <cell r="AQ31">
            <v>426</v>
          </cell>
          <cell r="AR31">
            <v>335</v>
          </cell>
          <cell r="AS31">
            <v>395</v>
          </cell>
          <cell r="AU31">
            <v>357</v>
          </cell>
          <cell r="AV31">
            <v>469</v>
          </cell>
          <cell r="AW31">
            <v>341</v>
          </cell>
          <cell r="AX31">
            <v>468</v>
          </cell>
          <cell r="AZ31">
            <v>369</v>
          </cell>
          <cell r="BA31">
            <v>457</v>
          </cell>
          <cell r="BB31">
            <v>320</v>
          </cell>
          <cell r="BC31">
            <v>404</v>
          </cell>
          <cell r="BE31">
            <v>369</v>
          </cell>
          <cell r="BF31">
            <v>457</v>
          </cell>
          <cell r="BG31">
            <v>320</v>
          </cell>
          <cell r="BH31">
            <v>404</v>
          </cell>
          <cell r="BJ31">
            <v>396</v>
          </cell>
          <cell r="BK31">
            <v>526</v>
          </cell>
          <cell r="BL31">
            <v>435</v>
          </cell>
          <cell r="BM31">
            <v>518</v>
          </cell>
          <cell r="BO31">
            <v>396</v>
          </cell>
          <cell r="BP31">
            <v>526</v>
          </cell>
          <cell r="BQ31">
            <v>435</v>
          </cell>
          <cell r="BR31">
            <v>518</v>
          </cell>
          <cell r="BT31">
            <v>514</v>
          </cell>
          <cell r="BU31">
            <v>593</v>
          </cell>
          <cell r="BV31">
            <v>463</v>
          </cell>
          <cell r="BW31">
            <v>545</v>
          </cell>
          <cell r="BY31">
            <v>518</v>
          </cell>
          <cell r="BZ31">
            <v>571</v>
          </cell>
          <cell r="CA31">
            <v>490</v>
          </cell>
          <cell r="CB31">
            <v>587</v>
          </cell>
          <cell r="CC31">
            <v>0</v>
          </cell>
          <cell r="CD31">
            <v>514</v>
          </cell>
          <cell r="CE31">
            <v>571</v>
          </cell>
          <cell r="CF31">
            <v>502.85</v>
          </cell>
          <cell r="CG31">
            <v>588.98</v>
          </cell>
          <cell r="CH31">
            <v>0</v>
          </cell>
          <cell r="CI31">
            <v>510.45</v>
          </cell>
          <cell r="CJ31">
            <v>567.1</v>
          </cell>
          <cell r="CK31">
            <v>496.49250000000001</v>
          </cell>
          <cell r="CL31">
            <v>602.78750000000002</v>
          </cell>
          <cell r="CM31">
            <v>0</v>
          </cell>
          <cell r="CN31">
            <v>537.50384999999994</v>
          </cell>
          <cell r="CO31">
            <v>635.15200000000004</v>
          </cell>
          <cell r="CP31">
            <v>516.35220000000004</v>
          </cell>
          <cell r="CQ31">
            <v>585.77929999999947</v>
          </cell>
          <cell r="CR31">
            <v>0</v>
          </cell>
        </row>
        <row r="32">
          <cell r="A32" t="str">
            <v xml:space="preserve">     % Growth</v>
          </cell>
          <cell r="C32">
            <v>0.22868374431235727</v>
          </cell>
          <cell r="D32">
            <v>0.24757933297175239</v>
          </cell>
          <cell r="E32">
            <v>0.25314176299822777</v>
          </cell>
          <cell r="F32">
            <v>0.32037914691943126</v>
          </cell>
          <cell r="G32">
            <v>5.4558506819813335E-2</v>
          </cell>
          <cell r="H32">
            <v>-5.1735874744724297E-2</v>
          </cell>
          <cell r="I32">
            <v>5.4558506819813335E-2</v>
          </cell>
          <cell r="J32">
            <v>0.11300204220558197</v>
          </cell>
          <cell r="L32">
            <v>0.11300204220558197</v>
          </cell>
          <cell r="M32">
            <v>-5.1987767584097844E-2</v>
          </cell>
          <cell r="O32">
            <v>-5.1987767584097844E-2</v>
          </cell>
          <cell r="P32">
            <v>0.20967741935483875</v>
          </cell>
          <cell r="R32">
            <v>0.20967741935483875</v>
          </cell>
          <cell r="S32">
            <v>0.12799999999999989</v>
          </cell>
          <cell r="T32">
            <v>2.4113475177304888E-2</v>
          </cell>
          <cell r="U32">
            <v>4.9999999999998934E-3</v>
          </cell>
          <cell r="V32">
            <v>0</v>
          </cell>
          <cell r="W32">
            <v>4.4999999999999929E-2</v>
          </cell>
          <cell r="X32">
            <v>2.4999999999999911E-2</v>
          </cell>
          <cell r="Y32">
            <v>5.4999999999999938E-2</v>
          </cell>
          <cell r="Z32">
            <v>2.4999999999999911E-2</v>
          </cell>
          <cell r="AA32">
            <v>5.4999999999999938E-2</v>
          </cell>
          <cell r="AB32">
            <v>2.4999999999999911E-2</v>
          </cell>
          <cell r="AC32">
            <v>5.4999999999999938E-2</v>
          </cell>
          <cell r="AD32">
            <v>2.4999999999999911E-2</v>
          </cell>
          <cell r="AE32">
            <v>2.4999999999999911E-2</v>
          </cell>
          <cell r="AF32">
            <v>2.4999999999999911E-2</v>
          </cell>
          <cell r="AG32">
            <v>2.4999999999999911E-2</v>
          </cell>
          <cell r="AH32">
            <v>2.4999999999999911E-2</v>
          </cell>
          <cell r="AP32">
            <v>-2.3065638752770012E-2</v>
          </cell>
          <cell r="AQ32">
            <v>5.4533752506374267E-2</v>
          </cell>
          <cell r="AR32">
            <v>0.14518169076675913</v>
          </cell>
          <cell r="AS32">
            <v>5.0224668315120624E-2</v>
          </cell>
          <cell r="AU32">
            <v>0.14057507987220452</v>
          </cell>
          <cell r="AV32">
            <v>0.10093896713615025</v>
          </cell>
          <cell r="AW32">
            <v>1.7910447761193993E-2</v>
          </cell>
          <cell r="AX32">
            <v>0.18481012658227858</v>
          </cell>
          <cell r="AZ32">
            <v>3.3613445378151363E-2</v>
          </cell>
          <cell r="BA32">
            <v>-2.5586353944562878E-2</v>
          </cell>
          <cell r="BB32">
            <v>-6.1583577712609916E-2</v>
          </cell>
          <cell r="BC32">
            <v>-0.13675213675213671</v>
          </cell>
          <cell r="BJ32">
            <v>7.3170731707317138E-2</v>
          </cell>
          <cell r="BK32">
            <v>0.15098468271334786</v>
          </cell>
          <cell r="BL32">
            <v>0.359375</v>
          </cell>
          <cell r="BM32">
            <v>0.28217821782178221</v>
          </cell>
          <cell r="BO32">
            <v>7.3170731707317138E-2</v>
          </cell>
          <cell r="BP32">
            <v>0.15098468271334786</v>
          </cell>
          <cell r="BQ32">
            <v>0.359375</v>
          </cell>
          <cell r="BR32">
            <v>0.28217821782178221</v>
          </cell>
          <cell r="BT32">
            <v>0.29797979797979801</v>
          </cell>
          <cell r="BU32">
            <v>0.12737642585551323</v>
          </cell>
          <cell r="BV32">
            <v>6.4367816091954078E-2</v>
          </cell>
          <cell r="BW32">
            <v>5.212355212355213E-2</v>
          </cell>
          <cell r="BY32">
            <v>7.7821011673151474E-3</v>
          </cell>
          <cell r="BZ32">
            <v>-3.7099494097807773E-2</v>
          </cell>
          <cell r="CA32">
            <v>5.8315334773218153E-2</v>
          </cell>
          <cell r="CB32">
            <v>7.7064220183486132E-2</v>
          </cell>
          <cell r="CD32">
            <v>-7.7220077220077066E-3</v>
          </cell>
          <cell r="CE32">
            <v>0</v>
          </cell>
          <cell r="CF32">
            <v>2.6224489795918515E-2</v>
          </cell>
          <cell r="CG32">
            <v>3.3730834752980776E-3</v>
          </cell>
          <cell r="CI32">
            <v>-6.9066147859921934E-3</v>
          </cell>
          <cell r="CJ32">
            <v>-6.8301225919439323E-3</v>
          </cell>
          <cell r="CK32">
            <v>-1.2642935268966871E-2</v>
          </cell>
          <cell r="CL32">
            <v>2.3443071072022814E-2</v>
          </cell>
          <cell r="CN32">
            <v>5.2999999999999936E-2</v>
          </cell>
          <cell r="CO32">
            <v>0.12000000000000011</v>
          </cell>
          <cell r="CP32">
            <v>4.0000000000000036E-2</v>
          </cell>
          <cell r="CQ32">
            <v>-2.821591356821529E-2</v>
          </cell>
        </row>
        <row r="33">
          <cell r="A33" t="str">
            <v xml:space="preserve">     EBITDA</v>
          </cell>
          <cell r="B33">
            <v>254.17650999999998</v>
          </cell>
          <cell r="C33">
            <v>369.74441999999999</v>
          </cell>
          <cell r="D33">
            <v>431.02600000000001</v>
          </cell>
          <cell r="E33">
            <v>524</v>
          </cell>
          <cell r="F33">
            <v>696</v>
          </cell>
          <cell r="G33">
            <v>733</v>
          </cell>
          <cell r="H33">
            <v>696</v>
          </cell>
          <cell r="I33">
            <v>733</v>
          </cell>
          <cell r="J33">
            <v>774</v>
          </cell>
          <cell r="K33">
            <v>0</v>
          </cell>
          <cell r="L33">
            <v>774</v>
          </cell>
          <cell r="M33">
            <v>683</v>
          </cell>
          <cell r="N33">
            <v>0</v>
          </cell>
          <cell r="O33">
            <v>683</v>
          </cell>
          <cell r="P33">
            <v>798</v>
          </cell>
          <cell r="Q33">
            <v>0</v>
          </cell>
          <cell r="R33">
            <v>798</v>
          </cell>
          <cell r="S33">
            <v>983</v>
          </cell>
          <cell r="T33">
            <v>1032</v>
          </cell>
          <cell r="U33">
            <v>1028.83</v>
          </cell>
          <cell r="V33">
            <v>992.09399999999982</v>
          </cell>
          <cell r="W33">
            <v>1004.5092699999996</v>
          </cell>
          <cell r="X33">
            <v>1016.9192209499993</v>
          </cell>
          <cell r="Y33">
            <v>1085.9971562302492</v>
          </cell>
          <cell r="Z33">
            <v>1099.4080749922455</v>
          </cell>
          <cell r="AA33">
            <v>1188.315270114402</v>
          </cell>
          <cell r="AB33">
            <v>1210.6643662966371</v>
          </cell>
          <cell r="AC33">
            <v>1307.5691029939255</v>
          </cell>
          <cell r="AD33">
            <v>1332.4134972112088</v>
          </cell>
          <cell r="AE33">
            <v>1357.6436562831973</v>
          </cell>
          <cell r="AF33">
            <v>1383.2621639812367</v>
          </cell>
          <cell r="AG33">
            <v>1409.2714568604561</v>
          </cell>
          <cell r="AH33">
            <v>1435.6738142250465</v>
          </cell>
          <cell r="AK33">
            <v>143.42124057573682</v>
          </cell>
          <cell r="AL33">
            <v>203.86536668951337</v>
          </cell>
          <cell r="AM33">
            <v>145.19049348869089</v>
          </cell>
          <cell r="AN33">
            <v>203.5228992460589</v>
          </cell>
          <cell r="AP33">
            <v>139</v>
          </cell>
          <cell r="AQ33">
            <v>231</v>
          </cell>
          <cell r="AR33">
            <v>150</v>
          </cell>
          <cell r="AS33">
            <v>213</v>
          </cell>
          <cell r="AU33">
            <v>160</v>
          </cell>
          <cell r="AV33">
            <v>259</v>
          </cell>
          <cell r="AW33">
            <v>133</v>
          </cell>
          <cell r="AX33">
            <v>222</v>
          </cell>
          <cell r="AZ33">
            <v>152</v>
          </cell>
          <cell r="BA33">
            <v>249</v>
          </cell>
          <cell r="BB33">
            <v>122</v>
          </cell>
          <cell r="BC33">
            <v>160</v>
          </cell>
          <cell r="BE33">
            <v>152</v>
          </cell>
          <cell r="BF33">
            <v>249</v>
          </cell>
          <cell r="BG33">
            <v>122</v>
          </cell>
          <cell r="BH33">
            <v>160</v>
          </cell>
          <cell r="BJ33">
            <v>129</v>
          </cell>
          <cell r="BK33">
            <v>259</v>
          </cell>
          <cell r="BL33">
            <v>173</v>
          </cell>
          <cell r="BM33">
            <v>237</v>
          </cell>
          <cell r="BO33">
            <v>129</v>
          </cell>
          <cell r="BP33">
            <v>259</v>
          </cell>
          <cell r="BQ33">
            <v>173</v>
          </cell>
          <cell r="BR33">
            <v>237</v>
          </cell>
          <cell r="BT33">
            <v>224</v>
          </cell>
          <cell r="BU33">
            <v>320</v>
          </cell>
          <cell r="BV33">
            <v>179</v>
          </cell>
          <cell r="BW33">
            <v>260</v>
          </cell>
          <cell r="BY33">
            <v>237</v>
          </cell>
          <cell r="BZ33">
            <v>289</v>
          </cell>
          <cell r="CA33">
            <v>213</v>
          </cell>
          <cell r="CB33">
            <v>293</v>
          </cell>
          <cell r="CC33">
            <v>0</v>
          </cell>
          <cell r="CD33">
            <v>236</v>
          </cell>
          <cell r="CE33">
            <v>290</v>
          </cell>
          <cell r="CF33">
            <v>225.85</v>
          </cell>
          <cell r="CG33">
            <v>276.98</v>
          </cell>
          <cell r="CH33">
            <v>0</v>
          </cell>
          <cell r="CI33">
            <v>213.45611995874469</v>
          </cell>
          <cell r="CJ33">
            <v>281.01889495874474</v>
          </cell>
          <cell r="CK33">
            <v>217.23709745874476</v>
          </cell>
          <cell r="CL33">
            <v>280.38188762376569</v>
          </cell>
          <cell r="CM33">
            <v>0</v>
          </cell>
          <cell r="CN33">
            <v>217.64761839155818</v>
          </cell>
          <cell r="CO33">
            <v>303.62600235379409</v>
          </cell>
          <cell r="CP33">
            <v>220.76305935709456</v>
          </cell>
          <cell r="CQ33">
            <v>262.47258989755278</v>
          </cell>
          <cell r="CR33">
            <v>0</v>
          </cell>
        </row>
        <row r="34">
          <cell r="A34" t="str">
            <v xml:space="preserve">     EBITDA Margin</v>
          </cell>
          <cell r="B34">
            <v>0.46279796510304666</v>
          </cell>
          <cell r="C34">
            <v>0.54792049364713835</v>
          </cell>
          <cell r="D34">
            <v>0.51197789719248732</v>
          </cell>
          <cell r="E34">
            <v>0.49668246445497632</v>
          </cell>
          <cell r="F34">
            <v>0.49964106245513279</v>
          </cell>
          <cell r="G34">
            <v>0.49897889720898569</v>
          </cell>
          <cell r="H34">
            <v>0.49964106245513279</v>
          </cell>
          <cell r="I34">
            <v>0.49897889720898569</v>
          </cell>
          <cell r="J34">
            <v>0.47339449541284406</v>
          </cell>
          <cell r="L34">
            <v>0.47339449541284406</v>
          </cell>
          <cell r="M34">
            <v>0.44064516129032261</v>
          </cell>
          <cell r="O34">
            <v>0.44064516129032261</v>
          </cell>
          <cell r="P34">
            <v>0.42559999999999998</v>
          </cell>
          <cell r="R34">
            <v>0.42559999999999998</v>
          </cell>
          <cell r="S34">
            <v>0.46477541371158393</v>
          </cell>
          <cell r="T34">
            <v>0.47645429362880887</v>
          </cell>
          <cell r="U34">
            <v>0.47262762824841625</v>
          </cell>
          <cell r="V34">
            <v>0.45575171235236556</v>
          </cell>
          <cell r="W34">
            <v>0.4415838122187552</v>
          </cell>
          <cell r="X34">
            <v>0.4361358494111332</v>
          </cell>
          <cell r="Y34">
            <v>0.44148053330297082</v>
          </cell>
          <cell r="Z34">
            <v>0.43603156289617057</v>
          </cell>
          <cell r="AA34">
            <v>0.44672290767539008</v>
          </cell>
          <cell r="AB34">
            <v>0.44402399502990414</v>
          </cell>
          <cell r="AC34">
            <v>0.45456382450801019</v>
          </cell>
          <cell r="AD34">
            <v>0.45190316023731747</v>
          </cell>
          <cell r="AE34">
            <v>0.44922951711652381</v>
          </cell>
          <cell r="AF34">
            <v>0.44654283183416527</v>
          </cell>
          <cell r="AG34">
            <v>0.44384304076994163</v>
          </cell>
          <cell r="AH34">
            <v>0.44113007999320963</v>
          </cell>
          <cell r="AK34">
            <v>0.44764580847010466</v>
          </cell>
          <cell r="AL34">
            <v>0.50465471864126876</v>
          </cell>
          <cell r="AM34">
            <v>0.49632685019892286</v>
          </cell>
          <cell r="AN34">
            <v>0.5411259983676554</v>
          </cell>
          <cell r="AP34">
            <v>0.44408945686900958</v>
          </cell>
          <cell r="AQ34">
            <v>0.54225352112676062</v>
          </cell>
          <cell r="AR34">
            <v>0.44776119402985076</v>
          </cell>
          <cell r="AS34">
            <v>0.53924050632911391</v>
          </cell>
          <cell r="AU34">
            <v>0.44817927170868349</v>
          </cell>
          <cell r="AV34">
            <v>0.55223880597014929</v>
          </cell>
          <cell r="AW34">
            <v>0.39002932551319647</v>
          </cell>
          <cell r="AX34">
            <v>0.47435897435897434</v>
          </cell>
          <cell r="AZ34">
            <v>0.41192411924119243</v>
          </cell>
          <cell r="BA34">
            <v>0.5448577680525164</v>
          </cell>
          <cell r="BB34">
            <v>0.38124999999999998</v>
          </cell>
          <cell r="BC34">
            <v>0.39603960396039606</v>
          </cell>
          <cell r="BE34">
            <v>0.41192411924119243</v>
          </cell>
          <cell r="BF34">
            <v>0.5448577680525164</v>
          </cell>
          <cell r="BG34">
            <v>0.38124999999999998</v>
          </cell>
          <cell r="BH34">
            <v>0.39603960396039606</v>
          </cell>
          <cell r="BJ34">
            <v>0.32575757575757575</v>
          </cell>
          <cell r="BK34">
            <v>0.4923954372623574</v>
          </cell>
          <cell r="BL34">
            <v>0.39770114942528734</v>
          </cell>
          <cell r="BM34">
            <v>0.4575289575289575</v>
          </cell>
          <cell r="BO34">
            <v>0.32575757575757575</v>
          </cell>
          <cell r="BP34">
            <v>0.4923954372623574</v>
          </cell>
          <cell r="BQ34">
            <v>0.39770114942528734</v>
          </cell>
          <cell r="BR34">
            <v>0.4575289575289575</v>
          </cell>
          <cell r="BT34">
            <v>0.43579766536964981</v>
          </cell>
          <cell r="BU34">
            <v>0.53962900505902189</v>
          </cell>
          <cell r="BV34">
            <v>0.38660907127429806</v>
          </cell>
          <cell r="BW34">
            <v>0.47706422018348627</v>
          </cell>
          <cell r="BY34">
            <v>0.4575289575289575</v>
          </cell>
          <cell r="BZ34">
            <v>0.50612959719789841</v>
          </cell>
          <cell r="CA34">
            <v>0.4346938775510204</v>
          </cell>
          <cell r="CB34">
            <v>0.49914821124361158</v>
          </cell>
          <cell r="CD34">
            <v>0.45914396887159531</v>
          </cell>
          <cell r="CE34">
            <v>0.50788091068301222</v>
          </cell>
          <cell r="CF34">
            <v>0.44913990255543401</v>
          </cell>
          <cell r="CG34">
            <v>0.47027063737308566</v>
          </cell>
          <cell r="CI34">
            <v>0.41817243600498522</v>
          </cell>
          <cell r="CJ34">
            <v>0.49553675711293377</v>
          </cell>
          <cell r="CK34">
            <v>0.4375435630120188</v>
          </cell>
          <cell r="CL34">
            <v>0.46514217302741956</v>
          </cell>
          <cell r="CN34">
            <v>0.40492290128072239</v>
          </cell>
          <cell r="CO34">
            <v>0.4780367571129337</v>
          </cell>
          <cell r="CP34">
            <v>0.42754356301201885</v>
          </cell>
          <cell r="CQ34">
            <v>0.44807419773548335</v>
          </cell>
        </row>
        <row r="35">
          <cell r="A35" t="str">
            <v xml:space="preserve">     % Growth</v>
          </cell>
          <cell r="L35">
            <v>5.5934515688949471E-2</v>
          </cell>
          <cell r="O35">
            <v>-0.11757105943152457</v>
          </cell>
          <cell r="R35">
            <v>0.16837481698389456</v>
          </cell>
          <cell r="S35">
            <v>0.23182957393483705</v>
          </cell>
          <cell r="T35">
            <v>4.984740590030512E-2</v>
          </cell>
          <cell r="U35">
            <v>-3.0717054263567078E-3</v>
          </cell>
          <cell r="V35">
            <v>-3.5706579318254827E-2</v>
          </cell>
          <cell r="W35">
            <v>1.251420732309616E-2</v>
          </cell>
          <cell r="X35">
            <v>1.2354242335662846E-2</v>
          </cell>
          <cell r="Y35">
            <v>6.7928635684275651E-2</v>
          </cell>
          <cell r="Z35">
            <v>1.2348944640470982E-2</v>
          </cell>
          <cell r="AA35">
            <v>8.0868239141124842E-2</v>
          </cell>
          <cell r="AB35">
            <v>1.8807379442396188E-2</v>
          </cell>
          <cell r="AC35">
            <v>8.0042610813528148E-2</v>
          </cell>
          <cell r="AD35">
            <v>1.9000444535128169E-2</v>
          </cell>
          <cell r="AE35">
            <v>1.8935682597629233E-2</v>
          </cell>
          <cell r="AF35">
            <v>1.8869831991241925E-2</v>
          </cell>
          <cell r="AG35">
            <v>1.8802865831564874E-2</v>
          </cell>
          <cell r="AH35">
            <v>1.8734756342407621E-2</v>
          </cell>
          <cell r="BO35">
            <v>-0.15131578947368418</v>
          </cell>
          <cell r="BP35">
            <v>4.016064257028118E-2</v>
          </cell>
          <cell r="BQ35">
            <v>0.41803278688524581</v>
          </cell>
          <cell r="BR35">
            <v>0.48124999999999996</v>
          </cell>
          <cell r="BT35">
            <v>0.73643410852713176</v>
          </cell>
          <cell r="BU35">
            <v>0.23552123552123549</v>
          </cell>
          <cell r="BV35">
            <v>3.4682080924855585E-2</v>
          </cell>
          <cell r="BW35">
            <v>9.704641350210963E-2</v>
          </cell>
          <cell r="BY35">
            <v>5.8035714285714191E-2</v>
          </cell>
          <cell r="BZ35">
            <v>-9.6875000000000044E-2</v>
          </cell>
          <cell r="CA35">
            <v>0.1899441340782122</v>
          </cell>
          <cell r="CB35">
            <v>0.12692307692307692</v>
          </cell>
          <cell r="CD35">
            <v>-4.2194092827003704E-3</v>
          </cell>
          <cell r="CE35">
            <v>3.4602076124568004E-3</v>
          </cell>
          <cell r="CF35">
            <v>6.0328638497652465E-2</v>
          </cell>
          <cell r="CG35">
            <v>-5.4675767918088702E-2</v>
          </cell>
          <cell r="CI35">
            <v>-9.5524915429047952E-2</v>
          </cell>
          <cell r="CJ35">
            <v>-3.0969327728466389E-2</v>
          </cell>
          <cell r="CK35">
            <v>-3.813549940781602E-2</v>
          </cell>
          <cell r="CL35">
            <v>1.2282069549301999E-2</v>
          </cell>
          <cell r="CN35">
            <v>1.9636346962661921E-2</v>
          </cell>
          <cell r="CO35">
            <v>8.0446930084072221E-2</v>
          </cell>
          <cell r="CP35">
            <v>1.6230938175830767E-2</v>
          </cell>
          <cell r="CQ35">
            <v>-6.3874659943244039E-2</v>
          </cell>
        </row>
        <row r="36">
          <cell r="A36" t="str">
            <v xml:space="preserve">     EBITA</v>
          </cell>
          <cell r="B36">
            <v>0</v>
          </cell>
          <cell r="C36">
            <v>0</v>
          </cell>
          <cell r="D36">
            <v>416.02600000000001</v>
          </cell>
          <cell r="E36">
            <v>477.2</v>
          </cell>
          <cell r="F36">
            <v>656.7</v>
          </cell>
          <cell r="G36">
            <v>700.3</v>
          </cell>
          <cell r="H36">
            <v>656.7</v>
          </cell>
          <cell r="I36">
            <v>700.3</v>
          </cell>
          <cell r="J36">
            <v>736</v>
          </cell>
          <cell r="K36">
            <v>0</v>
          </cell>
          <cell r="L36">
            <v>736</v>
          </cell>
          <cell r="M36">
            <v>650</v>
          </cell>
          <cell r="N36">
            <v>0</v>
          </cell>
          <cell r="O36">
            <v>650</v>
          </cell>
          <cell r="P36">
            <v>759</v>
          </cell>
          <cell r="Q36">
            <v>0</v>
          </cell>
          <cell r="R36">
            <v>759</v>
          </cell>
          <cell r="S36">
            <v>921</v>
          </cell>
          <cell r="T36">
            <v>977</v>
          </cell>
          <cell r="U36">
            <v>980.83</v>
          </cell>
          <cell r="V36">
            <v>943.13399999999979</v>
          </cell>
          <cell r="W36">
            <v>954.57006999999953</v>
          </cell>
          <cell r="X36">
            <v>965.98123694999924</v>
          </cell>
          <cell r="Y36">
            <v>1034.0404125502491</v>
          </cell>
          <cell r="Z36">
            <v>1046.4121964386454</v>
          </cell>
          <cell r="AA36">
            <v>1134.2594739897299</v>
          </cell>
          <cell r="AB36">
            <v>1155.5274542494717</v>
          </cell>
          <cell r="AC36">
            <v>1251.3294527058167</v>
          </cell>
          <cell r="AD36">
            <v>1275.0490539173379</v>
          </cell>
          <cell r="AE36">
            <v>1299.1319241234489</v>
          </cell>
          <cell r="AF36">
            <v>1323.5801971782932</v>
          </cell>
          <cell r="AG36">
            <v>1348.3958507214538</v>
          </cell>
          <cell r="AH36">
            <v>1373.5806959632644</v>
          </cell>
          <cell r="AK36">
            <v>134.28170569201589</v>
          </cell>
          <cell r="AL36">
            <v>194.26885506160639</v>
          </cell>
          <cell r="AM36">
            <v>133.99456325613275</v>
          </cell>
          <cell r="AN36">
            <v>194.15487599024502</v>
          </cell>
          <cell r="AP36">
            <v>132.82499999999999</v>
          </cell>
          <cell r="AQ36">
            <v>224.75</v>
          </cell>
          <cell r="AR36">
            <v>144.75</v>
          </cell>
          <cell r="AS36">
            <v>197.97499999999999</v>
          </cell>
          <cell r="AU36">
            <v>150.75</v>
          </cell>
          <cell r="AV36">
            <v>248.75</v>
          </cell>
          <cell r="AW36">
            <v>124.75</v>
          </cell>
          <cell r="AX36">
            <v>211.75</v>
          </cell>
          <cell r="AZ36">
            <v>143.75</v>
          </cell>
          <cell r="BA36">
            <v>240.75</v>
          </cell>
          <cell r="BB36">
            <v>113.75</v>
          </cell>
          <cell r="BC36">
            <v>151.75</v>
          </cell>
          <cell r="BE36">
            <v>143.75</v>
          </cell>
          <cell r="BF36">
            <v>240.75</v>
          </cell>
          <cell r="BG36">
            <v>113.75</v>
          </cell>
          <cell r="BH36">
            <v>151.75</v>
          </cell>
          <cell r="BJ36">
            <v>118.25</v>
          </cell>
          <cell r="BK36">
            <v>246.25</v>
          </cell>
          <cell r="BL36">
            <v>165.25</v>
          </cell>
          <cell r="BM36">
            <v>229.25</v>
          </cell>
          <cell r="BO36">
            <v>118.25</v>
          </cell>
          <cell r="BP36">
            <v>246.25</v>
          </cell>
          <cell r="BQ36">
            <v>165.25</v>
          </cell>
          <cell r="BR36">
            <v>229.25</v>
          </cell>
          <cell r="BT36">
            <v>209</v>
          </cell>
          <cell r="BU36">
            <v>305</v>
          </cell>
          <cell r="BV36">
            <v>162</v>
          </cell>
          <cell r="BW36">
            <v>245</v>
          </cell>
          <cell r="BY36">
            <v>221</v>
          </cell>
          <cell r="BZ36">
            <v>276</v>
          </cell>
          <cell r="CA36">
            <v>201</v>
          </cell>
          <cell r="CB36">
            <v>279</v>
          </cell>
          <cell r="CC36">
            <v>0</v>
          </cell>
          <cell r="CD36">
            <v>224</v>
          </cell>
          <cell r="CE36">
            <v>278</v>
          </cell>
          <cell r="CF36">
            <v>213.85</v>
          </cell>
          <cell r="CG36">
            <v>264.98</v>
          </cell>
          <cell r="CH36">
            <v>0</v>
          </cell>
          <cell r="CI36">
            <v>201.45611995874469</v>
          </cell>
          <cell r="CJ36">
            <v>269.01889495874474</v>
          </cell>
          <cell r="CK36">
            <v>205.23709745874476</v>
          </cell>
          <cell r="CL36">
            <v>267.42188762376571</v>
          </cell>
          <cell r="CM36">
            <v>0</v>
          </cell>
          <cell r="CN36">
            <v>205.16281839155818</v>
          </cell>
          <cell r="CO36">
            <v>291.14120235379409</v>
          </cell>
          <cell r="CP36">
            <v>208.27825935709456</v>
          </cell>
          <cell r="CQ36">
            <v>249.98778989755277</v>
          </cell>
          <cell r="CR36">
            <v>0</v>
          </cell>
        </row>
        <row r="37">
          <cell r="A37" t="str">
            <v xml:space="preserve">     EBITA Margin</v>
          </cell>
          <cell r="B37">
            <v>0</v>
          </cell>
          <cell r="C37">
            <v>0</v>
          </cell>
          <cell r="D37">
            <v>0.49416071572805753</v>
          </cell>
          <cell r="E37">
            <v>0.45232227488151655</v>
          </cell>
          <cell r="F37">
            <v>0.47142857142857147</v>
          </cell>
          <cell r="G37">
            <v>0.47671885636487404</v>
          </cell>
          <cell r="H37">
            <v>0.47142857142857147</v>
          </cell>
          <cell r="I37">
            <v>0.47671885636487404</v>
          </cell>
          <cell r="J37">
            <v>0.45015290519877676</v>
          </cell>
          <cell r="M37">
            <v>0.41935483870967744</v>
          </cell>
          <cell r="P37">
            <v>0.40479999999999999</v>
          </cell>
          <cell r="R37">
            <v>0.40479999999999999</v>
          </cell>
          <cell r="S37">
            <v>0.43546099290780144</v>
          </cell>
          <cell r="T37">
            <v>0.45106186518928904</v>
          </cell>
          <cell r="U37">
            <v>0.45057721549225255</v>
          </cell>
          <cell r="V37">
            <v>0.43326029134107846</v>
          </cell>
          <cell r="W37">
            <v>0.4196304634804654</v>
          </cell>
          <cell r="X37">
            <v>0.41428959017888389</v>
          </cell>
          <cell r="Y37">
            <v>0.42035903148600939</v>
          </cell>
          <cell r="Z37">
            <v>0.41501309279538945</v>
          </cell>
          <cell r="AA37">
            <v>0.42640173279122251</v>
          </cell>
          <cell r="AB37">
            <v>0.42380194782809838</v>
          </cell>
          <cell r="AC37">
            <v>0.43501265091005581</v>
          </cell>
          <cell r="AD37">
            <v>0.43244735821788971</v>
          </cell>
          <cell r="AE37">
            <v>0.42986862144841032</v>
          </cell>
          <cell r="AF37">
            <v>0.42727637955955472</v>
          </cell>
          <cell r="AG37">
            <v>0.42467057118935364</v>
          </cell>
          <cell r="AH37">
            <v>0.42205113465447813</v>
          </cell>
          <cell r="AK37">
            <v>0.41911952836235805</v>
          </cell>
          <cell r="AL37">
            <v>0.480899212965335</v>
          </cell>
          <cell r="AM37">
            <v>0.45805409105436284</v>
          </cell>
          <cell r="AN37">
            <v>0.5162183297180214</v>
          </cell>
          <cell r="AP37">
            <v>0.42436102236421719</v>
          </cell>
          <cell r="AQ37">
            <v>0.52758215962441313</v>
          </cell>
          <cell r="AR37">
            <v>0.43208955223880596</v>
          </cell>
          <cell r="AS37">
            <v>0.5012025316455696</v>
          </cell>
          <cell r="AU37">
            <v>0.42226890756302521</v>
          </cell>
          <cell r="AV37">
            <v>0.53038379530916846</v>
          </cell>
          <cell r="AW37">
            <v>0.36583577712609971</v>
          </cell>
          <cell r="AX37">
            <v>0.45245726495726496</v>
          </cell>
          <cell r="AZ37">
            <v>0.38956639566395662</v>
          </cell>
          <cell r="BA37">
            <v>0.52680525164113789</v>
          </cell>
          <cell r="BB37">
            <v>0.35546875</v>
          </cell>
          <cell r="BC37">
            <v>0.37561881188118812</v>
          </cell>
          <cell r="BE37">
            <v>0.38956639566395662</v>
          </cell>
          <cell r="BF37">
            <v>0.52680525164113789</v>
          </cell>
          <cell r="BG37">
            <v>0.35546875</v>
          </cell>
          <cell r="BH37">
            <v>0.37561881188118812</v>
          </cell>
          <cell r="BJ37">
            <v>0.2986111111111111</v>
          </cell>
          <cell r="BK37">
            <v>0.46815589353612169</v>
          </cell>
          <cell r="BL37">
            <v>0.37988505747126439</v>
          </cell>
          <cell r="BM37">
            <v>0.44256756756756754</v>
          </cell>
          <cell r="BO37">
            <v>0.2986111111111111</v>
          </cell>
          <cell r="BP37">
            <v>0.46815589353612169</v>
          </cell>
          <cell r="BQ37">
            <v>0.37988505747126439</v>
          </cell>
          <cell r="BR37">
            <v>0.44256756756756754</v>
          </cell>
          <cell r="BT37">
            <v>0.4066147859922179</v>
          </cell>
          <cell r="BU37">
            <v>0.51433389544688024</v>
          </cell>
          <cell r="BV37">
            <v>0.34989200863930886</v>
          </cell>
          <cell r="BW37">
            <v>0.44954128440366975</v>
          </cell>
          <cell r="BY37">
            <v>0.42664092664092662</v>
          </cell>
          <cell r="BZ37">
            <v>0.48336252189141854</v>
          </cell>
          <cell r="CA37">
            <v>0.41020408163265304</v>
          </cell>
          <cell r="CB37">
            <v>0.47529812606473593</v>
          </cell>
          <cell r="CD37">
            <v>0.43579766536964981</v>
          </cell>
          <cell r="CE37">
            <v>0.48686514886164622</v>
          </cell>
          <cell r="CF37">
            <v>0.42527592721487517</v>
          </cell>
          <cell r="CG37">
            <v>0.44989643111820438</v>
          </cell>
          <cell r="CI37">
            <v>0.39466376718335722</v>
          </cell>
          <cell r="CJ37">
            <v>0.4743764679223148</v>
          </cell>
          <cell r="CK37">
            <v>0.41337401362305526</v>
          </cell>
          <cell r="CL37">
            <v>0.44364205897395964</v>
          </cell>
          <cell r="CN37">
            <v>0.38169553276978052</v>
          </cell>
          <cell r="CO37">
            <v>0.45838035990407661</v>
          </cell>
          <cell r="CP37">
            <v>0.40336471764252102</v>
          </cell>
          <cell r="CQ37">
            <v>0.42676105129961572</v>
          </cell>
        </row>
        <row r="38">
          <cell r="A38" t="str">
            <v xml:space="preserve">     Operating Income</v>
          </cell>
          <cell r="B38">
            <v>0</v>
          </cell>
          <cell r="C38">
            <v>0</v>
          </cell>
          <cell r="D38">
            <v>374.75796821515894</v>
          </cell>
          <cell r="E38">
            <v>401</v>
          </cell>
          <cell r="F38">
            <v>539</v>
          </cell>
          <cell r="G38">
            <v>557</v>
          </cell>
          <cell r="H38">
            <v>539</v>
          </cell>
          <cell r="I38">
            <v>557</v>
          </cell>
          <cell r="J38">
            <v>585</v>
          </cell>
          <cell r="K38">
            <v>0</v>
          </cell>
          <cell r="L38">
            <v>585</v>
          </cell>
          <cell r="M38">
            <v>499</v>
          </cell>
          <cell r="N38">
            <v>0</v>
          </cell>
          <cell r="O38">
            <v>499</v>
          </cell>
          <cell r="P38">
            <v>598</v>
          </cell>
          <cell r="Q38">
            <v>0</v>
          </cell>
          <cell r="R38">
            <v>598</v>
          </cell>
          <cell r="S38">
            <v>921</v>
          </cell>
          <cell r="T38">
            <v>977</v>
          </cell>
          <cell r="U38">
            <v>980.83</v>
          </cell>
          <cell r="V38">
            <v>943.13399999999979</v>
          </cell>
          <cell r="W38">
            <v>954.57006999999953</v>
          </cell>
          <cell r="X38">
            <v>965.98123694999924</v>
          </cell>
          <cell r="Y38">
            <v>1034.0404125502491</v>
          </cell>
          <cell r="Z38">
            <v>1046.4121964386454</v>
          </cell>
          <cell r="AA38">
            <v>1134.2594739897299</v>
          </cell>
          <cell r="AB38">
            <v>1155.5274542494717</v>
          </cell>
          <cell r="AC38">
            <v>1251.3294527058167</v>
          </cell>
          <cell r="AD38">
            <v>1275.0490539173379</v>
          </cell>
          <cell r="AE38">
            <v>1299.1319241234489</v>
          </cell>
          <cell r="AF38">
            <v>1323.5801971782932</v>
          </cell>
          <cell r="AG38">
            <v>1348.3958507214538</v>
          </cell>
          <cell r="AH38">
            <v>1373.5806959632644</v>
          </cell>
          <cell r="AK38">
            <v>134.28170569201589</v>
          </cell>
          <cell r="AL38">
            <v>194.26885506160639</v>
          </cell>
          <cell r="AM38">
            <v>133.99456325613275</v>
          </cell>
          <cell r="AN38">
            <v>194.15487599024496</v>
          </cell>
          <cell r="AP38">
            <v>97</v>
          </cell>
          <cell r="AQ38">
            <v>187</v>
          </cell>
          <cell r="AR38">
            <v>107</v>
          </cell>
          <cell r="AS38">
            <v>166</v>
          </cell>
          <cell r="AU38">
            <v>113</v>
          </cell>
          <cell r="AV38">
            <v>211</v>
          </cell>
          <cell r="AW38">
            <v>87</v>
          </cell>
          <cell r="AX38">
            <v>174</v>
          </cell>
          <cell r="AZ38">
            <v>106</v>
          </cell>
          <cell r="BA38">
            <v>203</v>
          </cell>
          <cell r="BB38">
            <v>76</v>
          </cell>
          <cell r="BC38">
            <v>114</v>
          </cell>
          <cell r="BE38">
            <v>106</v>
          </cell>
          <cell r="BF38">
            <v>203</v>
          </cell>
          <cell r="BG38">
            <v>76</v>
          </cell>
          <cell r="BH38">
            <v>114</v>
          </cell>
          <cell r="BJ38">
            <v>78</v>
          </cell>
          <cell r="BK38">
            <v>206</v>
          </cell>
          <cell r="BL38">
            <v>125</v>
          </cell>
          <cell r="BM38">
            <v>189</v>
          </cell>
          <cell r="BO38">
            <v>78</v>
          </cell>
          <cell r="BP38">
            <v>206</v>
          </cell>
          <cell r="BQ38">
            <v>125</v>
          </cell>
          <cell r="BR38">
            <v>189</v>
          </cell>
          <cell r="BT38">
            <v>209</v>
          </cell>
          <cell r="BU38">
            <v>305</v>
          </cell>
          <cell r="BV38">
            <v>162</v>
          </cell>
          <cell r="BW38">
            <v>245</v>
          </cell>
          <cell r="BY38">
            <v>221</v>
          </cell>
          <cell r="BZ38">
            <v>276</v>
          </cell>
          <cell r="CA38">
            <v>201</v>
          </cell>
          <cell r="CB38">
            <v>279</v>
          </cell>
          <cell r="CC38">
            <v>0</v>
          </cell>
          <cell r="CD38">
            <v>224</v>
          </cell>
          <cell r="CE38">
            <v>278</v>
          </cell>
          <cell r="CF38">
            <v>213.85</v>
          </cell>
          <cell r="CG38">
            <v>264.98</v>
          </cell>
          <cell r="CH38">
            <v>0</v>
          </cell>
          <cell r="CI38">
            <v>201.45611995874469</v>
          </cell>
          <cell r="CJ38">
            <v>269.01889495874474</v>
          </cell>
          <cell r="CK38">
            <v>205.23709745874476</v>
          </cell>
          <cell r="CL38">
            <v>267.42188762376571</v>
          </cell>
          <cell r="CM38">
            <v>0</v>
          </cell>
          <cell r="CN38">
            <v>205.16281839155818</v>
          </cell>
          <cell r="CO38">
            <v>291.14120235379409</v>
          </cell>
          <cell r="CP38">
            <v>208.27825935709456</v>
          </cell>
          <cell r="CQ38">
            <v>249.98778989755277</v>
          </cell>
          <cell r="CR38">
            <v>0</v>
          </cell>
        </row>
        <row r="39">
          <cell r="A39" t="str">
            <v xml:space="preserve">     Operating Income Margin</v>
          </cell>
          <cell r="B39">
            <v>0</v>
          </cell>
          <cell r="C39">
            <v>0</v>
          </cell>
          <cell r="D39">
            <v>0.44514204832869958</v>
          </cell>
          <cell r="E39">
            <v>0.3800947867298578</v>
          </cell>
          <cell r="F39">
            <v>0.38693467336683418</v>
          </cell>
          <cell r="G39">
            <v>0.37916950306330838</v>
          </cell>
          <cell r="H39">
            <v>0.38693467336683418</v>
          </cell>
          <cell r="I39">
            <v>0.37916950306330838</v>
          </cell>
          <cell r="J39">
            <v>0.3577981651376147</v>
          </cell>
          <cell r="M39">
            <v>0.32193548387096776</v>
          </cell>
          <cell r="P39">
            <v>0.31893333333333335</v>
          </cell>
          <cell r="R39">
            <v>0.31893333333333335</v>
          </cell>
          <cell r="S39">
            <v>0.43546099290780144</v>
          </cell>
          <cell r="T39">
            <v>0.45106186518928904</v>
          </cell>
          <cell r="U39">
            <v>0.45057721549225255</v>
          </cell>
          <cell r="V39">
            <v>0.43326029134107846</v>
          </cell>
          <cell r="W39">
            <v>0.4196304634804654</v>
          </cell>
          <cell r="X39">
            <v>0.41428959017888389</v>
          </cell>
          <cell r="Y39">
            <v>0.42035903148600939</v>
          </cell>
          <cell r="Z39">
            <v>0.41501309279538945</v>
          </cell>
          <cell r="AA39">
            <v>0.42640173279122251</v>
          </cell>
          <cell r="AB39">
            <v>0.42380194782809838</v>
          </cell>
          <cell r="AC39">
            <v>0.43501265091005581</v>
          </cell>
          <cell r="AD39">
            <v>0.43244735821788971</v>
          </cell>
          <cell r="AE39">
            <v>0.42986862144841032</v>
          </cell>
          <cell r="AF39">
            <v>0.42727637955955472</v>
          </cell>
          <cell r="AG39">
            <v>0.42467057118935364</v>
          </cell>
          <cell r="AH39">
            <v>0.42205113465447813</v>
          </cell>
          <cell r="AK39">
            <v>0.41911952836235805</v>
          </cell>
          <cell r="AL39">
            <v>0.480899212965335</v>
          </cell>
          <cell r="AM39">
            <v>0.45805409105436284</v>
          </cell>
          <cell r="AN39">
            <v>0.51621832971802117</v>
          </cell>
          <cell r="AP39">
            <v>0.30990415335463256</v>
          </cell>
          <cell r="AQ39">
            <v>0.43896713615023475</v>
          </cell>
          <cell r="AR39">
            <v>0.31940298507462689</v>
          </cell>
          <cell r="AS39">
            <v>0.42025316455696204</v>
          </cell>
          <cell r="AU39">
            <v>0.31652661064425769</v>
          </cell>
          <cell r="AV39">
            <v>0.44989339019189767</v>
          </cell>
          <cell r="AW39">
            <v>0.25513196480938416</v>
          </cell>
          <cell r="AX39">
            <v>0.37179487179487181</v>
          </cell>
          <cell r="AZ39">
            <v>0.2872628726287263</v>
          </cell>
          <cell r="BA39">
            <v>0.44420131291028447</v>
          </cell>
          <cell r="BB39">
            <v>0.23749999999999999</v>
          </cell>
          <cell r="BC39">
            <v>0.28217821782178215</v>
          </cell>
          <cell r="BE39">
            <v>0.2872628726287263</v>
          </cell>
          <cell r="BF39">
            <v>0.44420131291028447</v>
          </cell>
          <cell r="BG39">
            <v>0.23749999999999999</v>
          </cell>
          <cell r="BH39">
            <v>0.28217821782178215</v>
          </cell>
          <cell r="BJ39">
            <v>0.19696969696969696</v>
          </cell>
          <cell r="BK39">
            <v>0.39163498098859317</v>
          </cell>
          <cell r="BL39">
            <v>0.28735632183908044</v>
          </cell>
          <cell r="BM39">
            <v>0.36486486486486486</v>
          </cell>
          <cell r="BO39">
            <v>0.19696969696969696</v>
          </cell>
          <cell r="BP39">
            <v>0.39163498098859317</v>
          </cell>
          <cell r="BQ39">
            <v>0.28735632183908044</v>
          </cell>
          <cell r="BR39">
            <v>0.36486486486486486</v>
          </cell>
          <cell r="BT39">
            <v>0.4066147859922179</v>
          </cell>
          <cell r="BU39">
            <v>0.51433389544688024</v>
          </cell>
          <cell r="BV39">
            <v>0.34989200863930886</v>
          </cell>
          <cell r="BW39">
            <v>0.44954128440366975</v>
          </cell>
          <cell r="BY39">
            <v>0.42664092664092662</v>
          </cell>
          <cell r="BZ39">
            <v>0.48336252189141854</v>
          </cell>
          <cell r="CA39">
            <v>0.41020408163265304</v>
          </cell>
          <cell r="CB39">
            <v>0.47529812606473593</v>
          </cell>
          <cell r="CD39">
            <v>0.43579766536964981</v>
          </cell>
          <cell r="CE39">
            <v>0.48686514886164622</v>
          </cell>
          <cell r="CF39">
            <v>0.42527592721487517</v>
          </cell>
          <cell r="CG39">
            <v>0.44989643111820438</v>
          </cell>
          <cell r="CI39">
            <v>0.39466376718335722</v>
          </cell>
          <cell r="CJ39">
            <v>0.4743764679223148</v>
          </cell>
          <cell r="CK39">
            <v>0.41337401362305526</v>
          </cell>
          <cell r="CL39">
            <v>0.44364205897395964</v>
          </cell>
          <cell r="CN39">
            <v>0.38169553276978052</v>
          </cell>
          <cell r="CO39">
            <v>0.45838035990407661</v>
          </cell>
          <cell r="CP39">
            <v>0.40336471764252102</v>
          </cell>
          <cell r="CQ39">
            <v>0.42676105129961572</v>
          </cell>
        </row>
        <row r="41">
          <cell r="A41" t="str">
            <v>Television Broadcast Network</v>
          </cell>
        </row>
        <row r="42">
          <cell r="A42" t="str">
            <v xml:space="preserve">     Revenue</v>
          </cell>
          <cell r="B42">
            <v>747.03300000000002</v>
          </cell>
          <cell r="C42">
            <v>980.28600000000017</v>
          </cell>
          <cell r="D42">
            <v>1375.991</v>
          </cell>
          <cell r="E42">
            <v>1474</v>
          </cell>
          <cell r="F42">
            <v>1459</v>
          </cell>
          <cell r="G42">
            <v>1743</v>
          </cell>
          <cell r="H42">
            <v>1459</v>
          </cell>
          <cell r="I42">
            <v>1743</v>
          </cell>
          <cell r="J42">
            <v>1751</v>
          </cell>
          <cell r="K42">
            <v>0</v>
          </cell>
          <cell r="L42">
            <v>1751</v>
          </cell>
          <cell r="M42">
            <v>1823</v>
          </cell>
          <cell r="N42">
            <v>0</v>
          </cell>
          <cell r="O42">
            <v>1823</v>
          </cell>
          <cell r="P42">
            <v>2048</v>
          </cell>
          <cell r="Q42">
            <v>0</v>
          </cell>
          <cell r="R42">
            <v>2048</v>
          </cell>
          <cell r="S42">
            <v>2244</v>
          </cell>
          <cell r="T42">
            <v>2390</v>
          </cell>
          <cell r="U42">
            <v>2614.0047812230582</v>
          </cell>
          <cell r="V42">
            <v>2558.3203261102567</v>
          </cell>
          <cell r="W42">
            <v>2664.1226644335447</v>
          </cell>
          <cell r="X42">
            <v>2770.3725109234942</v>
          </cell>
          <cell r="Y42">
            <v>2881.6073500551465</v>
          </cell>
          <cell r="Z42">
            <v>2987.9580652109698</v>
          </cell>
          <cell r="AA42">
            <v>3099.3038201189843</v>
          </cell>
          <cell r="AB42">
            <v>3215.9144561470771</v>
          </cell>
          <cell r="AC42">
            <v>3338.0753343209794</v>
          </cell>
          <cell r="AD42">
            <v>3466.0882506991302</v>
          </cell>
          <cell r="AE42">
            <v>3600.2724062788393</v>
          </cell>
          <cell r="AF42">
            <v>3740.9654346954899</v>
          </cell>
          <cell r="AG42">
            <v>3888.5244911719333</v>
          </cell>
          <cell r="AH42">
            <v>4043.3274063824078</v>
          </cell>
          <cell r="AK42">
            <v>297.86</v>
          </cell>
          <cell r="AL42">
            <v>512.28</v>
          </cell>
          <cell r="AM42">
            <v>308.72000000000003</v>
          </cell>
          <cell r="AN42">
            <v>340.14</v>
          </cell>
          <cell r="AP42">
            <v>301</v>
          </cell>
          <cell r="AQ42">
            <v>578</v>
          </cell>
          <cell r="AR42">
            <v>498</v>
          </cell>
          <cell r="AS42">
            <v>366</v>
          </cell>
          <cell r="AU42">
            <v>332</v>
          </cell>
          <cell r="AV42">
            <v>582</v>
          </cell>
          <cell r="AW42">
            <v>439</v>
          </cell>
          <cell r="AX42">
            <v>398</v>
          </cell>
          <cell r="AZ42">
            <v>339</v>
          </cell>
          <cell r="BA42">
            <v>649</v>
          </cell>
          <cell r="BB42">
            <v>426</v>
          </cell>
          <cell r="BC42">
            <v>409</v>
          </cell>
          <cell r="BE42">
            <v>339</v>
          </cell>
          <cell r="BF42">
            <v>649</v>
          </cell>
          <cell r="BG42">
            <v>426</v>
          </cell>
          <cell r="BH42">
            <v>409</v>
          </cell>
          <cell r="BJ42">
            <v>320</v>
          </cell>
          <cell r="BK42">
            <v>722</v>
          </cell>
          <cell r="BL42">
            <v>553</v>
          </cell>
          <cell r="BM42">
            <v>453</v>
          </cell>
          <cell r="BO42">
            <v>320</v>
          </cell>
          <cell r="BP42">
            <v>722</v>
          </cell>
          <cell r="BQ42">
            <v>553</v>
          </cell>
          <cell r="BR42">
            <v>453</v>
          </cell>
          <cell r="BT42">
            <v>424</v>
          </cell>
          <cell r="BU42">
            <v>749</v>
          </cell>
          <cell r="BV42">
            <v>558</v>
          </cell>
          <cell r="BW42">
            <v>513</v>
          </cell>
          <cell r="BY42">
            <v>394</v>
          </cell>
          <cell r="BZ42">
            <v>860</v>
          </cell>
          <cell r="CA42">
            <v>576</v>
          </cell>
          <cell r="CB42">
            <v>560</v>
          </cell>
          <cell r="CC42">
            <v>0</v>
          </cell>
          <cell r="CD42">
            <v>382</v>
          </cell>
          <cell r="CE42">
            <v>858</v>
          </cell>
          <cell r="CF42">
            <v>765.41729839999994</v>
          </cell>
          <cell r="CG42">
            <v>608.58748282305805</v>
          </cell>
          <cell r="CH42">
            <v>0</v>
          </cell>
          <cell r="CI42">
            <v>412.07893984375005</v>
          </cell>
          <cell r="CJ42">
            <v>860.57240194105441</v>
          </cell>
          <cell r="CK42">
            <v>694.65862004799999</v>
          </cell>
          <cell r="CL42">
            <v>591.01036427745225</v>
          </cell>
          <cell r="CM42">
            <v>0</v>
          </cell>
          <cell r="CN42">
            <v>444.78399939875004</v>
          </cell>
          <cell r="CO42">
            <v>825.6628541279606</v>
          </cell>
          <cell r="CP42">
            <v>720.0749831679999</v>
          </cell>
          <cell r="CQ42">
            <v>673.60082773883391</v>
          </cell>
          <cell r="CR42">
            <v>0</v>
          </cell>
        </row>
        <row r="43">
          <cell r="A43" t="str">
            <v xml:space="preserve">     % Growth</v>
          </cell>
          <cell r="C43">
            <v>0.31223921834778401</v>
          </cell>
          <cell r="D43">
            <v>0.40366280860891601</v>
          </cell>
          <cell r="E43">
            <v>7.1227936810633219E-2</v>
          </cell>
          <cell r="F43">
            <v>-1.0176390773405708E-2</v>
          </cell>
          <cell r="G43">
            <v>0.19465387251542143</v>
          </cell>
          <cell r="H43">
            <v>-0.16293746414228338</v>
          </cell>
          <cell r="I43">
            <v>0.19465387251542143</v>
          </cell>
          <cell r="J43">
            <v>4.589787722317773E-3</v>
          </cell>
          <cell r="L43">
            <v>4.589787722317773E-3</v>
          </cell>
          <cell r="M43">
            <v>4.1119360365505342E-2</v>
          </cell>
          <cell r="O43">
            <v>4.1119360365505342E-2</v>
          </cell>
          <cell r="P43">
            <v>0.12342292923752063</v>
          </cell>
          <cell r="R43">
            <v>0.12342292923752063</v>
          </cell>
          <cell r="S43">
            <v>9.5703125E-2</v>
          </cell>
          <cell r="T43">
            <v>6.5062388591800246E-2</v>
          </cell>
          <cell r="U43">
            <v>9.372584988412469E-2</v>
          </cell>
          <cell r="V43">
            <v>-2.1302353963846832E-2</v>
          </cell>
          <cell r="W43">
            <v>4.1356173127918172E-2</v>
          </cell>
          <cell r="X43">
            <v>3.9881739646751901E-2</v>
          </cell>
          <cell r="Y43">
            <v>4.0151582032039723E-2</v>
          </cell>
          <cell r="Z43">
            <v>3.6906733720605045E-2</v>
          </cell>
          <cell r="AA43">
            <v>3.7264831861069769E-2</v>
          </cell>
          <cell r="AB43">
            <v>3.7624783756636138E-2</v>
          </cell>
          <cell r="AC43">
            <v>3.7986358107379825E-2</v>
          </cell>
          <cell r="AD43">
            <v>3.8349319160644546E-2</v>
          </cell>
          <cell r="AE43">
            <v>3.8713427320450799E-2</v>
          </cell>
          <cell r="AF43">
            <v>3.9078439778968743E-2</v>
          </cell>
          <cell r="AG43">
            <v>3.9444111166575091E-2</v>
          </cell>
          <cell r="AH43">
            <v>3.9810194216835182E-2</v>
          </cell>
          <cell r="AP43">
            <v>1.0541865305848441E-2</v>
          </cell>
          <cell r="AQ43">
            <v>0.12828921683454375</v>
          </cell>
          <cell r="AR43">
            <v>0.61311220523451659</v>
          </cell>
          <cell r="AS43">
            <v>7.6027518080790335E-2</v>
          </cell>
          <cell r="AU43">
            <v>0.10299003322259126</v>
          </cell>
          <cell r="AV43">
            <v>6.9204152249136008E-3</v>
          </cell>
          <cell r="AW43">
            <v>-0.11847389558232935</v>
          </cell>
          <cell r="AX43">
            <v>8.7431693989071135E-2</v>
          </cell>
          <cell r="AZ43">
            <v>2.108433734939763E-2</v>
          </cell>
          <cell r="BA43">
            <v>0.11512027491408938</v>
          </cell>
          <cell r="BB43">
            <v>-2.9612756264236872E-2</v>
          </cell>
          <cell r="BC43">
            <v>2.7638190954773822E-2</v>
          </cell>
          <cell r="BJ43">
            <v>-5.6047197640118007E-2</v>
          </cell>
          <cell r="BK43">
            <v>0.11248073959938365</v>
          </cell>
          <cell r="BL43">
            <v>0.2981220657276995</v>
          </cell>
          <cell r="BM43">
            <v>0.10757946210268954</v>
          </cell>
          <cell r="BO43">
            <v>-5.6047197640118007E-2</v>
          </cell>
          <cell r="BP43">
            <v>0.11248073959938365</v>
          </cell>
          <cell r="BQ43">
            <v>0.2981220657276995</v>
          </cell>
          <cell r="BR43">
            <v>0.10757946210268954</v>
          </cell>
          <cell r="BT43">
            <v>0.32499999999999996</v>
          </cell>
          <cell r="BU43">
            <v>3.7396121883656486E-2</v>
          </cell>
          <cell r="BV43">
            <v>9.0415913200723175E-3</v>
          </cell>
          <cell r="BW43">
            <v>0.13245033112582782</v>
          </cell>
          <cell r="BY43">
            <v>-7.0754716981132115E-2</v>
          </cell>
          <cell r="BZ43">
            <v>0.14819759679572764</v>
          </cell>
          <cell r="CA43">
            <v>3.2258064516129004E-2</v>
          </cell>
          <cell r="CB43">
            <v>9.161793372319682E-2</v>
          </cell>
          <cell r="CD43">
            <v>-3.0456852791878153E-2</v>
          </cell>
          <cell r="CE43">
            <v>-2.3255813953488857E-3</v>
          </cell>
          <cell r="CF43">
            <v>0.32884947638888873</v>
          </cell>
          <cell r="CG43">
            <v>8.6763362184032244E-2</v>
          </cell>
          <cell r="CI43">
            <v>7.8740680219240966E-2</v>
          </cell>
          <cell r="CJ43">
            <v>2.998137460436423E-3</v>
          </cell>
          <cell r="CK43">
            <v>-9.2444576964632597E-2</v>
          </cell>
          <cell r="CL43">
            <v>-2.8881827250325176E-2</v>
          </cell>
          <cell r="CN43">
            <v>7.936600586140341E-2</v>
          </cell>
          <cell r="CO43">
            <v>-4.0565497724949107E-2</v>
          </cell>
          <cell r="CP43">
            <v>3.6588278596821677E-2</v>
          </cell>
          <cell r="CQ43">
            <v>0.13974452641343049</v>
          </cell>
        </row>
        <row r="44">
          <cell r="A44" t="str">
            <v xml:space="preserve">     EBITDA</v>
          </cell>
          <cell r="B44">
            <v>58.573327793649426</v>
          </cell>
          <cell r="C44">
            <v>20.256898275153986</v>
          </cell>
          <cell r="D44">
            <v>9.9740000000000677</v>
          </cell>
          <cell r="E44">
            <v>-32</v>
          </cell>
          <cell r="F44">
            <v>31</v>
          </cell>
          <cell r="G44">
            <v>-16</v>
          </cell>
          <cell r="H44">
            <v>31</v>
          </cell>
          <cell r="I44">
            <v>-16</v>
          </cell>
          <cell r="J44">
            <v>47</v>
          </cell>
          <cell r="K44">
            <v>0</v>
          </cell>
          <cell r="L44">
            <v>47</v>
          </cell>
          <cell r="M44">
            <v>-45</v>
          </cell>
          <cell r="N44">
            <v>0</v>
          </cell>
          <cell r="O44">
            <v>-45</v>
          </cell>
          <cell r="P44">
            <v>-263</v>
          </cell>
          <cell r="Q44">
            <v>0</v>
          </cell>
          <cell r="R44">
            <v>-263</v>
          </cell>
          <cell r="S44">
            <v>-81</v>
          </cell>
          <cell r="T44">
            <v>-55</v>
          </cell>
          <cell r="U44">
            <v>-137.24487653774366</v>
          </cell>
          <cell r="V44">
            <v>-32.512290776759158</v>
          </cell>
          <cell r="W44">
            <v>13.98233642581647</v>
          </cell>
          <cell r="X44">
            <v>3.152397423945871</v>
          </cell>
          <cell r="Y44">
            <v>2.3946016779283923</v>
          </cell>
          <cell r="Z44">
            <v>8.0901001734963955</v>
          </cell>
          <cell r="AA44">
            <v>14.445895090854549</v>
          </cell>
          <cell r="AB44">
            <v>21.519178462723801</v>
          </cell>
          <cell r="AC44">
            <v>29.371539138259209</v>
          </cell>
          <cell r="AD44">
            <v>38.069279682009665</v>
          </cell>
          <cell r="AE44">
            <v>47.683755209770482</v>
          </cell>
          <cell r="AF44">
            <v>58.291735638505656</v>
          </cell>
          <cell r="AG44">
            <v>69.975792925015753</v>
          </cell>
          <cell r="AH44">
            <v>82.824714971866456</v>
          </cell>
          <cell r="AK44">
            <v>6.3287594242631942</v>
          </cell>
          <cell r="AL44">
            <v>10.884633310486633</v>
          </cell>
          <cell r="AM44">
            <v>6.5595065113091158</v>
          </cell>
          <cell r="AN44">
            <v>7.2271007539410563</v>
          </cell>
          <cell r="AP44">
            <v>7</v>
          </cell>
          <cell r="AQ44">
            <v>-48</v>
          </cell>
          <cell r="AR44">
            <v>1</v>
          </cell>
          <cell r="AS44">
            <v>24</v>
          </cell>
          <cell r="AU44">
            <v>20</v>
          </cell>
          <cell r="AV44">
            <v>-16</v>
          </cell>
          <cell r="AW44">
            <v>-5</v>
          </cell>
          <cell r="AX44">
            <v>48</v>
          </cell>
          <cell r="AZ44">
            <v>-31</v>
          </cell>
          <cell r="BA44">
            <v>-60</v>
          </cell>
          <cell r="BB44">
            <v>1</v>
          </cell>
          <cell r="BC44">
            <v>45</v>
          </cell>
          <cell r="BE44">
            <v>-31</v>
          </cell>
          <cell r="BF44">
            <v>-60</v>
          </cell>
          <cell r="BG44">
            <v>1</v>
          </cell>
          <cell r="BH44">
            <v>45</v>
          </cell>
          <cell r="BJ44">
            <v>-38</v>
          </cell>
          <cell r="BK44">
            <v>-125</v>
          </cell>
          <cell r="BL44">
            <v>-45</v>
          </cell>
          <cell r="BM44">
            <v>-55</v>
          </cell>
          <cell r="BO44">
            <v>-38</v>
          </cell>
          <cell r="BP44">
            <v>-125</v>
          </cell>
          <cell r="BQ44">
            <v>-45</v>
          </cell>
          <cell r="BR44">
            <v>-55</v>
          </cell>
          <cell r="BT44">
            <v>-3</v>
          </cell>
          <cell r="BU44">
            <v>-149</v>
          </cell>
          <cell r="BV44">
            <v>37</v>
          </cell>
          <cell r="BW44">
            <v>34</v>
          </cell>
          <cell r="BY44">
            <v>-41</v>
          </cell>
          <cell r="BZ44">
            <v>-128</v>
          </cell>
          <cell r="CA44">
            <v>52</v>
          </cell>
          <cell r="CB44">
            <v>62</v>
          </cell>
          <cell r="CC44">
            <v>0</v>
          </cell>
          <cell r="CD44">
            <v>-4</v>
          </cell>
          <cell r="CE44">
            <v>-152</v>
          </cell>
          <cell r="CF44">
            <v>-22.261410594716175</v>
          </cell>
          <cell r="CG44">
            <v>41.016534056972233</v>
          </cell>
          <cell r="CH44">
            <v>2.8421709430404007E-13</v>
          </cell>
          <cell r="CI44">
            <v>-35.499165314062523</v>
          </cell>
          <cell r="CJ44">
            <v>-107.87574078067411</v>
          </cell>
          <cell r="CK44">
            <v>43.947751112607939</v>
          </cell>
          <cell r="CL44">
            <v>66.914864205369696</v>
          </cell>
          <cell r="CM44">
            <v>-1.7053025658242404E-13</v>
          </cell>
          <cell r="CN44">
            <v>-9.9370424984156713</v>
          </cell>
          <cell r="CO44">
            <v>-117.98557246596519</v>
          </cell>
          <cell r="CP44">
            <v>34.389397731035118</v>
          </cell>
          <cell r="CQ44">
            <v>107.51555365916198</v>
          </cell>
          <cell r="CR44">
            <v>2.4158453015843406E-13</v>
          </cell>
        </row>
        <row r="45">
          <cell r="A45" t="str">
            <v xml:space="preserve">     EBITDA Margin</v>
          </cell>
          <cell r="B45">
            <v>7.8407952250636084E-2</v>
          </cell>
          <cell r="C45">
            <v>2.0664273768220685E-2</v>
          </cell>
          <cell r="D45">
            <v>4.256810385652917E-2</v>
          </cell>
          <cell r="E45">
            <v>-2.1709633649932156E-2</v>
          </cell>
          <cell r="F45">
            <v>2.1247429746401644E-2</v>
          </cell>
          <cell r="G45">
            <v>-9.1795754446356848E-3</v>
          </cell>
          <cell r="H45">
            <v>2.1247429746401644E-2</v>
          </cell>
          <cell r="I45">
            <v>-9.1795754446356848E-3</v>
          </cell>
          <cell r="J45">
            <v>2.6841804683038265E-2</v>
          </cell>
          <cell r="L45">
            <v>2.6841804683038265E-2</v>
          </cell>
          <cell r="M45">
            <v>-2.4684585847504114E-2</v>
          </cell>
          <cell r="O45">
            <v>-2.4684585847504114E-2</v>
          </cell>
          <cell r="P45">
            <v>-0.12841796875</v>
          </cell>
          <cell r="S45">
            <v>-3.6096256684491977E-2</v>
          </cell>
          <cell r="T45">
            <v>-2.3012552301255231E-2</v>
          </cell>
          <cell r="U45">
            <v>-5.250368228994922E-2</v>
          </cell>
          <cell r="V45">
            <v>-1.2708451887333348E-2</v>
          </cell>
          <cell r="W45">
            <v>5.2483831215742634E-3</v>
          </cell>
          <cell r="X45">
            <v>1.1378965866561497E-3</v>
          </cell>
          <cell r="Y45">
            <v>8.3099513120084376E-4</v>
          </cell>
          <cell r="Z45">
            <v>2.7075681776428076E-3</v>
          </cell>
          <cell r="AA45">
            <v>4.6610129013747231E-3</v>
          </cell>
          <cell r="AB45">
            <v>6.6914648247532989E-3</v>
          </cell>
          <cell r="AC45">
            <v>8.7989443606232669E-3</v>
          </cell>
          <cell r="AD45">
            <v>1.0983355566417234E-2</v>
          </cell>
          <cell r="AE45">
            <v>1.3244485369109984E-2</v>
          </cell>
          <cell r="AF45">
            <v>1.558200327056765E-2</v>
          </cell>
          <cell r="AG45">
            <v>1.7995461539172735E-2</v>
          </cell>
          <cell r="AH45">
            <v>2.0484295889847386E-2</v>
          </cell>
          <cell r="AK45">
            <v>2.1247429746401644E-2</v>
          </cell>
          <cell r="AL45">
            <v>2.1247429746401644E-2</v>
          </cell>
          <cell r="AM45">
            <v>2.1247429746401644E-2</v>
          </cell>
          <cell r="AN45">
            <v>2.1247429746401647E-2</v>
          </cell>
          <cell r="AP45">
            <v>2.3255813953488372E-2</v>
          </cell>
          <cell r="AQ45">
            <v>-8.3044982698961933E-2</v>
          </cell>
          <cell r="AR45">
            <v>2.008032128514056E-3</v>
          </cell>
          <cell r="AS45">
            <v>6.5573770491803282E-2</v>
          </cell>
          <cell r="AU45">
            <v>6.0240963855421686E-2</v>
          </cell>
          <cell r="AV45">
            <v>-2.7491408934707903E-2</v>
          </cell>
          <cell r="AW45">
            <v>-1.1389521640091117E-2</v>
          </cell>
          <cell r="AX45">
            <v>0.12060301507537688</v>
          </cell>
          <cell r="AZ45">
            <v>-9.1445427728613568E-2</v>
          </cell>
          <cell r="BA45">
            <v>-9.2449922958397532E-2</v>
          </cell>
          <cell r="BB45">
            <v>2.3474178403755869E-3</v>
          </cell>
          <cell r="BC45">
            <v>0.1100244498777506</v>
          </cell>
          <cell r="BE45">
            <v>-9.1445427728613568E-2</v>
          </cell>
          <cell r="BF45">
            <v>-9.2449922958397532E-2</v>
          </cell>
          <cell r="BG45">
            <v>2.3474178403755869E-3</v>
          </cell>
          <cell r="BH45">
            <v>0.1100244498777506</v>
          </cell>
          <cell r="BJ45">
            <v>-0.11874999999999999</v>
          </cell>
          <cell r="BK45">
            <v>-0.17313019390581719</v>
          </cell>
          <cell r="BL45">
            <v>-8.1374321880650996E-2</v>
          </cell>
          <cell r="BM45">
            <v>-0.12141280353200883</v>
          </cell>
          <cell r="BO45">
            <v>-0.11874999999999999</v>
          </cell>
          <cell r="BP45">
            <v>-0.17313019390581719</v>
          </cell>
          <cell r="BQ45">
            <v>-8.1374321880650996E-2</v>
          </cell>
          <cell r="BR45">
            <v>-0.12141280353200883</v>
          </cell>
          <cell r="BT45">
            <v>-7.0754716981132077E-3</v>
          </cell>
          <cell r="BU45">
            <v>-0.19893190921228304</v>
          </cell>
          <cell r="BV45">
            <v>6.6308243727598568E-2</v>
          </cell>
          <cell r="BW45">
            <v>6.6276803118908378E-2</v>
          </cell>
          <cell r="BY45">
            <v>-0.10406091370558376</v>
          </cell>
          <cell r="BZ45">
            <v>-0.14883720930232558</v>
          </cell>
          <cell r="CA45">
            <v>9.0277777777777776E-2</v>
          </cell>
          <cell r="CB45">
            <v>0.11071428571428571</v>
          </cell>
          <cell r="CD45">
            <v>-1.0471204188481676E-2</v>
          </cell>
          <cell r="CE45">
            <v>-0.17715617715617715</v>
          </cell>
          <cell r="CF45">
            <v>-2.9084018144416916E-2</v>
          </cell>
          <cell r="CG45">
            <v>6.7396282727848117E-2</v>
          </cell>
          <cell r="CI45">
            <v>-8.6146516799725098E-2</v>
          </cell>
          <cell r="CJ45">
            <v>-0.12535347466100027</v>
          </cell>
          <cell r="CK45">
            <v>6.3265249784953667E-2</v>
          </cell>
          <cell r="CL45">
            <v>0.11322113494097075</v>
          </cell>
          <cell r="CN45">
            <v>-2.2341276916094922E-2</v>
          </cell>
          <cell r="CO45">
            <v>-0.14289800234573696</v>
          </cell>
          <cell r="CP45">
            <v>4.775807872082645E-2</v>
          </cell>
          <cell r="CQ45">
            <v>0.15961315549458843</v>
          </cell>
        </row>
        <row r="46">
          <cell r="A46" t="str">
            <v xml:space="preserve">     % Growth</v>
          </cell>
          <cell r="L46">
            <v>-3.9375</v>
          </cell>
          <cell r="O46">
            <v>-1.9574468085106385</v>
          </cell>
          <cell r="R46" t="str">
            <v>NM</v>
          </cell>
          <cell r="S46" t="str">
            <v>NM</v>
          </cell>
          <cell r="T46" t="str">
            <v>NM</v>
          </cell>
          <cell r="U46" t="str">
            <v>NM</v>
          </cell>
          <cell r="V46" t="str">
            <v>NM</v>
          </cell>
          <cell r="W46">
            <v>-1.4300630958865408</v>
          </cell>
          <cell r="X46">
            <v>-0.77454430161432819</v>
          </cell>
          <cell r="Y46">
            <v>-0.24038712259475903</v>
          </cell>
          <cell r="Z46">
            <v>2.3784742773985146</v>
          </cell>
          <cell r="AA46">
            <v>0.78562623219179417</v>
          </cell>
          <cell r="AB46">
            <v>0.4896396746192091</v>
          </cell>
          <cell r="AC46">
            <v>0.36490057876221971</v>
          </cell>
          <cell r="AD46">
            <v>0.29612818391327766</v>
          </cell>
          <cell r="AE46">
            <v>0.25255207369485144</v>
          </cell>
          <cell r="AF46">
            <v>0.22246528995186154</v>
          </cell>
          <cell r="AG46">
            <v>0.20044106010101337</v>
          </cell>
          <cell r="AH46">
            <v>0.18361952769323064</v>
          </cell>
          <cell r="BT46" t="str">
            <v>NM</v>
          </cell>
          <cell r="BU46" t="str">
            <v>NM</v>
          </cell>
          <cell r="BV46" t="str">
            <v>NM</v>
          </cell>
          <cell r="BW46" t="str">
            <v>NM</v>
          </cell>
          <cell r="BY46" t="str">
            <v>NM</v>
          </cell>
          <cell r="BZ46" t="str">
            <v>NM</v>
          </cell>
          <cell r="CA46" t="str">
            <v>NM</v>
          </cell>
          <cell r="CB46" t="str">
            <v>NM</v>
          </cell>
          <cell r="CD46" t="str">
            <v>NM</v>
          </cell>
          <cell r="CE46" t="str">
            <v>NM</v>
          </cell>
          <cell r="CF46" t="str">
            <v>NM</v>
          </cell>
          <cell r="CG46" t="str">
            <v>NM</v>
          </cell>
          <cell r="CI46" t="str">
            <v>NM</v>
          </cell>
          <cell r="CJ46" t="str">
            <v>NM</v>
          </cell>
          <cell r="CK46" t="str">
            <v>NM</v>
          </cell>
          <cell r="CL46" t="str">
            <v>NM</v>
          </cell>
          <cell r="CN46" t="str">
            <v>NM</v>
          </cell>
          <cell r="CO46" t="str">
            <v>NM</v>
          </cell>
          <cell r="CP46" t="str">
            <v>NM</v>
          </cell>
          <cell r="CQ46" t="str">
            <v>NM</v>
          </cell>
        </row>
        <row r="47">
          <cell r="A47" t="str">
            <v xml:space="preserve">     EBITA</v>
          </cell>
          <cell r="B47">
            <v>0</v>
          </cell>
          <cell r="C47">
            <v>0</v>
          </cell>
          <cell r="D47">
            <v>-2.7579682151588543</v>
          </cell>
          <cell r="E47">
            <v>-39</v>
          </cell>
          <cell r="F47">
            <v>21</v>
          </cell>
          <cell r="G47">
            <v>-33</v>
          </cell>
          <cell r="H47">
            <v>21</v>
          </cell>
          <cell r="I47">
            <v>-33</v>
          </cell>
          <cell r="J47">
            <v>29</v>
          </cell>
          <cell r="K47">
            <v>0</v>
          </cell>
          <cell r="L47">
            <v>29</v>
          </cell>
          <cell r="M47">
            <v>-65</v>
          </cell>
          <cell r="N47">
            <v>0</v>
          </cell>
          <cell r="O47">
            <v>-65</v>
          </cell>
          <cell r="P47">
            <v>-283</v>
          </cell>
          <cell r="Q47">
            <v>0</v>
          </cell>
          <cell r="R47">
            <v>-283</v>
          </cell>
          <cell r="S47">
            <v>-100</v>
          </cell>
          <cell r="T47">
            <v>-80</v>
          </cell>
          <cell r="U47">
            <v>-159.24487653774366</v>
          </cell>
          <cell r="V47">
            <v>-54.732290776759157</v>
          </cell>
          <cell r="W47">
            <v>-8.4598635741835295</v>
          </cell>
          <cell r="X47">
            <v>-19.514224576054129</v>
          </cell>
          <cell r="Y47">
            <v>-20.498686542071606</v>
          </cell>
          <cell r="Z47">
            <v>-15.032120928703602</v>
          </cell>
          <cell r="AA47">
            <v>-8.9075482223674491</v>
          </cell>
          <cell r="AB47">
            <v>-2.0677992836304178</v>
          </cell>
          <cell r="AC47">
            <v>5.5486916144414486</v>
          </cell>
          <cell r="AD47">
            <v>14.008203682953727</v>
          </cell>
          <cell r="AE47">
            <v>23.382068450723985</v>
          </cell>
          <cell r="AF47">
            <v>33.747032011868697</v>
          </cell>
          <cell r="AG47">
            <v>45.185642262112424</v>
          </cell>
          <cell r="AH47">
            <v>57.786662802334092</v>
          </cell>
          <cell r="AK47">
            <v>2.0287594242631943</v>
          </cell>
          <cell r="AL47">
            <v>6.3846333104866329</v>
          </cell>
          <cell r="AM47">
            <v>1.1595065113091154</v>
          </cell>
          <cell r="AN47">
            <v>11.427100753941058</v>
          </cell>
          <cell r="AP47">
            <v>3</v>
          </cell>
          <cell r="AQ47">
            <v>-53</v>
          </cell>
          <cell r="AR47">
            <v>-1</v>
          </cell>
          <cell r="AS47">
            <v>18</v>
          </cell>
          <cell r="AU47">
            <v>15</v>
          </cell>
          <cell r="AV47">
            <v>-19</v>
          </cell>
          <cell r="AW47">
            <v>-12</v>
          </cell>
          <cell r="AX47">
            <v>45</v>
          </cell>
          <cell r="AZ47">
            <v>-36</v>
          </cell>
          <cell r="BA47">
            <v>-65</v>
          </cell>
          <cell r="BB47">
            <v>-3</v>
          </cell>
          <cell r="BC47">
            <v>39</v>
          </cell>
          <cell r="BE47">
            <v>-36</v>
          </cell>
          <cell r="BF47">
            <v>-65</v>
          </cell>
          <cell r="BG47">
            <v>-3</v>
          </cell>
          <cell r="BH47">
            <v>39</v>
          </cell>
          <cell r="BJ47">
            <v>-43</v>
          </cell>
          <cell r="BK47">
            <v>-130</v>
          </cell>
          <cell r="BL47">
            <v>-50</v>
          </cell>
          <cell r="BM47">
            <v>-60</v>
          </cell>
          <cell r="BO47">
            <v>-43</v>
          </cell>
          <cell r="BP47">
            <v>-130</v>
          </cell>
          <cell r="BQ47">
            <v>-50</v>
          </cell>
          <cell r="BR47">
            <v>-60</v>
          </cell>
          <cell r="BT47">
            <v>-8</v>
          </cell>
          <cell r="BU47">
            <v>-154</v>
          </cell>
          <cell r="BV47">
            <v>33</v>
          </cell>
          <cell r="BW47">
            <v>29</v>
          </cell>
          <cell r="BY47">
            <v>-45</v>
          </cell>
          <cell r="BZ47">
            <v>-133</v>
          </cell>
          <cell r="CA47">
            <v>47</v>
          </cell>
          <cell r="CB47">
            <v>51</v>
          </cell>
          <cell r="CC47">
            <v>0</v>
          </cell>
          <cell r="CD47">
            <v>-9</v>
          </cell>
          <cell r="CE47">
            <v>-159</v>
          </cell>
          <cell r="CF47">
            <v>-27.261410594716175</v>
          </cell>
          <cell r="CG47">
            <v>36.016534056972233</v>
          </cell>
          <cell r="CH47">
            <v>2.8421709430404007E-13</v>
          </cell>
          <cell r="CI47">
            <v>-40.499165314062523</v>
          </cell>
          <cell r="CJ47">
            <v>-114.87574078067411</v>
          </cell>
          <cell r="CK47">
            <v>38.947751112607939</v>
          </cell>
          <cell r="CL47">
            <v>61.694864205369697</v>
          </cell>
          <cell r="CM47">
            <v>-1.7053025658242404E-13</v>
          </cell>
          <cell r="CN47">
            <v>-14.937042498415671</v>
          </cell>
          <cell r="CO47">
            <v>-124.98557246596519</v>
          </cell>
          <cell r="CP47">
            <v>29.389397731035118</v>
          </cell>
          <cell r="CQ47">
            <v>102.07335365916198</v>
          </cell>
          <cell r="CR47">
            <v>2.4158453015843406E-13</v>
          </cell>
        </row>
        <row r="48">
          <cell r="A48" t="str">
            <v xml:space="preserve">     EBITA Margin</v>
          </cell>
          <cell r="B48">
            <v>0</v>
          </cell>
          <cell r="C48">
            <v>0</v>
          </cell>
          <cell r="D48">
            <v>-2.0043504755182661E-3</v>
          </cell>
          <cell r="E48">
            <v>-2.6458616010854818E-2</v>
          </cell>
          <cell r="F48">
            <v>1.4393420150788211E-2</v>
          </cell>
          <cell r="G48">
            <v>-1.8932874354561102E-2</v>
          </cell>
          <cell r="H48">
            <v>1.4393420150788211E-2</v>
          </cell>
          <cell r="I48">
            <v>-1.8932874354561102E-2</v>
          </cell>
          <cell r="J48">
            <v>1.6561964591661909E-2</v>
          </cell>
          <cell r="M48">
            <v>-3.5655512890839278E-2</v>
          </cell>
          <cell r="P48">
            <v>-0.13818359375</v>
          </cell>
          <cell r="S48">
            <v>-4.4563279857397504E-2</v>
          </cell>
          <cell r="T48">
            <v>-3.3472803347280332E-2</v>
          </cell>
          <cell r="U48">
            <v>-6.0919887247962531E-2</v>
          </cell>
          <cell r="V48">
            <v>-2.1393838065609124E-2</v>
          </cell>
          <cell r="W48">
            <v>-3.1754782492277984E-3</v>
          </cell>
          <cell r="X48">
            <v>-7.0438991504247666E-3</v>
          </cell>
          <cell r="Y48">
            <v>-7.1136293227733868E-3</v>
          </cell>
          <cell r="Z48">
            <v>-5.0309009031029471E-3</v>
          </cell>
          <cell r="AA48">
            <v>-2.874048089298158E-3</v>
          </cell>
          <cell r="AB48">
            <v>-6.4298951723604203E-4</v>
          </cell>
          <cell r="AC48">
            <v>1.6622427772649852E-3</v>
          </cell>
          <cell r="AD48">
            <v>4.0415023131993803E-3</v>
          </cell>
          <cell r="AE48">
            <v>6.4945275835089286E-3</v>
          </cell>
          <cell r="AF48">
            <v>9.0209419469323877E-3</v>
          </cell>
          <cell r="AG48">
            <v>1.1620253997293009E-2</v>
          </cell>
          <cell r="AH48">
            <v>1.4291858411247534E-2</v>
          </cell>
          <cell r="AK48">
            <v>6.8111173848895258E-3</v>
          </cell>
          <cell r="AL48">
            <v>1.2463171137828206E-2</v>
          </cell>
          <cell r="AM48">
            <v>3.755851617352667E-3</v>
          </cell>
          <cell r="AN48">
            <v>3.359528651126318E-2</v>
          </cell>
          <cell r="AP48">
            <v>9.9667774086378731E-3</v>
          </cell>
          <cell r="AQ48">
            <v>-9.1695501730103809E-2</v>
          </cell>
          <cell r="AR48">
            <v>-2.008032128514056E-3</v>
          </cell>
          <cell r="AS48">
            <v>4.9180327868852458E-2</v>
          </cell>
          <cell r="AU48">
            <v>4.5180722891566265E-2</v>
          </cell>
          <cell r="AV48">
            <v>-3.2646048109965638E-2</v>
          </cell>
          <cell r="AW48">
            <v>-2.7334851936218679E-2</v>
          </cell>
          <cell r="AX48">
            <v>0.11306532663316583</v>
          </cell>
          <cell r="AZ48">
            <v>-0.10619469026548672</v>
          </cell>
          <cell r="BA48">
            <v>-0.10015408320493066</v>
          </cell>
          <cell r="BB48">
            <v>-7.0422535211267607E-3</v>
          </cell>
          <cell r="BC48">
            <v>9.5354523227383858E-2</v>
          </cell>
          <cell r="BE48">
            <v>-0.10619469026548672</v>
          </cell>
          <cell r="BF48">
            <v>-0.10015408320493066</v>
          </cell>
          <cell r="BG48">
            <v>-7.0422535211267607E-3</v>
          </cell>
          <cell r="BH48">
            <v>9.5354523227383858E-2</v>
          </cell>
          <cell r="BJ48">
            <v>-0.13437499999999999</v>
          </cell>
          <cell r="BK48">
            <v>-0.18005540166204986</v>
          </cell>
          <cell r="BL48">
            <v>-9.0415913200723327E-2</v>
          </cell>
          <cell r="BM48">
            <v>-0.13245033112582782</v>
          </cell>
          <cell r="BO48">
            <v>-0.13437499999999999</v>
          </cell>
          <cell r="BP48">
            <v>-0.18005540166204986</v>
          </cell>
          <cell r="BQ48">
            <v>-9.0415913200723327E-2</v>
          </cell>
          <cell r="BR48">
            <v>-0.13245033112582782</v>
          </cell>
          <cell r="BT48">
            <v>-1.8867924528301886E-2</v>
          </cell>
          <cell r="BU48">
            <v>-0.20560747663551401</v>
          </cell>
          <cell r="BV48">
            <v>5.9139784946236562E-2</v>
          </cell>
          <cell r="BW48">
            <v>5.6530214424951264E-2</v>
          </cell>
          <cell r="BY48">
            <v>-0.11421319796954314</v>
          </cell>
          <cell r="BZ48">
            <v>-0.15465116279069768</v>
          </cell>
          <cell r="CA48">
            <v>8.1597222222222224E-2</v>
          </cell>
          <cell r="CB48">
            <v>9.1071428571428567E-2</v>
          </cell>
          <cell r="CD48">
            <v>-2.356020942408377E-2</v>
          </cell>
          <cell r="CE48">
            <v>-0.18531468531468531</v>
          </cell>
          <cell r="CF48">
            <v>-3.5616402518864443E-2</v>
          </cell>
          <cell r="CG48">
            <v>5.9180537019759498E-2</v>
          </cell>
          <cell r="CI48">
            <v>-9.8280114313579789E-2</v>
          </cell>
          <cell r="CJ48">
            <v>-0.13348759560679313</v>
          </cell>
          <cell r="CK48">
            <v>5.6067469672969293E-2</v>
          </cell>
          <cell r="CL48">
            <v>0.10438880252260142</v>
          </cell>
          <cell r="CN48">
            <v>-3.3582688492857796E-2</v>
          </cell>
          <cell r="CO48">
            <v>-0.15137603907102137</v>
          </cell>
          <cell r="CP48">
            <v>4.0814357418355568E-2</v>
          </cell>
          <cell r="CQ48">
            <v>0.15153388988817795</v>
          </cell>
        </row>
        <row r="49">
          <cell r="A49" t="str">
            <v xml:space="preserve">     Operating Income</v>
          </cell>
          <cell r="B49">
            <v>0</v>
          </cell>
          <cell r="C49">
            <v>0</v>
          </cell>
          <cell r="D49">
            <v>-2.7579682151588543</v>
          </cell>
          <cell r="E49">
            <v>-39</v>
          </cell>
          <cell r="F49">
            <v>21</v>
          </cell>
          <cell r="G49">
            <v>-33</v>
          </cell>
          <cell r="H49">
            <v>21</v>
          </cell>
          <cell r="I49">
            <v>-33</v>
          </cell>
          <cell r="J49">
            <v>29</v>
          </cell>
          <cell r="K49">
            <v>0</v>
          </cell>
          <cell r="L49">
            <v>29</v>
          </cell>
          <cell r="M49">
            <v>-65</v>
          </cell>
          <cell r="N49">
            <v>0</v>
          </cell>
          <cell r="O49">
            <v>-65</v>
          </cell>
          <cell r="P49">
            <v>-283</v>
          </cell>
          <cell r="Q49">
            <v>0</v>
          </cell>
          <cell r="R49">
            <v>-283</v>
          </cell>
          <cell r="S49">
            <v>-100</v>
          </cell>
          <cell r="T49">
            <v>-80</v>
          </cell>
          <cell r="U49">
            <v>-159.24487653774366</v>
          </cell>
          <cell r="V49">
            <v>-54.732290776759157</v>
          </cell>
          <cell r="W49">
            <v>-8.4598635741835295</v>
          </cell>
          <cell r="X49">
            <v>-19.514224576054129</v>
          </cell>
          <cell r="Y49">
            <v>-20.498686542071606</v>
          </cell>
          <cell r="Z49">
            <v>-15.032120928703602</v>
          </cell>
          <cell r="AA49">
            <v>-8.9075482223674491</v>
          </cell>
          <cell r="AB49">
            <v>-2.0677992836304178</v>
          </cell>
          <cell r="AC49">
            <v>5.5486916144414486</v>
          </cell>
          <cell r="AD49">
            <v>14.008203682953727</v>
          </cell>
          <cell r="AE49">
            <v>23.382068450723985</v>
          </cell>
          <cell r="AF49">
            <v>33.747032011868697</v>
          </cell>
          <cell r="AG49">
            <v>45.185642262112424</v>
          </cell>
          <cell r="AH49">
            <v>57.786662802334092</v>
          </cell>
          <cell r="AK49">
            <v>2.0287594242631943</v>
          </cell>
          <cell r="AL49">
            <v>6.3846333104866329</v>
          </cell>
          <cell r="AM49">
            <v>1.1595065113091154</v>
          </cell>
          <cell r="AN49">
            <v>11.427100753941057</v>
          </cell>
          <cell r="AP49">
            <v>3</v>
          </cell>
          <cell r="AQ49">
            <v>-53</v>
          </cell>
          <cell r="AR49">
            <v>-1</v>
          </cell>
          <cell r="AS49">
            <v>18</v>
          </cell>
          <cell r="AU49">
            <v>15</v>
          </cell>
          <cell r="AV49">
            <v>-19</v>
          </cell>
          <cell r="AW49">
            <v>-12</v>
          </cell>
          <cell r="AX49">
            <v>45</v>
          </cell>
          <cell r="AZ49">
            <v>-36</v>
          </cell>
          <cell r="BA49">
            <v>-65</v>
          </cell>
          <cell r="BB49">
            <v>-3</v>
          </cell>
          <cell r="BC49">
            <v>39</v>
          </cell>
          <cell r="BE49">
            <v>-36</v>
          </cell>
          <cell r="BF49">
            <v>-65</v>
          </cell>
          <cell r="BG49">
            <v>-3</v>
          </cell>
          <cell r="BH49">
            <v>39</v>
          </cell>
          <cell r="BJ49">
            <v>-43</v>
          </cell>
          <cell r="BK49">
            <v>-130</v>
          </cell>
          <cell r="BL49">
            <v>-50</v>
          </cell>
          <cell r="BM49">
            <v>-60</v>
          </cell>
          <cell r="BO49">
            <v>-43</v>
          </cell>
          <cell r="BP49">
            <v>-130</v>
          </cell>
          <cell r="BQ49">
            <v>-50</v>
          </cell>
          <cell r="BR49">
            <v>-60</v>
          </cell>
          <cell r="BT49">
            <v>-8</v>
          </cell>
          <cell r="BU49">
            <v>-154</v>
          </cell>
          <cell r="BV49">
            <v>33</v>
          </cell>
          <cell r="BW49">
            <v>29</v>
          </cell>
          <cell r="BY49">
            <v>-45</v>
          </cell>
          <cell r="BZ49">
            <v>-133</v>
          </cell>
          <cell r="CA49">
            <v>47</v>
          </cell>
          <cell r="CB49">
            <v>51</v>
          </cell>
          <cell r="CC49">
            <v>0</v>
          </cell>
          <cell r="CD49">
            <v>-9</v>
          </cell>
          <cell r="CE49">
            <v>-159</v>
          </cell>
          <cell r="CF49">
            <v>-27.261410594716175</v>
          </cell>
          <cell r="CG49">
            <v>36.016534056972233</v>
          </cell>
          <cell r="CH49">
            <v>2.8421709430404007E-13</v>
          </cell>
          <cell r="CI49">
            <v>-40.499165314062523</v>
          </cell>
          <cell r="CJ49">
            <v>-114.87574078067411</v>
          </cell>
          <cell r="CK49">
            <v>38.947751112607939</v>
          </cell>
          <cell r="CL49">
            <v>61.694864205369697</v>
          </cell>
          <cell r="CM49">
            <v>-1.7053025658242404E-13</v>
          </cell>
          <cell r="CN49">
            <v>-14.937042498415671</v>
          </cell>
          <cell r="CO49">
            <v>-124.98557246596519</v>
          </cell>
          <cell r="CP49">
            <v>29.389397731035118</v>
          </cell>
          <cell r="CQ49">
            <v>102.07335365916198</v>
          </cell>
          <cell r="CR49">
            <v>2.4158453015843406E-13</v>
          </cell>
        </row>
        <row r="50">
          <cell r="A50" t="str">
            <v xml:space="preserve">     Operating Income Margin</v>
          </cell>
          <cell r="B50">
            <v>0</v>
          </cell>
          <cell r="C50">
            <v>0</v>
          </cell>
          <cell r="D50">
            <v>-2.0043504755182661E-3</v>
          </cell>
          <cell r="E50">
            <v>-2.6458616010854818E-2</v>
          </cell>
          <cell r="F50">
            <v>1.4393420150788211E-2</v>
          </cell>
          <cell r="G50">
            <v>-1.8932874354561102E-2</v>
          </cell>
          <cell r="H50">
            <v>1.4393420150788211E-2</v>
          </cell>
          <cell r="I50">
            <v>-1.8932874354561102E-2</v>
          </cell>
          <cell r="J50">
            <v>1.6561964591661909E-2</v>
          </cell>
          <cell r="M50">
            <v>-3.5655512890839278E-2</v>
          </cell>
          <cell r="P50">
            <v>-0.13818359375</v>
          </cell>
          <cell r="S50">
            <v>-4.4563279857397504E-2</v>
          </cell>
          <cell r="T50">
            <v>-3.3472803347280332E-2</v>
          </cell>
          <cell r="U50">
            <v>-6.0919887247962531E-2</v>
          </cell>
          <cell r="V50">
            <v>-2.1393838065609124E-2</v>
          </cell>
          <cell r="W50">
            <v>-3.1754782492277984E-3</v>
          </cell>
          <cell r="X50">
            <v>-7.0438991504247666E-3</v>
          </cell>
          <cell r="Y50">
            <v>-7.1136293227733868E-3</v>
          </cell>
          <cell r="Z50">
            <v>-5.0309009031029471E-3</v>
          </cell>
          <cell r="AA50">
            <v>-2.874048089298158E-3</v>
          </cell>
          <cell r="AB50">
            <v>-6.4298951723604203E-4</v>
          </cell>
          <cell r="AC50">
            <v>1.6622427772649852E-3</v>
          </cell>
          <cell r="AD50">
            <v>4.0415023131993803E-3</v>
          </cell>
          <cell r="AE50">
            <v>6.4945275835089286E-3</v>
          </cell>
          <cell r="AF50">
            <v>9.0209419469323877E-3</v>
          </cell>
          <cell r="AG50">
            <v>1.1620253997293009E-2</v>
          </cell>
          <cell r="AH50">
            <v>1.4291858411247534E-2</v>
          </cell>
          <cell r="AK50">
            <v>6.8111173848895258E-3</v>
          </cell>
          <cell r="AL50">
            <v>1.2463171137828206E-2</v>
          </cell>
          <cell r="AM50">
            <v>3.755851617352667E-3</v>
          </cell>
          <cell r="AN50">
            <v>3.359528651126318E-2</v>
          </cell>
          <cell r="AP50">
            <v>9.9667774086378731E-3</v>
          </cell>
          <cell r="AQ50">
            <v>-9.1695501730103809E-2</v>
          </cell>
          <cell r="AR50">
            <v>-2.008032128514056E-3</v>
          </cell>
          <cell r="AS50">
            <v>4.9180327868852458E-2</v>
          </cell>
          <cell r="AU50">
            <v>4.5180722891566265E-2</v>
          </cell>
          <cell r="AV50">
            <v>-3.2646048109965638E-2</v>
          </cell>
          <cell r="AW50">
            <v>-2.7334851936218679E-2</v>
          </cell>
          <cell r="AX50">
            <v>0.11306532663316583</v>
          </cell>
          <cell r="AZ50">
            <v>-0.10619469026548672</v>
          </cell>
          <cell r="BA50">
            <v>-0.10015408320493066</v>
          </cell>
          <cell r="BB50">
            <v>-7.0422535211267607E-3</v>
          </cell>
          <cell r="BC50">
            <v>9.5354523227383858E-2</v>
          </cell>
          <cell r="BE50">
            <v>-0.10619469026548672</v>
          </cell>
          <cell r="BF50">
            <v>-0.10015408320493066</v>
          </cell>
          <cell r="BG50">
            <v>-7.0422535211267607E-3</v>
          </cell>
          <cell r="BH50">
            <v>9.5354523227383858E-2</v>
          </cell>
          <cell r="BJ50">
            <v>-0.13437499999999999</v>
          </cell>
          <cell r="BK50">
            <v>-0.18005540166204986</v>
          </cell>
          <cell r="BL50">
            <v>-9.0415913200723327E-2</v>
          </cell>
          <cell r="BM50">
            <v>-0.13245033112582782</v>
          </cell>
          <cell r="BO50">
            <v>-0.13437499999999999</v>
          </cell>
          <cell r="BP50">
            <v>-0.18005540166204986</v>
          </cell>
          <cell r="BQ50">
            <v>-9.0415913200723327E-2</v>
          </cell>
          <cell r="BR50">
            <v>-0.13245033112582782</v>
          </cell>
          <cell r="BT50">
            <v>-1.8867924528301886E-2</v>
          </cell>
          <cell r="BU50">
            <v>-0.20560747663551401</v>
          </cell>
          <cell r="BV50">
            <v>5.9139784946236562E-2</v>
          </cell>
          <cell r="BW50">
            <v>5.6530214424951264E-2</v>
          </cell>
          <cell r="BY50">
            <v>-0.11421319796954314</v>
          </cell>
          <cell r="BZ50">
            <v>-0.15465116279069768</v>
          </cell>
          <cell r="CA50">
            <v>8.1597222222222224E-2</v>
          </cell>
          <cell r="CB50">
            <v>9.1071428571428567E-2</v>
          </cell>
          <cell r="CD50">
            <v>-2.356020942408377E-2</v>
          </cell>
          <cell r="CE50">
            <v>-0.18531468531468531</v>
          </cell>
          <cell r="CF50">
            <v>-3.5616402518864443E-2</v>
          </cell>
          <cell r="CG50">
            <v>5.9180537019759498E-2</v>
          </cell>
          <cell r="CI50">
            <v>-9.8280114313579789E-2</v>
          </cell>
          <cell r="CJ50">
            <v>-0.13348759560679313</v>
          </cell>
          <cell r="CK50">
            <v>5.6067469672969293E-2</v>
          </cell>
          <cell r="CL50">
            <v>0.10438880252260142</v>
          </cell>
          <cell r="CN50">
            <v>-3.3582688492857796E-2</v>
          </cell>
          <cell r="CO50">
            <v>-0.15137603907102137</v>
          </cell>
          <cell r="CP50">
            <v>4.0814357418355568E-2</v>
          </cell>
          <cell r="CQ50">
            <v>0.15153388988817795</v>
          </cell>
        </row>
        <row r="52">
          <cell r="A52" t="str">
            <v>Other Television Business</v>
          </cell>
        </row>
        <row r="53">
          <cell r="A53" t="str">
            <v xml:space="preserve">     Revenue</v>
          </cell>
          <cell r="B53">
            <v>120</v>
          </cell>
          <cell r="C53">
            <v>132</v>
          </cell>
          <cell r="D53">
            <v>145.19999999999999</v>
          </cell>
          <cell r="E53">
            <v>169</v>
          </cell>
          <cell r="F53">
            <v>159</v>
          </cell>
          <cell r="G53">
            <v>118</v>
          </cell>
          <cell r="H53">
            <v>159</v>
          </cell>
          <cell r="I53">
            <v>118</v>
          </cell>
          <cell r="J53">
            <v>97</v>
          </cell>
          <cell r="K53">
            <v>0</v>
          </cell>
          <cell r="L53">
            <v>97</v>
          </cell>
          <cell r="M53">
            <v>0</v>
          </cell>
          <cell r="N53">
            <v>0</v>
          </cell>
          <cell r="O53">
            <v>0</v>
          </cell>
          <cell r="AK53">
            <v>39.75</v>
          </cell>
          <cell r="AL53">
            <v>39.75</v>
          </cell>
          <cell r="AM53">
            <v>39.75</v>
          </cell>
          <cell r="AN53">
            <v>39.75</v>
          </cell>
          <cell r="AP53">
            <v>36</v>
          </cell>
          <cell r="AQ53">
            <v>30</v>
          </cell>
          <cell r="AR53">
            <v>31</v>
          </cell>
          <cell r="AS53">
            <v>21</v>
          </cell>
          <cell r="AU53">
            <v>21</v>
          </cell>
          <cell r="AV53">
            <v>23</v>
          </cell>
          <cell r="AW53">
            <v>26</v>
          </cell>
          <cell r="AX53">
            <v>27</v>
          </cell>
        </row>
        <row r="54">
          <cell r="A54" t="str">
            <v xml:space="preserve">     % Growth</v>
          </cell>
          <cell r="C54">
            <v>0.10000000000000009</v>
          </cell>
          <cell r="D54">
            <v>9.9999999999999867E-2</v>
          </cell>
          <cell r="E54">
            <v>0.16391184573002771</v>
          </cell>
          <cell r="F54">
            <v>-5.9171597633136064E-2</v>
          </cell>
          <cell r="G54">
            <v>-0.25786163522012584</v>
          </cell>
          <cell r="H54">
            <v>0.34745762711864403</v>
          </cell>
          <cell r="I54">
            <v>-0.25786163522012584</v>
          </cell>
          <cell r="J54">
            <v>-0.17796610169491522</v>
          </cell>
          <cell r="AP54">
            <v>-9.4339622641509413E-2</v>
          </cell>
          <cell r="AQ54">
            <v>-0.24528301886792447</v>
          </cell>
          <cell r="AR54">
            <v>-0.22012578616352196</v>
          </cell>
          <cell r="AS54">
            <v>-0.47169811320754718</v>
          </cell>
          <cell r="AU54">
            <v>-0.41666666666666663</v>
          </cell>
          <cell r="AV54">
            <v>-0.23333333333333328</v>
          </cell>
          <cell r="AW54">
            <v>-0.16129032258064513</v>
          </cell>
          <cell r="AX54">
            <v>0.28571428571428581</v>
          </cell>
        </row>
        <row r="55">
          <cell r="A55" t="str">
            <v xml:space="preserve">     EBITDA</v>
          </cell>
          <cell r="B55">
            <v>-21.749837793649419</v>
          </cell>
          <cell r="C55">
            <v>-57.001318275153949</v>
          </cell>
          <cell r="D55">
            <v>-5</v>
          </cell>
          <cell r="E55">
            <v>-2</v>
          </cell>
          <cell r="F55">
            <v>5</v>
          </cell>
          <cell r="G55">
            <v>-6</v>
          </cell>
          <cell r="H55">
            <v>5</v>
          </cell>
          <cell r="I55">
            <v>-6</v>
          </cell>
          <cell r="J55">
            <v>-11</v>
          </cell>
          <cell r="K55">
            <v>0</v>
          </cell>
          <cell r="L55">
            <v>-11</v>
          </cell>
          <cell r="M55">
            <v>0</v>
          </cell>
          <cell r="N55">
            <v>0</v>
          </cell>
          <cell r="O55">
            <v>0</v>
          </cell>
          <cell r="AK55">
            <v>1.25</v>
          </cell>
          <cell r="AL55">
            <v>1.25</v>
          </cell>
          <cell r="AM55">
            <v>1.25</v>
          </cell>
          <cell r="AN55">
            <v>1.25</v>
          </cell>
          <cell r="AP55">
            <v>8</v>
          </cell>
          <cell r="AQ55">
            <v>-1</v>
          </cell>
          <cell r="AR55">
            <v>-4</v>
          </cell>
          <cell r="AS55">
            <v>-9</v>
          </cell>
          <cell r="AU55">
            <v>0</v>
          </cell>
          <cell r="AV55">
            <v>0</v>
          </cell>
          <cell r="AW55">
            <v>-5</v>
          </cell>
          <cell r="AX55">
            <v>-6</v>
          </cell>
        </row>
        <row r="56">
          <cell r="A56" t="str">
            <v xml:space="preserve">     EBITDA Margin</v>
          </cell>
          <cell r="B56">
            <v>-0.18124864828041182</v>
          </cell>
          <cell r="C56">
            <v>-0.43182816875116625</v>
          </cell>
          <cell r="D56">
            <v>-3.4435261707988982E-2</v>
          </cell>
          <cell r="E56">
            <v>-1.1834319526627219E-2</v>
          </cell>
          <cell r="F56">
            <v>3.1446540880503145E-2</v>
          </cell>
          <cell r="G56">
            <v>-5.0847457627118647E-2</v>
          </cell>
          <cell r="H56">
            <v>3.1446540880503145E-2</v>
          </cell>
          <cell r="I56">
            <v>-5.0847457627118647E-2</v>
          </cell>
          <cell r="J56">
            <v>-0.1134020618556701</v>
          </cell>
          <cell r="AK56">
            <v>3.1446540880503145E-2</v>
          </cell>
          <cell r="AL56">
            <v>3.1446540880503145E-2</v>
          </cell>
          <cell r="AM56">
            <v>3.1446540880503145E-2</v>
          </cell>
          <cell r="AN56">
            <v>3.1446540880503145E-2</v>
          </cell>
          <cell r="AP56">
            <v>0.22222222222222221</v>
          </cell>
          <cell r="AQ56">
            <v>-3.3333333333333333E-2</v>
          </cell>
          <cell r="AR56">
            <v>-0.12903225806451613</v>
          </cell>
          <cell r="AS56">
            <v>-0.42857142857142855</v>
          </cell>
          <cell r="AU56">
            <v>0</v>
          </cell>
          <cell r="AV56">
            <v>0</v>
          </cell>
          <cell r="AW56">
            <v>-0.19230769230769232</v>
          </cell>
          <cell r="AX56">
            <v>-0.22222222222222221</v>
          </cell>
        </row>
        <row r="57">
          <cell r="A57" t="str">
            <v xml:space="preserve">     EBITA</v>
          </cell>
          <cell r="B57">
            <v>0</v>
          </cell>
          <cell r="C57">
            <v>0</v>
          </cell>
          <cell r="D57">
            <v>-9</v>
          </cell>
          <cell r="E57">
            <v>-2</v>
          </cell>
          <cell r="F57">
            <v>0</v>
          </cell>
          <cell r="G57">
            <v>-11</v>
          </cell>
          <cell r="H57">
            <v>0</v>
          </cell>
          <cell r="I57">
            <v>-11</v>
          </cell>
          <cell r="J57">
            <v>-11</v>
          </cell>
          <cell r="K57">
            <v>0</v>
          </cell>
          <cell r="L57">
            <v>-11</v>
          </cell>
          <cell r="M57">
            <v>0</v>
          </cell>
          <cell r="N57">
            <v>0</v>
          </cell>
          <cell r="O57">
            <v>0</v>
          </cell>
          <cell r="AK57">
            <v>0.95</v>
          </cell>
          <cell r="AL57">
            <v>0.85</v>
          </cell>
          <cell r="AM57">
            <v>1</v>
          </cell>
          <cell r="AN57">
            <v>-2.8</v>
          </cell>
          <cell r="AP57">
            <v>6</v>
          </cell>
          <cell r="AQ57">
            <v>-2</v>
          </cell>
          <cell r="AR57">
            <v>-6</v>
          </cell>
          <cell r="AS57">
            <v>-9</v>
          </cell>
          <cell r="AU57">
            <v>0</v>
          </cell>
          <cell r="AV57">
            <v>0</v>
          </cell>
          <cell r="AW57">
            <v>-4</v>
          </cell>
          <cell r="AX57">
            <v>-7</v>
          </cell>
        </row>
        <row r="58">
          <cell r="A58" t="str">
            <v xml:space="preserve">     EBITA Margin</v>
          </cell>
          <cell r="B58">
            <v>0</v>
          </cell>
          <cell r="C58">
            <v>0</v>
          </cell>
          <cell r="D58">
            <v>-6.1983471074380167E-2</v>
          </cell>
          <cell r="E58">
            <v>-1.1834319526627219E-2</v>
          </cell>
          <cell r="F58">
            <v>0</v>
          </cell>
          <cell r="G58">
            <v>-9.3220338983050849E-2</v>
          </cell>
          <cell r="H58">
            <v>0</v>
          </cell>
          <cell r="I58">
            <v>-9.3220338983050849E-2</v>
          </cell>
          <cell r="J58">
            <v>-0.1134020618556701</v>
          </cell>
          <cell r="AK58">
            <v>2.3899371069182388E-2</v>
          </cell>
          <cell r="AL58">
            <v>2.1383647798742137E-2</v>
          </cell>
          <cell r="AM58">
            <v>2.5157232704402517E-2</v>
          </cell>
          <cell r="AN58">
            <v>-7.0440251572327042E-2</v>
          </cell>
          <cell r="AP58">
            <v>0.16666666666666666</v>
          </cell>
          <cell r="AQ58">
            <v>-6.6666666666666666E-2</v>
          </cell>
          <cell r="AR58">
            <v>-0.19354838709677419</v>
          </cell>
          <cell r="AS58">
            <v>-0.42857142857142855</v>
          </cell>
          <cell r="AU58">
            <v>0</v>
          </cell>
          <cell r="AV58">
            <v>0</v>
          </cell>
          <cell r="AW58">
            <v>-0.15384615384615385</v>
          </cell>
          <cell r="AX58">
            <v>-0.25925925925925924</v>
          </cell>
        </row>
        <row r="59">
          <cell r="A59" t="str">
            <v xml:space="preserve">     Operating Income</v>
          </cell>
          <cell r="B59">
            <v>0</v>
          </cell>
          <cell r="C59">
            <v>0</v>
          </cell>
          <cell r="D59">
            <v>-9</v>
          </cell>
          <cell r="E59">
            <v>-2</v>
          </cell>
          <cell r="F59">
            <v>0</v>
          </cell>
          <cell r="G59">
            <v>-11</v>
          </cell>
          <cell r="H59">
            <v>0</v>
          </cell>
          <cell r="I59">
            <v>-11</v>
          </cell>
          <cell r="J59">
            <v>-11</v>
          </cell>
          <cell r="K59">
            <v>0</v>
          </cell>
          <cell r="L59">
            <v>-11</v>
          </cell>
          <cell r="M59">
            <v>0</v>
          </cell>
          <cell r="N59">
            <v>0</v>
          </cell>
          <cell r="O59">
            <v>0</v>
          </cell>
          <cell r="AK59">
            <v>0.95</v>
          </cell>
          <cell r="AL59">
            <v>0.85</v>
          </cell>
          <cell r="AM59">
            <v>1</v>
          </cell>
          <cell r="AN59">
            <v>1.25</v>
          </cell>
          <cell r="AP59">
            <v>6</v>
          </cell>
          <cell r="AQ59">
            <v>-2</v>
          </cell>
          <cell r="AR59">
            <v>-6</v>
          </cell>
          <cell r="AS59">
            <v>-9</v>
          </cell>
          <cell r="AU59">
            <v>0</v>
          </cell>
          <cell r="AV59">
            <v>0</v>
          </cell>
          <cell r="AW59">
            <v>-4</v>
          </cell>
          <cell r="AX59">
            <v>-7</v>
          </cell>
        </row>
        <row r="60">
          <cell r="A60" t="str">
            <v xml:space="preserve">     Operating Income Margin</v>
          </cell>
          <cell r="B60">
            <v>0</v>
          </cell>
          <cell r="C60">
            <v>0</v>
          </cell>
          <cell r="D60">
            <v>-6.1983471074380167E-2</v>
          </cell>
          <cell r="E60">
            <v>-1.1834319526627219E-2</v>
          </cell>
          <cell r="F60">
            <v>0</v>
          </cell>
          <cell r="G60">
            <v>-9.3220338983050849E-2</v>
          </cell>
          <cell r="H60">
            <v>0</v>
          </cell>
          <cell r="I60">
            <v>-9.3220338983050849E-2</v>
          </cell>
          <cell r="J60">
            <v>-0.1134020618556701</v>
          </cell>
          <cell r="AK60">
            <v>2.3899371069182388E-2</v>
          </cell>
          <cell r="AL60">
            <v>2.1383647798742137E-2</v>
          </cell>
          <cell r="AM60">
            <v>2.5157232704402517E-2</v>
          </cell>
          <cell r="AN60">
            <v>3.1446540880503145E-2</v>
          </cell>
          <cell r="AP60">
            <v>0.16666666666666666</v>
          </cell>
          <cell r="AQ60">
            <v>-6.6666666666666666E-2</v>
          </cell>
          <cell r="AR60">
            <v>-0.19354838709677419</v>
          </cell>
          <cell r="AS60">
            <v>-0.42857142857142855</v>
          </cell>
          <cell r="AU60">
            <v>0</v>
          </cell>
          <cell r="AV60">
            <v>0</v>
          </cell>
          <cell r="AW60">
            <v>-0.15384615384615385</v>
          </cell>
          <cell r="AX60">
            <v>-0.25925925925925924</v>
          </cell>
        </row>
        <row r="63">
          <cell r="A63" t="str">
            <v>Total Revenue</v>
          </cell>
          <cell r="B63">
            <v>3510.25</v>
          </cell>
          <cell r="C63">
            <v>4002.1</v>
          </cell>
          <cell r="D63">
            <v>4687.0749999999998</v>
          </cell>
          <cell r="E63">
            <v>5847</v>
          </cell>
          <cell r="F63">
            <v>6959</v>
          </cell>
          <cell r="G63">
            <v>7875</v>
          </cell>
          <cell r="H63">
            <v>7023</v>
          </cell>
          <cell r="I63">
            <v>8057</v>
          </cell>
          <cell r="J63">
            <v>8589</v>
          </cell>
          <cell r="K63">
            <v>-70</v>
          </cell>
          <cell r="L63">
            <v>8519</v>
          </cell>
          <cell r="M63">
            <v>8413</v>
          </cell>
          <cell r="N63">
            <v>-90</v>
          </cell>
          <cell r="O63">
            <v>8323</v>
          </cell>
          <cell r="P63">
            <v>9779</v>
          </cell>
          <cell r="Q63">
            <v>-54</v>
          </cell>
          <cell r="R63">
            <v>9725</v>
          </cell>
          <cell r="S63">
            <v>11002</v>
          </cell>
          <cell r="T63">
            <v>12175</v>
          </cell>
          <cell r="U63">
            <v>13427.834781223059</v>
          </cell>
          <cell r="V63">
            <v>14292.150326110257</v>
          </cell>
          <cell r="W63">
            <v>15526.600442437164</v>
          </cell>
          <cell r="X63">
            <v>16350.936844160069</v>
          </cell>
          <cell r="Y63">
            <v>17144.005716507127</v>
          </cell>
          <cell r="Z63">
            <v>17905.542021041023</v>
          </cell>
          <cell r="AA63">
            <v>18749.672384058078</v>
          </cell>
          <cell r="AB63">
            <v>19547.506332709283</v>
          </cell>
          <cell r="AC63">
            <v>20447.773739893251</v>
          </cell>
          <cell r="AD63">
            <v>21308.862625371075</v>
          </cell>
          <cell r="AE63">
            <v>22213.312646534825</v>
          </cell>
          <cell r="AF63">
            <v>23164.0032629007</v>
          </cell>
          <cell r="AG63">
            <v>24163.988948355149</v>
          </cell>
          <cell r="AH63">
            <v>25216.527276093453</v>
          </cell>
          <cell r="AK63">
            <v>1475.386</v>
          </cell>
          <cell r="AL63">
            <v>1974.154</v>
          </cell>
          <cell r="AM63">
            <v>1793.067</v>
          </cell>
          <cell r="AN63">
            <v>1716.393</v>
          </cell>
          <cell r="AP63">
            <v>1802</v>
          </cell>
          <cell r="AQ63">
            <v>2555</v>
          </cell>
          <cell r="AR63">
            <v>1733</v>
          </cell>
          <cell r="AS63">
            <v>1967</v>
          </cell>
          <cell r="AU63">
            <v>1801</v>
          </cell>
          <cell r="AV63">
            <v>2436</v>
          </cell>
          <cell r="AW63">
            <v>1884</v>
          </cell>
          <cell r="AX63">
            <v>2468</v>
          </cell>
          <cell r="AZ63">
            <v>1804</v>
          </cell>
          <cell r="BA63">
            <v>2477</v>
          </cell>
          <cell r="BB63">
            <v>1944</v>
          </cell>
          <cell r="BC63">
            <v>2188</v>
          </cell>
          <cell r="BE63">
            <v>1780</v>
          </cell>
          <cell r="BF63">
            <v>2453</v>
          </cell>
          <cell r="BG63">
            <v>1922</v>
          </cell>
          <cell r="BH63">
            <v>2162</v>
          </cell>
          <cell r="BJ63">
            <v>2091</v>
          </cell>
          <cell r="BK63">
            <v>2769</v>
          </cell>
          <cell r="BL63">
            <v>2488</v>
          </cell>
          <cell r="BM63">
            <v>2431</v>
          </cell>
          <cell r="BO63">
            <v>2065</v>
          </cell>
          <cell r="BP63">
            <v>2741</v>
          </cell>
          <cell r="BQ63">
            <v>2488</v>
          </cell>
          <cell r="BR63">
            <v>2431</v>
          </cell>
          <cell r="BT63">
            <v>2344</v>
          </cell>
          <cell r="BU63">
            <v>3150</v>
          </cell>
          <cell r="BV63">
            <v>2707</v>
          </cell>
          <cell r="BW63">
            <v>2801</v>
          </cell>
          <cell r="BY63">
            <v>2758</v>
          </cell>
          <cell r="BZ63">
            <v>3380</v>
          </cell>
          <cell r="CA63">
            <v>2840</v>
          </cell>
          <cell r="CB63">
            <v>3197</v>
          </cell>
          <cell r="CC63">
            <v>0</v>
          </cell>
          <cell r="CD63">
            <v>2880</v>
          </cell>
          <cell r="CE63">
            <v>3932</v>
          </cell>
          <cell r="CF63">
            <v>3386.2672984000001</v>
          </cell>
          <cell r="CG63">
            <v>3229.5674828230581</v>
          </cell>
          <cell r="CH63">
            <v>0</v>
          </cell>
          <cell r="CI63">
            <v>3116.5289398437499</v>
          </cell>
          <cell r="CJ63">
            <v>3844.6724019410544</v>
          </cell>
          <cell r="CK63">
            <v>3418.1511200479999</v>
          </cell>
          <cell r="CL63">
            <v>3912.7978642774524</v>
          </cell>
          <cell r="CM63">
            <v>0</v>
          </cell>
          <cell r="CN63">
            <v>3084.28784939875</v>
          </cell>
          <cell r="CO63">
            <v>4645.8148541279606</v>
          </cell>
          <cell r="CP63">
            <v>4036.4271831680003</v>
          </cell>
          <cell r="CQ63">
            <v>3760.0705557424544</v>
          </cell>
          <cell r="CR63">
            <v>0</v>
          </cell>
        </row>
        <row r="64">
          <cell r="A64" t="str">
            <v>% Growth</v>
          </cell>
          <cell r="L64">
            <v>5.7341442224152939E-2</v>
          </cell>
          <cell r="O64">
            <v>-2.3007395234182382E-2</v>
          </cell>
          <cell r="R64">
            <v>0.1684488766069927</v>
          </cell>
          <cell r="S64">
            <v>0.13131105398457588</v>
          </cell>
          <cell r="T64">
            <v>0.10661697873113973</v>
          </cell>
          <cell r="U64">
            <v>0.10290224075754084</v>
          </cell>
          <cell r="V64">
            <v>6.4367454542695324E-2</v>
          </cell>
          <cell r="W64">
            <v>8.6372595317004031E-2</v>
          </cell>
          <cell r="X64">
            <v>5.3091879628063054E-2</v>
          </cell>
          <cell r="Y64">
            <v>4.8502962240375425E-2</v>
          </cell>
          <cell r="Z64">
            <v>4.4419974953732622E-2</v>
          </cell>
          <cell r="AA64">
            <v>4.7143524726875441E-2</v>
          </cell>
          <cell r="AB64">
            <v>4.2551887430820612E-2</v>
          </cell>
          <cell r="AC64">
            <v>4.6055358257003354E-2</v>
          </cell>
          <cell r="AD64">
            <v>4.2111620386225956E-2</v>
          </cell>
          <cell r="AE64">
            <v>4.2444781641554075E-2</v>
          </cell>
          <cell r="AF64">
            <v>4.2798236872345852E-2</v>
          </cell>
          <cell r="AG64">
            <v>4.3169812838699473E-2</v>
          </cell>
          <cell r="AH64">
            <v>4.355813644791251E-2</v>
          </cell>
          <cell r="BO64">
            <v>0.1601123595505618</v>
          </cell>
          <cell r="BP64">
            <v>0.11740725642070937</v>
          </cell>
          <cell r="BQ64">
            <v>0.29448491155046819</v>
          </cell>
          <cell r="BR64">
            <v>0.12442183163737286</v>
          </cell>
          <cell r="BT64">
            <v>0.1351089588377723</v>
          </cell>
          <cell r="BU64">
            <v>0.14921561473914635</v>
          </cell>
          <cell r="BV64">
            <v>8.8022508038585245E-2</v>
          </cell>
          <cell r="BW64">
            <v>0.1522007404360346</v>
          </cell>
          <cell r="BY64">
            <v>0.17662116040955622</v>
          </cell>
          <cell r="BZ64">
            <v>7.3015873015872979E-2</v>
          </cell>
          <cell r="CA64">
            <v>4.9131880310306686E-2</v>
          </cell>
          <cell r="CB64">
            <v>0.14137807925740797</v>
          </cell>
          <cell r="CD64">
            <v>4.4234952864394383E-2</v>
          </cell>
          <cell r="CE64">
            <v>0.16331360946745566</v>
          </cell>
          <cell r="CF64">
            <v>0.19234764028169016</v>
          </cell>
          <cell r="CG64">
            <v>1.0186888590258958E-2</v>
          </cell>
          <cell r="CI64">
            <v>8.2128104112413114E-2</v>
          </cell>
          <cell r="CJ64">
            <v>-2.2209460340525289E-2</v>
          </cell>
          <cell r="CK64">
            <v>9.4156245914387426E-3</v>
          </cell>
          <cell r="CL64">
            <v>0.21155476239101922</v>
          </cell>
          <cell r="CN64">
            <v>-1.0345192060567276E-2</v>
          </cell>
          <cell r="CO64">
            <v>0.2083772993981059</v>
          </cell>
          <cell r="CP64">
            <v>0.18088025994336898</v>
          </cell>
          <cell r="CQ64">
            <v>-3.9032762190285286E-2</v>
          </cell>
        </row>
        <row r="65">
          <cell r="A65" t="str">
            <v>Total EBITDA</v>
          </cell>
          <cell r="B65">
            <v>405</v>
          </cell>
          <cell r="C65">
            <v>472</v>
          </cell>
          <cell r="D65">
            <v>578.00000000000011</v>
          </cell>
          <cell r="E65">
            <v>505</v>
          </cell>
          <cell r="F65">
            <v>928</v>
          </cell>
          <cell r="G65">
            <v>1035</v>
          </cell>
          <cell r="H65">
            <v>928</v>
          </cell>
          <cell r="I65">
            <v>1030</v>
          </cell>
          <cell r="J65">
            <v>1096</v>
          </cell>
          <cell r="K65">
            <v>0</v>
          </cell>
          <cell r="L65">
            <v>1096</v>
          </cell>
          <cell r="M65">
            <v>1129</v>
          </cell>
          <cell r="N65">
            <v>0</v>
          </cell>
          <cell r="O65">
            <v>1129</v>
          </cell>
          <cell r="P65">
            <v>1322</v>
          </cell>
          <cell r="Q65">
            <v>0</v>
          </cell>
          <cell r="R65">
            <v>1322</v>
          </cell>
          <cell r="S65">
            <v>2091</v>
          </cell>
          <cell r="T65">
            <v>2602</v>
          </cell>
          <cell r="U65">
            <v>2868.5851234622564</v>
          </cell>
          <cell r="V65">
            <v>3154.581709223241</v>
          </cell>
          <cell r="W65">
            <v>3438.5237478823051</v>
          </cell>
          <cell r="X65">
            <v>3663.3771215604402</v>
          </cell>
          <cell r="Y65">
            <v>3902.4309473322519</v>
          </cell>
          <cell r="Z65">
            <v>4070.8503041717963</v>
          </cell>
          <cell r="AA65">
            <v>4317.6419134643693</v>
          </cell>
          <cell r="AB65">
            <v>4506.9381247904257</v>
          </cell>
          <cell r="AC65">
            <v>4772.6543844204216</v>
          </cell>
          <cell r="AD65">
            <v>4973.0818831724473</v>
          </cell>
          <cell r="AE65">
            <v>5180.8942155325485</v>
          </cell>
          <cell r="AF65">
            <v>5396.297423333599</v>
          </cell>
          <cell r="AG65">
            <v>5619.4744090548384</v>
          </cell>
          <cell r="AH65">
            <v>5850.5838075185002</v>
          </cell>
          <cell r="AK65">
            <v>179.07</v>
          </cell>
          <cell r="AL65">
            <v>267.96600000000001</v>
          </cell>
          <cell r="AM65">
            <v>293.774</v>
          </cell>
          <cell r="AN65">
            <v>187.18999999999994</v>
          </cell>
          <cell r="AP65">
            <v>273</v>
          </cell>
          <cell r="AQ65">
            <v>330</v>
          </cell>
          <cell r="AR65">
            <v>183</v>
          </cell>
          <cell r="AS65">
            <v>244</v>
          </cell>
          <cell r="AU65">
            <v>280</v>
          </cell>
          <cell r="AV65">
            <v>319</v>
          </cell>
          <cell r="AW65">
            <v>262</v>
          </cell>
          <cell r="AX65">
            <v>235</v>
          </cell>
          <cell r="AZ65">
            <v>290</v>
          </cell>
          <cell r="BA65">
            <v>396</v>
          </cell>
          <cell r="BB65">
            <v>221</v>
          </cell>
          <cell r="BC65">
            <v>222</v>
          </cell>
          <cell r="BE65">
            <v>290</v>
          </cell>
          <cell r="BF65">
            <v>396</v>
          </cell>
          <cell r="BG65">
            <v>221</v>
          </cell>
          <cell r="BH65">
            <v>222</v>
          </cell>
          <cell r="BJ65">
            <v>271</v>
          </cell>
          <cell r="BK65">
            <v>342</v>
          </cell>
          <cell r="BL65">
            <v>391</v>
          </cell>
          <cell r="BM65">
            <v>318</v>
          </cell>
          <cell r="BO65">
            <v>271</v>
          </cell>
          <cell r="BP65">
            <v>342</v>
          </cell>
          <cell r="BQ65">
            <v>391</v>
          </cell>
          <cell r="BR65">
            <v>318</v>
          </cell>
          <cell r="BT65">
            <v>467</v>
          </cell>
          <cell r="BU65">
            <v>577</v>
          </cell>
          <cell r="BV65">
            <v>542</v>
          </cell>
          <cell r="BW65">
            <v>505</v>
          </cell>
          <cell r="BY65">
            <v>684</v>
          </cell>
          <cell r="BZ65">
            <v>634</v>
          </cell>
          <cell r="CA65">
            <v>654</v>
          </cell>
          <cell r="CB65">
            <v>630</v>
          </cell>
          <cell r="CC65">
            <v>0</v>
          </cell>
          <cell r="CD65">
            <v>744</v>
          </cell>
          <cell r="CE65">
            <v>822</v>
          </cell>
          <cell r="CF65">
            <v>683.58858940528387</v>
          </cell>
          <cell r="CG65">
            <v>619.99653405697222</v>
          </cell>
          <cell r="CH65">
            <v>-0.99999999999954525</v>
          </cell>
          <cell r="CI65">
            <v>800.95695464468213</v>
          </cell>
          <cell r="CJ65">
            <v>800.14315417807074</v>
          </cell>
          <cell r="CK65">
            <v>752.18484857135275</v>
          </cell>
          <cell r="CL65">
            <v>801.29675182913536</v>
          </cell>
          <cell r="CM65">
            <v>0</v>
          </cell>
          <cell r="CN65">
            <v>751.7105758931425</v>
          </cell>
          <cell r="CO65">
            <v>980.64042988782887</v>
          </cell>
          <cell r="CP65">
            <v>979.15245708812972</v>
          </cell>
          <cell r="CQ65">
            <v>727.02028501320433</v>
          </cell>
          <cell r="CR65">
            <v>0</v>
          </cell>
        </row>
        <row r="66">
          <cell r="A66" t="str">
            <v>% Growth</v>
          </cell>
          <cell r="L66">
            <v>6.4077669902912637E-2</v>
          </cell>
          <cell r="O66">
            <v>3.0109489051094895E-2</v>
          </cell>
          <cell r="R66">
            <v>0.17094774136403901</v>
          </cell>
          <cell r="S66">
            <v>0.5816944024205748</v>
          </cell>
          <cell r="T66">
            <v>0.24438067910090866</v>
          </cell>
          <cell r="U66">
            <v>0.10245392907849982</v>
          </cell>
          <cell r="V66">
            <v>9.9699529019309452E-2</v>
          </cell>
          <cell r="W66">
            <v>9.0009410068182971E-2</v>
          </cell>
          <cell r="X66">
            <v>6.5392415514540669E-2</v>
          </cell>
          <cell r="Y66">
            <v>6.5255041411075076E-2</v>
          </cell>
          <cell r="Z66">
            <v>4.3157549515303595E-2</v>
          </cell>
          <cell r="AA66">
            <v>6.0624093457738226E-2</v>
          </cell>
          <cell r="AB66">
            <v>4.3842499012191061E-2</v>
          </cell>
          <cell r="AC66">
            <v>5.8957157225749901E-2</v>
          </cell>
          <cell r="AD66">
            <v>4.1994974412203234E-2</v>
          </cell>
          <cell r="AE66">
            <v>4.1787434279592528E-2</v>
          </cell>
          <cell r="AF66">
            <v>4.1576453569590832E-2</v>
          </cell>
          <cell r="AG66">
            <v>4.1357428661404239E-2</v>
          </cell>
          <cell r="AH66">
            <v>4.1126514979989537E-2</v>
          </cell>
          <cell r="BO66">
            <v>-6.5517241379310365E-2</v>
          </cell>
          <cell r="BP66">
            <v>-0.13636363636363635</v>
          </cell>
          <cell r="BQ66">
            <v>0.76923076923076916</v>
          </cell>
          <cell r="BR66">
            <v>0.43243243243243246</v>
          </cell>
          <cell r="BT66">
            <v>0.7232472324723247</v>
          </cell>
          <cell r="BU66">
            <v>0.6871345029239766</v>
          </cell>
          <cell r="BV66">
            <v>0.38618925831202056</v>
          </cell>
          <cell r="BW66">
            <v>0.58805031446540879</v>
          </cell>
          <cell r="BY66">
            <v>0.46466809421841537</v>
          </cell>
          <cell r="BZ66">
            <v>9.8786828422877004E-2</v>
          </cell>
          <cell r="CA66">
            <v>0.20664206642066429</v>
          </cell>
          <cell r="CB66">
            <v>0.24752475247524752</v>
          </cell>
          <cell r="CD66">
            <v>8.7719298245614086E-2</v>
          </cell>
          <cell r="CE66">
            <v>0.29652996845425861</v>
          </cell>
          <cell r="CF66">
            <v>4.5242491445388167E-2</v>
          </cell>
          <cell r="CG66">
            <v>-1.5878517369885325E-2</v>
          </cell>
          <cell r="CI66">
            <v>7.6555046565432994E-2</v>
          </cell>
          <cell r="CJ66">
            <v>-2.6589836766337305E-2</v>
          </cell>
          <cell r="CK66">
            <v>0.1003472852373779</v>
          </cell>
          <cell r="CL66">
            <v>0.29242134078688786</v>
          </cell>
          <cell r="CN66">
            <v>-6.1484426180413276E-2</v>
          </cell>
          <cell r="CO66">
            <v>0.22558122851800189</v>
          </cell>
          <cell r="CP66">
            <v>0.30174445676200912</v>
          </cell>
          <cell r="CQ66">
            <v>-9.2695329971547613E-2</v>
          </cell>
        </row>
        <row r="67">
          <cell r="A67" t="str">
            <v xml:space="preserve">   EBITDA Margin</v>
          </cell>
          <cell r="B67">
            <v>0.11537639769247204</v>
          </cell>
          <cell r="C67">
            <v>0.117938082506684</v>
          </cell>
          <cell r="D67">
            <v>0.12331784748483865</v>
          </cell>
          <cell r="E67">
            <v>8.6369078159740043E-2</v>
          </cell>
          <cell r="F67">
            <v>0.13335249317430664</v>
          </cell>
          <cell r="G67">
            <v>0.13142857142857142</v>
          </cell>
          <cell r="H67">
            <v>0.13213726327780151</v>
          </cell>
          <cell r="I67">
            <v>0.12783914608415042</v>
          </cell>
          <cell r="J67">
            <v>0.12760507626033299</v>
          </cell>
          <cell r="K67">
            <v>0</v>
          </cell>
          <cell r="L67">
            <v>0.12865359784012209</v>
          </cell>
          <cell r="M67">
            <v>0.13419707595388089</v>
          </cell>
          <cell r="O67">
            <v>0.13564820377267811</v>
          </cell>
          <cell r="P67">
            <v>0.13518764699867061</v>
          </cell>
          <cell r="R67">
            <v>0.13593830334190232</v>
          </cell>
          <cell r="S67">
            <v>0.19005635339029267</v>
          </cell>
          <cell r="T67">
            <v>0.21371663244353184</v>
          </cell>
          <cell r="U67">
            <v>0.21362976013627827</v>
          </cell>
          <cell r="V67">
            <v>0.22072127967057215</v>
          </cell>
          <cell r="W67">
            <v>0.22146018123092567</v>
          </cell>
          <cell r="X67">
            <v>0.22404692504630758</v>
          </cell>
          <cell r="Y67">
            <v>0.22762655425241674</v>
          </cell>
          <cell r="Z67">
            <v>0.22735141440499762</v>
          </cell>
          <cell r="AA67">
            <v>0.23027825900229848</v>
          </cell>
          <cell r="AB67">
            <v>0.23056332854328659</v>
          </cell>
          <cell r="AC67">
            <v>0.23340704201499726</v>
          </cell>
          <cell r="AD67">
            <v>0.23338091622268578</v>
          </cell>
          <cell r="AE67">
            <v>0.23323375031777371</v>
          </cell>
          <cell r="AF67">
            <v>0.23296048451073523</v>
          </cell>
          <cell r="AG67">
            <v>0.2325557432204238</v>
          </cell>
          <cell r="AH67">
            <v>0.23201385914329092</v>
          </cell>
          <cell r="AK67">
            <v>0.12137162749273749</v>
          </cell>
          <cell r="AL67">
            <v>0.13573713094317871</v>
          </cell>
          <cell r="AM67">
            <v>0.16383883033930133</v>
          </cell>
          <cell r="AN67">
            <v>0.10906010453316924</v>
          </cell>
          <cell r="AP67">
            <v>0.15149833518312986</v>
          </cell>
          <cell r="AQ67">
            <v>0.12915851272015655</v>
          </cell>
          <cell r="AR67">
            <v>0.10559723023658396</v>
          </cell>
          <cell r="AS67">
            <v>0.12404677173360447</v>
          </cell>
          <cell r="AU67">
            <v>0.15546918378678512</v>
          </cell>
          <cell r="AV67">
            <v>0.13095238095238096</v>
          </cell>
          <cell r="AW67">
            <v>0.13906581740976645</v>
          </cell>
          <cell r="AX67">
            <v>9.5218800648298213E-2</v>
          </cell>
          <cell r="AZ67">
            <v>0.1607538802660754</v>
          </cell>
          <cell r="BA67">
            <v>0.15987081146548243</v>
          </cell>
          <cell r="BB67">
            <v>0.11368312757201646</v>
          </cell>
          <cell r="BC67">
            <v>0.10146252285191956</v>
          </cell>
          <cell r="BE67">
            <v>0.16292134831460675</v>
          </cell>
          <cell r="BF67">
            <v>0.16143497757847533</v>
          </cell>
          <cell r="BG67">
            <v>0.1149843912591051</v>
          </cell>
          <cell r="BH67">
            <v>0.1026827012025902</v>
          </cell>
          <cell r="BJ67">
            <v>0.12960306073648972</v>
          </cell>
          <cell r="BK67">
            <v>0.12351029252437704</v>
          </cell>
          <cell r="BL67">
            <v>0.15715434083601287</v>
          </cell>
          <cell r="BM67">
            <v>0.13081036610448374</v>
          </cell>
          <cell r="BO67">
            <v>0.13123486682808716</v>
          </cell>
          <cell r="BP67">
            <v>0.1247719810288216</v>
          </cell>
          <cell r="BQ67">
            <v>0.15715434083601287</v>
          </cell>
          <cell r="BR67">
            <v>0.13081036610448374</v>
          </cell>
          <cell r="BT67">
            <v>0.19923208191126279</v>
          </cell>
          <cell r="BU67">
            <v>0.18317460317460318</v>
          </cell>
          <cell r="BV67">
            <v>0.20022164758034725</v>
          </cell>
          <cell r="BW67">
            <v>0.1802927525883613</v>
          </cell>
          <cell r="BY67">
            <v>0.2480058013052937</v>
          </cell>
          <cell r="BZ67">
            <v>0.18757396449704142</v>
          </cell>
          <cell r="CA67">
            <v>0.23028169014084507</v>
          </cell>
          <cell r="CB67">
            <v>0.1970597435095402</v>
          </cell>
          <cell r="CD67">
            <v>0.25833333333333336</v>
          </cell>
          <cell r="CE67">
            <v>0.20905391658189218</v>
          </cell>
          <cell r="CF67">
            <v>0.20187082978602344</v>
          </cell>
          <cell r="CG67">
            <v>0.19197509801374868</v>
          </cell>
          <cell r="CI67">
            <v>0.25700289331657511</v>
          </cell>
          <cell r="CJ67">
            <v>0.20811738180191985</v>
          </cell>
          <cell r="CK67">
            <v>0.22005605432705094</v>
          </cell>
          <cell r="CL67">
            <v>0.20478869075878137</v>
          </cell>
          <cell r="CN67">
            <v>0.24372257473947534</v>
          </cell>
          <cell r="CO67">
            <v>0.21108039400590778</v>
          </cell>
          <cell r="CP67">
            <v>0.2425789968839818</v>
          </cell>
          <cell r="CQ67">
            <v>0.19335283054805569</v>
          </cell>
        </row>
        <row r="68">
          <cell r="A68" t="str">
            <v>Adjusted EBITDA</v>
          </cell>
          <cell r="J68">
            <v>1096</v>
          </cell>
          <cell r="L68">
            <v>1026</v>
          </cell>
          <cell r="M68">
            <v>1129</v>
          </cell>
          <cell r="N68">
            <v>-98</v>
          </cell>
          <cell r="O68">
            <v>1031</v>
          </cell>
          <cell r="P68">
            <v>1260</v>
          </cell>
          <cell r="Q68">
            <v>-54</v>
          </cell>
          <cell r="R68">
            <v>1206</v>
          </cell>
          <cell r="S68">
            <v>1966</v>
          </cell>
          <cell r="T68">
            <v>2473</v>
          </cell>
          <cell r="U68">
            <v>2751.5851234622564</v>
          </cell>
          <cell r="V68">
            <v>3051.581709223241</v>
          </cell>
          <cell r="W68">
            <v>3362.5237478823051</v>
          </cell>
          <cell r="X68">
            <v>3605.3771215604402</v>
          </cell>
          <cell r="Y68">
            <v>3874.4309473322519</v>
          </cell>
          <cell r="Z68">
            <v>4052.8503041717963</v>
          </cell>
          <cell r="AA68">
            <v>4309.6419134643693</v>
          </cell>
          <cell r="AB68">
            <v>4506.9381247904257</v>
          </cell>
          <cell r="AC68">
            <v>4772.6543844204216</v>
          </cell>
          <cell r="AD68">
            <v>4973.0818831724473</v>
          </cell>
          <cell r="AE68">
            <v>5180.8942155325485</v>
          </cell>
          <cell r="AF68">
            <v>5396.297423333599</v>
          </cell>
          <cell r="AG68">
            <v>5619.4744090548384</v>
          </cell>
          <cell r="AH68">
            <v>5850.5838075185002</v>
          </cell>
          <cell r="AZ68">
            <v>290</v>
          </cell>
          <cell r="BA68">
            <v>396</v>
          </cell>
          <cell r="BB68">
            <v>221</v>
          </cell>
          <cell r="BC68">
            <v>222</v>
          </cell>
          <cell r="BE68">
            <v>266</v>
          </cell>
          <cell r="BF68">
            <v>372</v>
          </cell>
          <cell r="BG68">
            <v>197</v>
          </cell>
          <cell r="BH68">
            <v>196</v>
          </cell>
          <cell r="BJ68">
            <v>271</v>
          </cell>
          <cell r="BK68">
            <v>342</v>
          </cell>
          <cell r="BL68">
            <v>361</v>
          </cell>
          <cell r="BM68">
            <v>286</v>
          </cell>
          <cell r="BO68">
            <v>245</v>
          </cell>
          <cell r="BP68">
            <v>314</v>
          </cell>
          <cell r="BQ68">
            <v>361</v>
          </cell>
          <cell r="BR68">
            <v>286</v>
          </cell>
          <cell r="BT68">
            <v>436</v>
          </cell>
          <cell r="BU68">
            <v>545</v>
          </cell>
          <cell r="BV68">
            <v>511</v>
          </cell>
          <cell r="BW68">
            <v>474</v>
          </cell>
          <cell r="BY68">
            <v>653</v>
          </cell>
          <cell r="BZ68">
            <v>602</v>
          </cell>
          <cell r="CA68">
            <v>623</v>
          </cell>
          <cell r="CB68">
            <v>595</v>
          </cell>
          <cell r="CC68">
            <v>0</v>
          </cell>
          <cell r="CD68">
            <v>715</v>
          </cell>
          <cell r="CE68">
            <v>794</v>
          </cell>
          <cell r="CF68">
            <v>654.58858940528387</v>
          </cell>
          <cell r="CG68">
            <v>588.99653405697222</v>
          </cell>
          <cell r="CH68">
            <v>-0.99999999999954525</v>
          </cell>
          <cell r="CI68">
            <v>773.95695464468213</v>
          </cell>
          <cell r="CJ68">
            <v>774.14315417807074</v>
          </cell>
          <cell r="CK68">
            <v>727.18484857135275</v>
          </cell>
          <cell r="CL68">
            <v>776.29675182913536</v>
          </cell>
          <cell r="CM68">
            <v>0</v>
          </cell>
          <cell r="CN68">
            <v>728.7105758931425</v>
          </cell>
          <cell r="CO68">
            <v>964.64042988782887</v>
          </cell>
          <cell r="CP68">
            <v>962.15245708812972</v>
          </cell>
          <cell r="CQ68">
            <v>707.02028501320433</v>
          </cell>
          <cell r="CR68">
            <v>0</v>
          </cell>
        </row>
        <row r="69">
          <cell r="A69" t="str">
            <v>Total EBITA</v>
          </cell>
          <cell r="B69">
            <v>0</v>
          </cell>
          <cell r="C69">
            <v>0</v>
          </cell>
          <cell r="D69">
            <v>522.26803178484124</v>
          </cell>
          <cell r="E69">
            <v>419.5</v>
          </cell>
          <cell r="F69">
            <v>835.80000000000007</v>
          </cell>
          <cell r="G69">
            <v>926</v>
          </cell>
          <cell r="H69">
            <v>835.80000000000007</v>
          </cell>
          <cell r="I69">
            <v>921</v>
          </cell>
          <cell r="J69">
            <v>943.78722798242336</v>
          </cell>
          <cell r="K69">
            <v>-70</v>
          </cell>
          <cell r="L69">
            <v>873.78722798242336</v>
          </cell>
          <cell r="M69">
            <v>965</v>
          </cell>
          <cell r="N69">
            <v>-97.999999999999972</v>
          </cell>
          <cell r="O69">
            <v>867</v>
          </cell>
          <cell r="P69">
            <v>1091.3679282360051</v>
          </cell>
          <cell r="Q69">
            <v>-54</v>
          </cell>
          <cell r="R69">
            <v>1037.3679282360051</v>
          </cell>
          <cell r="S69">
            <v>1783</v>
          </cell>
          <cell r="T69">
            <v>2298</v>
          </cell>
          <cell r="U69">
            <v>2591.5851234622564</v>
          </cell>
          <cell r="V69">
            <v>2844.4017092232407</v>
          </cell>
          <cell r="W69">
            <v>3150.0182997223051</v>
          </cell>
          <cell r="X69">
            <v>3387.3498558692404</v>
          </cell>
          <cell r="Y69">
            <v>3650.6760426026676</v>
          </cell>
          <cell r="Z69">
            <v>3823.1519390403419</v>
          </cell>
          <cell r="AA69">
            <v>4073.7736838216442</v>
          </cell>
          <cell r="AB69">
            <v>4264.6624233510775</v>
          </cell>
          <cell r="AC69">
            <v>4523.7217402181877</v>
          </cell>
          <cell r="AD69">
            <v>4717.2302582710881</v>
          </cell>
          <cell r="AE69">
            <v>4917.8482560566708</v>
          </cell>
          <cell r="AF69">
            <v>5125.767661723452</v>
          </cell>
          <cell r="AG69">
            <v>5341.1564142354955</v>
          </cell>
          <cell r="AH69">
            <v>5564.1572794451486</v>
          </cell>
          <cell r="AK69">
            <v>157.20446511627907</v>
          </cell>
          <cell r="AL69">
            <v>244.130488372093</v>
          </cell>
          <cell r="AM69">
            <v>265.90906976744191</v>
          </cell>
          <cell r="AN69">
            <v>168.55597674418604</v>
          </cell>
          <cell r="AP69">
            <v>248.82499999999999</v>
          </cell>
          <cell r="AQ69">
            <v>306.75</v>
          </cell>
          <cell r="AR69">
            <v>159.75</v>
          </cell>
          <cell r="AS69">
            <v>205.67500000000001</v>
          </cell>
          <cell r="AU69">
            <v>243.75</v>
          </cell>
          <cell r="AV69">
            <v>284.75</v>
          </cell>
          <cell r="AW69">
            <v>225.75</v>
          </cell>
          <cell r="AX69">
            <v>198.75</v>
          </cell>
          <cell r="AZ69">
            <v>252.75</v>
          </cell>
          <cell r="BA69">
            <v>330.75</v>
          </cell>
          <cell r="BB69">
            <v>160.75</v>
          </cell>
          <cell r="BC69">
            <v>146.75</v>
          </cell>
          <cell r="BE69">
            <v>228.75</v>
          </cell>
          <cell r="BF69">
            <v>330.75</v>
          </cell>
          <cell r="BG69">
            <v>160.75</v>
          </cell>
          <cell r="BH69">
            <v>146.75</v>
          </cell>
          <cell r="BJ69">
            <v>221.06247293703774</v>
          </cell>
          <cell r="BK69">
            <v>290.06247293703774</v>
          </cell>
          <cell r="BL69">
            <v>312.06247293703774</v>
          </cell>
          <cell r="BM69">
            <v>238.06247293703774</v>
          </cell>
          <cell r="BO69">
            <v>202.59198205900128</v>
          </cell>
          <cell r="BP69">
            <v>269.59198205900128</v>
          </cell>
          <cell r="BQ69">
            <v>319.59198205900128</v>
          </cell>
          <cell r="BR69">
            <v>245.59198205900128</v>
          </cell>
          <cell r="BT69">
            <v>389</v>
          </cell>
          <cell r="BU69">
            <v>500</v>
          </cell>
          <cell r="BV69">
            <v>464</v>
          </cell>
          <cell r="BW69">
            <v>430</v>
          </cell>
          <cell r="BY69">
            <v>611</v>
          </cell>
          <cell r="BZ69">
            <v>558</v>
          </cell>
          <cell r="CA69">
            <v>582</v>
          </cell>
          <cell r="CB69">
            <v>547</v>
          </cell>
          <cell r="CC69">
            <v>0</v>
          </cell>
          <cell r="CD69">
            <v>676</v>
          </cell>
          <cell r="CE69">
            <v>752</v>
          </cell>
          <cell r="CF69">
            <v>613.58858940528387</v>
          </cell>
          <cell r="CG69">
            <v>550.99653405697222</v>
          </cell>
          <cell r="CH69">
            <v>-0.99999999999954525</v>
          </cell>
          <cell r="CI69">
            <v>725.95695464468213</v>
          </cell>
          <cell r="CJ69">
            <v>715.14315417807074</v>
          </cell>
          <cell r="CK69">
            <v>680.18484857135275</v>
          </cell>
          <cell r="CL69">
            <v>723.11675182913541</v>
          </cell>
          <cell r="CM69">
            <v>0</v>
          </cell>
          <cell r="CN69">
            <v>678.22577589314255</v>
          </cell>
          <cell r="CO69">
            <v>911.15562988782892</v>
          </cell>
          <cell r="CP69">
            <v>907.66765708812977</v>
          </cell>
          <cell r="CQ69">
            <v>652.96923685320417</v>
          </cell>
          <cell r="CR69">
            <v>0</v>
          </cell>
        </row>
        <row r="70">
          <cell r="A70" t="str">
            <v xml:space="preserve">   EBITA Margin</v>
          </cell>
          <cell r="B70">
            <v>0</v>
          </cell>
          <cell r="C70">
            <v>0</v>
          </cell>
          <cell r="D70">
            <v>0.1114272828544116</v>
          </cell>
          <cell r="E70">
            <v>7.1746194629724647E-2</v>
          </cell>
          <cell r="F70">
            <v>0.12010346314125593</v>
          </cell>
          <cell r="G70">
            <v>0.11758730158730159</v>
          </cell>
          <cell r="H70">
            <v>0.11900897052541649</v>
          </cell>
          <cell r="I70">
            <v>0.11431053742087625</v>
          </cell>
          <cell r="J70">
            <v>0.10988324927027865</v>
          </cell>
          <cell r="K70">
            <v>1</v>
          </cell>
          <cell r="L70">
            <v>0.10256922502434833</v>
          </cell>
          <cell r="M70">
            <v>0.11470343515987162</v>
          </cell>
          <cell r="O70">
            <v>0.10416916977051544</v>
          </cell>
          <cell r="P70">
            <v>0.11160322407567289</v>
          </cell>
          <cell r="R70">
            <v>0.10667022398313677</v>
          </cell>
          <cell r="S70">
            <v>0.16206144337393202</v>
          </cell>
          <cell r="T70">
            <v>0.18874743326488708</v>
          </cell>
          <cell r="U70">
            <v>0.19300096893404023</v>
          </cell>
          <cell r="V70">
            <v>0.19901845728748163</v>
          </cell>
          <cell r="W70">
            <v>0.20287881506325772</v>
          </cell>
          <cell r="X70">
            <v>0.20716549076997215</v>
          </cell>
          <cell r="Y70">
            <v>0.21294183535459335</v>
          </cell>
          <cell r="Z70">
            <v>0.21351779993857259</v>
          </cell>
          <cell r="AA70">
            <v>0.2172717261601527</v>
          </cell>
          <cell r="AB70">
            <v>0.21816912862255589</v>
          </cell>
          <cell r="AC70">
            <v>0.22123297126437219</v>
          </cell>
          <cell r="AD70">
            <v>0.22137409871208186</v>
          </cell>
          <cell r="AE70">
            <v>0.22139193439137195</v>
          </cell>
          <cell r="AF70">
            <v>0.22128159815677648</v>
          </cell>
          <cell r="AG70">
            <v>0.22103786033220604</v>
          </cell>
          <cell r="AH70">
            <v>0.22065517660396686</v>
          </cell>
          <cell r="AK70">
            <v>0.10655141442055101</v>
          </cell>
          <cell r="AL70">
            <v>0.12366334560125147</v>
          </cell>
          <cell r="AM70">
            <v>0.14829845720625159</v>
          </cell>
          <cell r="AN70">
            <v>9.820360298846828E-2</v>
          </cell>
          <cell r="AP70">
            <v>0.1380826859045505</v>
          </cell>
          <cell r="AQ70">
            <v>0.1200587084148728</v>
          </cell>
          <cell r="AR70">
            <v>9.2181188690132712E-2</v>
          </cell>
          <cell r="AS70">
            <v>0.10456278596847993</v>
          </cell>
          <cell r="AU70">
            <v>0.13534147695724597</v>
          </cell>
          <cell r="AV70">
            <v>0.11689244663382595</v>
          </cell>
          <cell r="AW70">
            <v>0.11982484076433121</v>
          </cell>
          <cell r="AX70">
            <v>8.0530794165316041E-2</v>
          </cell>
          <cell r="AZ70">
            <v>0.14010532150776053</v>
          </cell>
          <cell r="BA70">
            <v>0.1335284618490109</v>
          </cell>
          <cell r="BB70">
            <v>8.2690329218106998E-2</v>
          </cell>
          <cell r="BC70">
            <v>6.7070383912248635E-2</v>
          </cell>
          <cell r="BE70">
            <v>0.12851123595505617</v>
          </cell>
          <cell r="BF70">
            <v>0.13483489604565838</v>
          </cell>
          <cell r="BG70">
            <v>8.3636836628511971E-2</v>
          </cell>
          <cell r="BH70">
            <v>6.7876965772432934E-2</v>
          </cell>
          <cell r="BJ70">
            <v>0.10572093397275836</v>
          </cell>
          <cell r="BK70">
            <v>0.10475351135320973</v>
          </cell>
          <cell r="BL70">
            <v>0.12542703896183188</v>
          </cell>
          <cell r="BM70">
            <v>9.7927796354190758E-2</v>
          </cell>
          <cell r="BO70">
            <v>9.8107497365133786E-2</v>
          </cell>
          <cell r="BP70">
            <v>9.8355338219263511E-2</v>
          </cell>
          <cell r="BQ70">
            <v>0.12845336899477544</v>
          </cell>
          <cell r="BR70">
            <v>0.10102508517441434</v>
          </cell>
          <cell r="BT70">
            <v>0.1659556313993174</v>
          </cell>
          <cell r="BU70">
            <v>0.15873015873015872</v>
          </cell>
          <cell r="BV70">
            <v>0.17140746213520502</v>
          </cell>
          <cell r="BW70">
            <v>0.15351660121385219</v>
          </cell>
          <cell r="BY70">
            <v>0.22153734590282814</v>
          </cell>
          <cell r="BZ70">
            <v>0.16508875739644971</v>
          </cell>
          <cell r="CA70">
            <v>0.20492957746478874</v>
          </cell>
          <cell r="CB70">
            <v>0.17109790428526744</v>
          </cell>
          <cell r="CD70">
            <v>0.23472222222222222</v>
          </cell>
          <cell r="CE70">
            <v>0.19125127161749747</v>
          </cell>
          <cell r="CF70">
            <v>0.18119910076065243</v>
          </cell>
          <cell r="CG70">
            <v>0.1706100079925657</v>
          </cell>
          <cell r="CI70">
            <v>0.23293765874064967</v>
          </cell>
          <cell r="CJ70">
            <v>0.18600886614345019</v>
          </cell>
          <cell r="CK70">
            <v>0.19899203536729562</v>
          </cell>
          <cell r="CL70">
            <v>0.18480810328357405</v>
          </cell>
          <cell r="CN70">
            <v>0.21989704236761029</v>
          </cell>
          <cell r="CO70">
            <v>0.19612396500868667</v>
          </cell>
          <cell r="CP70">
            <v>0.22486907750327467</v>
          </cell>
          <cell r="CQ70">
            <v>0.17365877240148503</v>
          </cell>
        </row>
        <row r="71">
          <cell r="A71" t="str">
            <v>Total Operating Income</v>
          </cell>
          <cell r="B71">
            <v>0</v>
          </cell>
          <cell r="C71">
            <v>0</v>
          </cell>
          <cell r="D71">
            <v>481.00000000000011</v>
          </cell>
          <cell r="E71">
            <v>325</v>
          </cell>
          <cell r="F71">
            <v>685</v>
          </cell>
          <cell r="G71">
            <v>739</v>
          </cell>
          <cell r="H71">
            <v>685</v>
          </cell>
          <cell r="I71">
            <v>715</v>
          </cell>
          <cell r="J71">
            <v>645.78722798242336</v>
          </cell>
          <cell r="K71">
            <v>0</v>
          </cell>
          <cell r="L71">
            <v>645.78722798242336</v>
          </cell>
          <cell r="M71">
            <v>652</v>
          </cell>
          <cell r="N71">
            <v>0</v>
          </cell>
          <cell r="O71">
            <v>652</v>
          </cell>
          <cell r="P71">
            <v>806</v>
          </cell>
          <cell r="Q71">
            <v>0</v>
          </cell>
          <cell r="R71">
            <v>806</v>
          </cell>
          <cell r="S71">
            <v>1783</v>
          </cell>
          <cell r="T71">
            <v>2298</v>
          </cell>
          <cell r="U71">
            <v>2591.5851234622564</v>
          </cell>
          <cell r="V71">
            <v>2844.4017092232407</v>
          </cell>
          <cell r="W71">
            <v>3150.0182997223051</v>
          </cell>
          <cell r="X71">
            <v>3387.3498558692404</v>
          </cell>
          <cell r="Y71">
            <v>3650.6760426026676</v>
          </cell>
          <cell r="Z71">
            <v>3823.1519390403419</v>
          </cell>
          <cell r="AA71">
            <v>4073.7736838216442</v>
          </cell>
          <cell r="AB71">
            <v>4264.6624233510775</v>
          </cell>
          <cell r="AC71">
            <v>4523.7217402181877</v>
          </cell>
          <cell r="AD71">
            <v>4717.2302582710881</v>
          </cell>
          <cell r="AE71">
            <v>4917.8482560566708</v>
          </cell>
          <cell r="AF71">
            <v>5125.767661723452</v>
          </cell>
          <cell r="AG71">
            <v>5341.1564142354955</v>
          </cell>
          <cell r="AH71">
            <v>5564.1572794451486</v>
          </cell>
          <cell r="AK71">
            <v>148.92946511627909</v>
          </cell>
          <cell r="AL71">
            <v>235.85548837209302</v>
          </cell>
          <cell r="AM71">
            <v>257.63406976744187</v>
          </cell>
          <cell r="AN71">
            <v>164.33097674418602</v>
          </cell>
          <cell r="AP71">
            <v>202</v>
          </cell>
          <cell r="AQ71">
            <v>258</v>
          </cell>
          <cell r="AR71">
            <v>100</v>
          </cell>
          <cell r="AS71">
            <v>155</v>
          </cell>
          <cell r="AU71">
            <v>174</v>
          </cell>
          <cell r="AV71">
            <v>212</v>
          </cell>
          <cell r="AW71">
            <v>151</v>
          </cell>
          <cell r="AX71">
            <v>118</v>
          </cell>
          <cell r="AZ71">
            <v>174</v>
          </cell>
          <cell r="BA71">
            <v>275</v>
          </cell>
          <cell r="BB71">
            <v>104</v>
          </cell>
          <cell r="BC71">
            <v>99</v>
          </cell>
          <cell r="BE71">
            <v>174</v>
          </cell>
          <cell r="BF71">
            <v>275</v>
          </cell>
          <cell r="BG71">
            <v>104</v>
          </cell>
          <cell r="BH71">
            <v>99</v>
          </cell>
          <cell r="BJ71">
            <v>142</v>
          </cell>
          <cell r="BK71">
            <v>214</v>
          </cell>
          <cell r="BL71">
            <v>262</v>
          </cell>
          <cell r="BM71">
            <v>188</v>
          </cell>
          <cell r="BO71">
            <v>142</v>
          </cell>
          <cell r="BP71">
            <v>214</v>
          </cell>
          <cell r="BQ71">
            <v>262</v>
          </cell>
          <cell r="BR71">
            <v>188</v>
          </cell>
          <cell r="BT71">
            <v>389</v>
          </cell>
          <cell r="BU71">
            <v>500</v>
          </cell>
          <cell r="BV71">
            <v>464</v>
          </cell>
          <cell r="BW71">
            <v>430</v>
          </cell>
          <cell r="BY71">
            <v>611</v>
          </cell>
          <cell r="BZ71">
            <v>558</v>
          </cell>
          <cell r="CA71">
            <v>582</v>
          </cell>
          <cell r="CB71">
            <v>547</v>
          </cell>
          <cell r="CC71">
            <v>0</v>
          </cell>
          <cell r="CD71">
            <v>675</v>
          </cell>
          <cell r="CE71">
            <v>752</v>
          </cell>
          <cell r="CF71">
            <v>613.58858940528387</v>
          </cell>
          <cell r="CG71">
            <v>550.99653405697222</v>
          </cell>
          <cell r="CH71">
            <v>0</v>
          </cell>
          <cell r="CI71">
            <v>725.95695464468213</v>
          </cell>
          <cell r="CJ71">
            <v>715.14315417807074</v>
          </cell>
          <cell r="CK71">
            <v>680.18484857135275</v>
          </cell>
          <cell r="CL71">
            <v>723.11675182913541</v>
          </cell>
          <cell r="CM71">
            <v>0</v>
          </cell>
          <cell r="CN71">
            <v>678.22577589314255</v>
          </cell>
          <cell r="CO71">
            <v>911.15562988782892</v>
          </cell>
          <cell r="CP71">
            <v>907.66765708812977</v>
          </cell>
          <cell r="CQ71">
            <v>652.96923685320417</v>
          </cell>
          <cell r="CR71">
            <v>0</v>
          </cell>
        </row>
        <row r="72">
          <cell r="A72" t="str">
            <v xml:space="preserve">   Operating Income Margin</v>
          </cell>
          <cell r="B72">
            <v>0</v>
          </cell>
          <cell r="C72">
            <v>0</v>
          </cell>
          <cell r="D72">
            <v>0.10262263778582595</v>
          </cell>
          <cell r="E72">
            <v>5.5584060201812897E-2</v>
          </cell>
          <cell r="F72">
            <v>9.8433683000431094E-2</v>
          </cell>
          <cell r="G72">
            <v>9.3841269841269837E-2</v>
          </cell>
          <cell r="H72">
            <v>9.753666524277374E-2</v>
          </cell>
          <cell r="I72">
            <v>8.8742708204046172E-2</v>
          </cell>
          <cell r="J72">
            <v>7.518770846226841E-2</v>
          </cell>
          <cell r="L72">
            <v>7.580552036417694E-2</v>
          </cell>
          <cell r="M72">
            <v>7.749910852252466E-2</v>
          </cell>
          <cell r="O72">
            <v>7.8337138051183461E-2</v>
          </cell>
          <cell r="P72">
            <v>8.2421515492381636E-2</v>
          </cell>
          <cell r="R72">
            <v>8.2879177377892035E-2</v>
          </cell>
          <cell r="S72">
            <v>0.16206144337393202</v>
          </cell>
          <cell r="T72">
            <v>0.18874743326488708</v>
          </cell>
          <cell r="U72">
            <v>0.19300096893404023</v>
          </cell>
          <cell r="V72">
            <v>0.19901845728748163</v>
          </cell>
          <cell r="W72">
            <v>0.20287881506325772</v>
          </cell>
          <cell r="X72">
            <v>0.20716549076997215</v>
          </cell>
          <cell r="Y72">
            <v>0.21294183535459335</v>
          </cell>
          <cell r="Z72">
            <v>0.21351779993857259</v>
          </cell>
          <cell r="AA72">
            <v>0.2172717261601527</v>
          </cell>
          <cell r="AB72">
            <v>0.21816912862255589</v>
          </cell>
          <cell r="AC72">
            <v>0.22123297126437219</v>
          </cell>
          <cell r="AD72">
            <v>0.22137409871208186</v>
          </cell>
          <cell r="AE72">
            <v>0.22139193439137195</v>
          </cell>
          <cell r="AF72">
            <v>0.22128159815677648</v>
          </cell>
          <cell r="AG72">
            <v>0.22103786033220604</v>
          </cell>
          <cell r="AH72">
            <v>0.22065517660396686</v>
          </cell>
          <cell r="AK72">
            <v>0.10094271269774764</v>
          </cell>
          <cell r="AL72">
            <v>0.11947167666356982</v>
          </cell>
          <cell r="AM72">
            <v>0.14368345955139539</v>
          </cell>
          <cell r="AN72">
            <v>9.5742045524647337E-2</v>
          </cell>
          <cell r="AP72">
            <v>0.1120976692563818</v>
          </cell>
          <cell r="AQ72">
            <v>0.10097847358121331</v>
          </cell>
          <cell r="AR72">
            <v>5.770340450086555E-2</v>
          </cell>
          <cell r="AS72">
            <v>7.8800203355363502E-2</v>
          </cell>
          <cell r="AU72">
            <v>9.6612992781787893E-2</v>
          </cell>
          <cell r="AV72">
            <v>8.7027914614121515E-2</v>
          </cell>
          <cell r="AW72">
            <v>8.0148619957537151E-2</v>
          </cell>
          <cell r="AX72">
            <v>4.7811993517017828E-2</v>
          </cell>
          <cell r="AZ72">
            <v>9.6452328159645231E-2</v>
          </cell>
          <cell r="BA72">
            <v>0.11102139685102948</v>
          </cell>
          <cell r="BB72">
            <v>5.3497942386831275E-2</v>
          </cell>
          <cell r="BC72">
            <v>4.5246800731261423E-2</v>
          </cell>
          <cell r="BE72">
            <v>9.7752808988764039E-2</v>
          </cell>
          <cell r="BF72">
            <v>0.11210762331838565</v>
          </cell>
          <cell r="BG72">
            <v>5.4110301768990635E-2</v>
          </cell>
          <cell r="BH72">
            <v>4.5790934320074007E-2</v>
          </cell>
          <cell r="BJ72">
            <v>6.7910090865614545E-2</v>
          </cell>
          <cell r="BK72">
            <v>7.7284218129288554E-2</v>
          </cell>
          <cell r="BL72">
            <v>0.10530546623794212</v>
          </cell>
          <cell r="BM72">
            <v>7.7334430275606741E-2</v>
          </cell>
          <cell r="BO72">
            <v>6.8765133171912837E-2</v>
          </cell>
          <cell r="BP72">
            <v>7.8073695731484857E-2</v>
          </cell>
          <cell r="BQ72">
            <v>0.10530546623794212</v>
          </cell>
          <cell r="BR72">
            <v>7.7334430275606741E-2</v>
          </cell>
          <cell r="BT72">
            <v>0.1659556313993174</v>
          </cell>
          <cell r="BU72">
            <v>0.15873015873015872</v>
          </cell>
          <cell r="BV72">
            <v>0.17140746213520502</v>
          </cell>
          <cell r="BW72">
            <v>0.15351660121385219</v>
          </cell>
          <cell r="BY72">
            <v>0.22153734590282814</v>
          </cell>
          <cell r="BZ72">
            <v>0.16508875739644971</v>
          </cell>
          <cell r="CA72">
            <v>0.20492957746478874</v>
          </cell>
          <cell r="CB72">
            <v>0.17109790428526744</v>
          </cell>
          <cell r="CD72">
            <v>0.234375</v>
          </cell>
          <cell r="CE72">
            <v>0.19125127161749747</v>
          </cell>
          <cell r="CF72">
            <v>0.18119910076065243</v>
          </cell>
          <cell r="CG72">
            <v>0.1706100079925657</v>
          </cell>
          <cell r="CI72">
            <v>0.23293765874064967</v>
          </cell>
          <cell r="CJ72">
            <v>0.18600886614345019</v>
          </cell>
          <cell r="CK72">
            <v>0.19899203536729562</v>
          </cell>
          <cell r="CL72">
            <v>0.18480810328357405</v>
          </cell>
          <cell r="CN72">
            <v>0.21989704236761029</v>
          </cell>
          <cell r="CO72">
            <v>0.19612396500868667</v>
          </cell>
          <cell r="CP72">
            <v>0.22486907750327467</v>
          </cell>
          <cell r="CQ72">
            <v>0.17365877240148503</v>
          </cell>
        </row>
        <row r="73">
          <cell r="A73" t="str">
            <v>% Growth</v>
          </cell>
          <cell r="L73">
            <v>-9.6801079744862406E-2</v>
          </cell>
          <cell r="O73">
            <v>4.188755919453957E-2</v>
          </cell>
          <cell r="R73">
            <v>5.7980664595391751E-2</v>
          </cell>
          <cell r="S73">
            <v>0.63018242122719736</v>
          </cell>
          <cell r="T73">
            <v>0.25788402848423186</v>
          </cell>
          <cell r="U73">
            <v>0.11265067669318896</v>
          </cell>
          <cell r="V73">
            <v>0.10902682355816262</v>
          </cell>
          <cell r="W73">
            <v>0.1018953671531253</v>
          </cell>
          <cell r="X73">
            <v>7.2223541567872251E-2</v>
          </cell>
          <cell r="Y73">
            <v>7.4625709516723981E-2</v>
          </cell>
          <cell r="Z73">
            <v>4.6050467607996914E-2</v>
          </cell>
          <cell r="AA73">
            <v>6.3360743679144793E-2</v>
          </cell>
          <cell r="AB73">
            <v>4.5780186680859813E-2</v>
          </cell>
          <cell r="AC73">
            <v>5.8957157225749901E-2</v>
          </cell>
          <cell r="AD73">
            <v>4.1994974412203234E-2</v>
          </cell>
          <cell r="AE73">
            <v>4.1787434279592528E-2</v>
          </cell>
          <cell r="AF73">
            <v>4.1576453569590832E-2</v>
          </cell>
          <cell r="AG73">
            <v>4.1357428661404239E-2</v>
          </cell>
          <cell r="AH73">
            <v>4.1126514979989537E-2</v>
          </cell>
          <cell r="CD73">
            <v>0.10474631751227492</v>
          </cell>
          <cell r="CE73">
            <v>0.34767025089605741</v>
          </cell>
          <cell r="CF73">
            <v>5.427592681320248E-2</v>
          </cell>
          <cell r="CG73">
            <v>7.3062779834958125E-3</v>
          </cell>
          <cell r="CI73">
            <v>7.5491784658788363E-2</v>
          </cell>
          <cell r="CJ73">
            <v>-4.901176306107613E-2</v>
          </cell>
          <cell r="CK73">
            <v>0.1085356871297376</v>
          </cell>
          <cell r="CL73">
            <v>0.31237985564962956</v>
          </cell>
          <cell r="CN73">
            <v>-6.5749323628839007E-2</v>
          </cell>
          <cell r="CO73">
            <v>0.2740884458791184</v>
          </cell>
          <cell r="CP73">
            <v>0.33444262834518823</v>
          </cell>
          <cell r="CQ73">
            <v>-9.7007177331311922E-2</v>
          </cell>
        </row>
        <row r="75">
          <cell r="A75" t="str">
            <v>Supplementary Information</v>
          </cell>
        </row>
        <row r="77">
          <cell r="A77" t="str">
            <v>Depreciation</v>
          </cell>
        </row>
        <row r="78">
          <cell r="A78" t="str">
            <v>Cable Network Programming</v>
          </cell>
          <cell r="B78">
            <v>0</v>
          </cell>
          <cell r="C78">
            <v>0</v>
          </cell>
          <cell r="D78">
            <v>0</v>
          </cell>
          <cell r="E78">
            <v>6.6999999999999993</v>
          </cell>
          <cell r="F78">
            <v>11.899999999999999</v>
          </cell>
          <cell r="G78">
            <v>13.299999999999997</v>
          </cell>
          <cell r="H78">
            <v>11.899999999999999</v>
          </cell>
          <cell r="I78">
            <v>13.299999999999997</v>
          </cell>
          <cell r="J78">
            <v>35</v>
          </cell>
          <cell r="L78">
            <v>35</v>
          </cell>
          <cell r="M78">
            <v>46</v>
          </cell>
          <cell r="O78">
            <v>46</v>
          </cell>
          <cell r="P78">
            <v>50.632071763994816</v>
          </cell>
          <cell r="R78">
            <v>50.632071763994816</v>
          </cell>
          <cell r="S78">
            <v>47</v>
          </cell>
          <cell r="T78">
            <v>41</v>
          </cell>
          <cell r="U78">
            <v>39</v>
          </cell>
          <cell r="V78">
            <v>51</v>
          </cell>
          <cell r="W78">
            <v>52.574048160000004</v>
          </cell>
          <cell r="X78">
            <v>54.246159691200006</v>
          </cell>
          <cell r="Y78">
            <v>56.023077829584004</v>
          </cell>
          <cell r="Z78">
            <v>57.912016625654893</v>
          </cell>
          <cell r="AA78">
            <v>59.920693889330735</v>
          </cell>
          <cell r="AB78">
            <v>62.057366440862687</v>
          </cell>
          <cell r="AC78">
            <v>64.330867829194659</v>
          </cell>
          <cell r="AD78">
            <v>66.75064869048461</v>
          </cell>
          <cell r="AE78">
            <v>69.326819931597299</v>
          </cell>
          <cell r="AF78">
            <v>72.070198936315649</v>
          </cell>
          <cell r="AG78">
            <v>74.992359005859385</v>
          </cell>
          <cell r="AH78">
            <v>78.105682260111166</v>
          </cell>
          <cell r="AK78">
            <v>1.1159999999999979</v>
          </cell>
          <cell r="AL78">
            <v>2.339000000000004</v>
          </cell>
          <cell r="AM78">
            <v>4.0190000000000037</v>
          </cell>
          <cell r="AN78">
            <v>4.4259999999999931</v>
          </cell>
          <cell r="AP78">
            <v>3</v>
          </cell>
          <cell r="AQ78">
            <v>3</v>
          </cell>
          <cell r="AR78">
            <v>4</v>
          </cell>
          <cell r="AS78">
            <v>3.2999999999999972</v>
          </cell>
          <cell r="AU78">
            <v>9</v>
          </cell>
          <cell r="AV78">
            <v>9</v>
          </cell>
          <cell r="AW78">
            <v>9</v>
          </cell>
          <cell r="AX78">
            <v>8</v>
          </cell>
          <cell r="AZ78">
            <v>10</v>
          </cell>
          <cell r="BA78">
            <v>10</v>
          </cell>
          <cell r="BB78">
            <v>10</v>
          </cell>
          <cell r="BC78">
            <v>16</v>
          </cell>
          <cell r="BE78">
            <v>10</v>
          </cell>
          <cell r="BF78">
            <v>10</v>
          </cell>
          <cell r="BG78">
            <v>10</v>
          </cell>
          <cell r="BH78">
            <v>16</v>
          </cell>
          <cell r="BJ78">
            <v>12.658017940998704</v>
          </cell>
          <cell r="BK78">
            <v>12.658017940998704</v>
          </cell>
          <cell r="BL78">
            <v>12.658017940998704</v>
          </cell>
          <cell r="BM78">
            <v>12.658017940998707</v>
          </cell>
          <cell r="BO78">
            <v>12.658017940998704</v>
          </cell>
          <cell r="BP78">
            <v>12.658017940998704</v>
          </cell>
          <cell r="BQ78">
            <v>12.658017940998704</v>
          </cell>
          <cell r="BR78">
            <v>12.658017940998707</v>
          </cell>
          <cell r="BT78">
            <v>14</v>
          </cell>
          <cell r="BU78">
            <v>11</v>
          </cell>
          <cell r="BV78">
            <v>11</v>
          </cell>
          <cell r="BW78">
            <v>11</v>
          </cell>
          <cell r="BY78">
            <v>10</v>
          </cell>
          <cell r="BZ78">
            <v>11</v>
          </cell>
          <cell r="CA78">
            <v>10</v>
          </cell>
          <cell r="CB78">
            <v>10</v>
          </cell>
          <cell r="CC78">
            <v>0</v>
          </cell>
          <cell r="CD78">
            <v>10</v>
          </cell>
          <cell r="CE78">
            <v>10</v>
          </cell>
          <cell r="CF78">
            <v>10</v>
          </cell>
          <cell r="CG78">
            <v>9</v>
          </cell>
          <cell r="CH78">
            <v>0</v>
          </cell>
          <cell r="CI78">
            <v>12</v>
          </cell>
          <cell r="CJ78">
            <v>13</v>
          </cell>
          <cell r="CK78">
            <v>13</v>
          </cell>
          <cell r="CL78">
            <v>13</v>
          </cell>
          <cell r="CM78">
            <v>0</v>
          </cell>
          <cell r="CN78">
            <v>13</v>
          </cell>
          <cell r="CO78">
            <v>14</v>
          </cell>
          <cell r="CP78">
            <v>15</v>
          </cell>
          <cell r="CQ78">
            <v>10.574048160000004</v>
          </cell>
          <cell r="CR78">
            <v>0</v>
          </cell>
        </row>
        <row r="79">
          <cell r="A79" t="str">
            <v>Filmed Entertainment</v>
          </cell>
          <cell r="B79">
            <v>0</v>
          </cell>
          <cell r="C79">
            <v>0</v>
          </cell>
          <cell r="D79">
            <v>24</v>
          </cell>
          <cell r="E79">
            <v>25</v>
          </cell>
          <cell r="F79">
            <v>26</v>
          </cell>
          <cell r="G79">
            <v>41</v>
          </cell>
          <cell r="H79">
            <v>26</v>
          </cell>
          <cell r="I79">
            <v>41</v>
          </cell>
          <cell r="J79">
            <v>52</v>
          </cell>
          <cell r="L79">
            <v>52</v>
          </cell>
          <cell r="M79">
            <v>65</v>
          </cell>
          <cell r="O79">
            <v>65</v>
          </cell>
          <cell r="P79">
            <v>59</v>
          </cell>
          <cell r="R79">
            <v>59</v>
          </cell>
          <cell r="S79">
            <v>55</v>
          </cell>
          <cell r="T79">
            <v>54</v>
          </cell>
          <cell r="U79">
            <v>51</v>
          </cell>
          <cell r="V79">
            <v>85</v>
          </cell>
          <cell r="W79">
            <v>87.55</v>
          </cell>
          <cell r="X79">
            <v>90.176500000000004</v>
          </cell>
          <cell r="Y79">
            <v>92.881795000000011</v>
          </cell>
          <cell r="Z79">
            <v>95.668248850000012</v>
          </cell>
          <cell r="AA79">
            <v>98.53829631550002</v>
          </cell>
          <cell r="AB79">
            <v>101.49444520496502</v>
          </cell>
          <cell r="AC79">
            <v>104.53927856111397</v>
          </cell>
          <cell r="AD79">
            <v>107.6754569179474</v>
          </cell>
          <cell r="AE79">
            <v>110.90572062548583</v>
          </cell>
          <cell r="AF79">
            <v>114.23289224425041</v>
          </cell>
          <cell r="AG79">
            <v>117.65987901157793</v>
          </cell>
          <cell r="AH79">
            <v>121.18967538192527</v>
          </cell>
          <cell r="AK79">
            <v>7.01</v>
          </cell>
          <cell r="AL79">
            <v>7</v>
          </cell>
          <cell r="AM79">
            <v>7</v>
          </cell>
          <cell r="AN79">
            <v>4.99</v>
          </cell>
          <cell r="AP79">
            <v>9</v>
          </cell>
          <cell r="AQ79">
            <v>8</v>
          </cell>
          <cell r="AR79">
            <v>10</v>
          </cell>
          <cell r="AS79">
            <v>14</v>
          </cell>
          <cell r="AU79">
            <v>13</v>
          </cell>
          <cell r="AV79">
            <v>12</v>
          </cell>
          <cell r="AW79">
            <v>13</v>
          </cell>
          <cell r="AX79">
            <v>14</v>
          </cell>
          <cell r="AZ79">
            <v>14</v>
          </cell>
          <cell r="BA79">
            <v>18</v>
          </cell>
          <cell r="BB79">
            <v>14</v>
          </cell>
          <cell r="BC79">
            <v>19</v>
          </cell>
          <cell r="BE79">
            <v>14</v>
          </cell>
          <cell r="BF79">
            <v>18</v>
          </cell>
          <cell r="BG79">
            <v>14</v>
          </cell>
          <cell r="BH79">
            <v>19</v>
          </cell>
          <cell r="BJ79">
            <v>14</v>
          </cell>
          <cell r="BK79">
            <v>14</v>
          </cell>
          <cell r="BL79">
            <v>16</v>
          </cell>
          <cell r="BM79">
            <v>15</v>
          </cell>
          <cell r="BO79">
            <v>14</v>
          </cell>
          <cell r="BP79">
            <v>14</v>
          </cell>
          <cell r="BQ79">
            <v>16</v>
          </cell>
          <cell r="BR79">
            <v>15</v>
          </cell>
          <cell r="BT79">
            <v>13</v>
          </cell>
          <cell r="BU79">
            <v>14</v>
          </cell>
          <cell r="BV79">
            <v>15</v>
          </cell>
          <cell r="BW79">
            <v>13</v>
          </cell>
          <cell r="BY79">
            <v>12</v>
          </cell>
          <cell r="BZ79">
            <v>15</v>
          </cell>
          <cell r="CA79">
            <v>14</v>
          </cell>
          <cell r="CB79">
            <v>13</v>
          </cell>
          <cell r="CC79">
            <v>0</v>
          </cell>
          <cell r="CD79">
            <v>12</v>
          </cell>
          <cell r="CE79">
            <v>13</v>
          </cell>
          <cell r="CF79">
            <v>14</v>
          </cell>
          <cell r="CG79">
            <v>12</v>
          </cell>
          <cell r="CH79">
            <v>0</v>
          </cell>
          <cell r="CI79">
            <v>19</v>
          </cell>
          <cell r="CJ79">
            <v>27</v>
          </cell>
          <cell r="CK79">
            <v>17</v>
          </cell>
          <cell r="CL79">
            <v>22</v>
          </cell>
          <cell r="CM79">
            <v>0</v>
          </cell>
          <cell r="CN79">
            <v>20</v>
          </cell>
          <cell r="CO79">
            <v>20</v>
          </cell>
          <cell r="CP79">
            <v>22</v>
          </cell>
          <cell r="CQ79">
            <v>25.549999999999997</v>
          </cell>
          <cell r="CR79">
            <v>0</v>
          </cell>
        </row>
        <row r="80">
          <cell r="A80" t="str">
            <v>Television Stations</v>
          </cell>
          <cell r="B80">
            <v>0</v>
          </cell>
          <cell r="C80">
            <v>0</v>
          </cell>
          <cell r="D80">
            <v>15</v>
          </cell>
          <cell r="E80">
            <v>46.8</v>
          </cell>
          <cell r="F80">
            <v>39.299999999999997</v>
          </cell>
          <cell r="G80">
            <v>32.700000000000003</v>
          </cell>
          <cell r="H80">
            <v>39.299999999999997</v>
          </cell>
          <cell r="I80">
            <v>32.700000000000003</v>
          </cell>
          <cell r="J80">
            <v>38</v>
          </cell>
          <cell r="L80">
            <v>38</v>
          </cell>
          <cell r="M80">
            <v>33</v>
          </cell>
          <cell r="O80">
            <v>33</v>
          </cell>
          <cell r="P80">
            <v>39</v>
          </cell>
          <cell r="R80">
            <v>39</v>
          </cell>
          <cell r="S80">
            <v>62</v>
          </cell>
          <cell r="T80">
            <v>55</v>
          </cell>
          <cell r="U80">
            <v>48</v>
          </cell>
          <cell r="V80">
            <v>48.96</v>
          </cell>
          <cell r="W80">
            <v>49.9392</v>
          </cell>
          <cell r="X80">
            <v>50.937984</v>
          </cell>
          <cell r="Y80">
            <v>51.956743680000002</v>
          </cell>
          <cell r="Z80">
            <v>52.995878553600001</v>
          </cell>
          <cell r="AA80">
            <v>54.055796124672</v>
          </cell>
          <cell r="AB80">
            <v>55.136912047165438</v>
          </cell>
          <cell r="AC80">
            <v>56.239650288108749</v>
          </cell>
          <cell r="AD80">
            <v>57.364443293870927</v>
          </cell>
          <cell r="AE80">
            <v>58.511732159748348</v>
          </cell>
          <cell r="AF80">
            <v>59.681966802943315</v>
          </cell>
          <cell r="AG80">
            <v>60.87560613900218</v>
          </cell>
          <cell r="AH80">
            <v>62.093118261782223</v>
          </cell>
          <cell r="AK80">
            <v>9.1395348837209305</v>
          </cell>
          <cell r="AL80">
            <v>9.5965116279069758</v>
          </cell>
          <cell r="AM80">
            <v>11.195930232558139</v>
          </cell>
          <cell r="AN80">
            <v>9.3680232558139487</v>
          </cell>
          <cell r="AP80">
            <v>6.1749999999999998</v>
          </cell>
          <cell r="AQ80">
            <v>6.25</v>
          </cell>
          <cell r="AR80">
            <v>5.25</v>
          </cell>
          <cell r="AS80">
            <v>15.025</v>
          </cell>
          <cell r="AU80">
            <v>9.25</v>
          </cell>
          <cell r="AV80">
            <v>10.25</v>
          </cell>
          <cell r="AW80">
            <v>8.25</v>
          </cell>
          <cell r="AX80">
            <v>10.25</v>
          </cell>
          <cell r="AZ80">
            <v>8.25</v>
          </cell>
          <cell r="BA80">
            <v>8.25</v>
          </cell>
          <cell r="BB80">
            <v>8.25</v>
          </cell>
          <cell r="BC80">
            <v>8.25</v>
          </cell>
          <cell r="BE80">
            <v>8.25</v>
          </cell>
          <cell r="BF80">
            <v>8.25</v>
          </cell>
          <cell r="BG80">
            <v>8.25</v>
          </cell>
          <cell r="BH80">
            <v>8.25</v>
          </cell>
          <cell r="BJ80">
            <v>10.75</v>
          </cell>
          <cell r="BK80">
            <v>12.75</v>
          </cell>
          <cell r="BL80">
            <v>7.75</v>
          </cell>
          <cell r="BM80">
            <v>7.75</v>
          </cell>
          <cell r="BO80">
            <v>10.75</v>
          </cell>
          <cell r="BP80">
            <v>12.75</v>
          </cell>
          <cell r="BQ80">
            <v>7.75</v>
          </cell>
          <cell r="BR80">
            <v>7.75</v>
          </cell>
          <cell r="BT80">
            <v>15</v>
          </cell>
          <cell r="BU80">
            <v>15</v>
          </cell>
          <cell r="BV80">
            <v>17</v>
          </cell>
          <cell r="BW80">
            <v>15</v>
          </cell>
          <cell r="BY80">
            <v>16</v>
          </cell>
          <cell r="BZ80">
            <v>13</v>
          </cell>
          <cell r="CA80">
            <v>12</v>
          </cell>
          <cell r="CB80">
            <v>14</v>
          </cell>
          <cell r="CC80">
            <v>0</v>
          </cell>
          <cell r="CD80">
            <v>12</v>
          </cell>
          <cell r="CE80">
            <v>12</v>
          </cell>
          <cell r="CF80">
            <v>12</v>
          </cell>
          <cell r="CG80">
            <v>12</v>
          </cell>
          <cell r="CH80">
            <v>0</v>
          </cell>
          <cell r="CI80">
            <v>12</v>
          </cell>
          <cell r="CJ80">
            <v>12</v>
          </cell>
          <cell r="CK80">
            <v>12</v>
          </cell>
          <cell r="CL80">
            <v>12.96</v>
          </cell>
          <cell r="CM80">
            <v>0</v>
          </cell>
          <cell r="CN80">
            <v>12.4848</v>
          </cell>
          <cell r="CO80">
            <v>12.4848</v>
          </cell>
          <cell r="CP80">
            <v>12.4848</v>
          </cell>
          <cell r="CQ80">
            <v>12.4848</v>
          </cell>
          <cell r="CR80">
            <v>0</v>
          </cell>
        </row>
        <row r="81">
          <cell r="A81" t="str">
            <v>Television Broadcast Network</v>
          </cell>
          <cell r="B81">
            <v>0</v>
          </cell>
          <cell r="C81">
            <v>0</v>
          </cell>
          <cell r="D81">
            <v>12.731968215158922</v>
          </cell>
          <cell r="E81">
            <v>7</v>
          </cell>
          <cell r="F81">
            <v>10</v>
          </cell>
          <cell r="G81">
            <v>17</v>
          </cell>
          <cell r="H81">
            <v>10</v>
          </cell>
          <cell r="I81">
            <v>17</v>
          </cell>
          <cell r="J81">
            <v>18</v>
          </cell>
          <cell r="L81">
            <v>18</v>
          </cell>
          <cell r="M81">
            <v>20</v>
          </cell>
          <cell r="O81">
            <v>20</v>
          </cell>
          <cell r="P81">
            <v>20</v>
          </cell>
          <cell r="R81">
            <v>20</v>
          </cell>
          <cell r="S81">
            <v>19</v>
          </cell>
          <cell r="T81">
            <v>25</v>
          </cell>
          <cell r="U81">
            <v>22</v>
          </cell>
          <cell r="V81">
            <v>22.22</v>
          </cell>
          <cell r="W81">
            <v>22.4422</v>
          </cell>
          <cell r="X81">
            <v>22.666622</v>
          </cell>
          <cell r="Y81">
            <v>22.893288219999999</v>
          </cell>
          <cell r="Z81">
            <v>23.122221102199997</v>
          </cell>
          <cell r="AA81">
            <v>23.353443313221998</v>
          </cell>
          <cell r="AB81">
            <v>23.586977746354219</v>
          </cell>
          <cell r="AC81">
            <v>23.82284752381776</v>
          </cell>
          <cell r="AD81">
            <v>24.061075999055937</v>
          </cell>
          <cell r="AE81">
            <v>24.301686759046497</v>
          </cell>
          <cell r="AF81">
            <v>24.544703626636963</v>
          </cell>
          <cell r="AG81">
            <v>24.790150662903333</v>
          </cell>
          <cell r="AH81">
            <v>25.038052169532367</v>
          </cell>
          <cell r="AK81">
            <v>4.3</v>
          </cell>
          <cell r="AL81">
            <v>4.5</v>
          </cell>
          <cell r="AM81">
            <v>5.4</v>
          </cell>
          <cell r="AN81">
            <v>-4.2</v>
          </cell>
          <cell r="AP81">
            <v>4</v>
          </cell>
          <cell r="AQ81">
            <v>5</v>
          </cell>
          <cell r="AR81">
            <v>2</v>
          </cell>
          <cell r="AS81">
            <v>6</v>
          </cell>
          <cell r="AU81">
            <v>5</v>
          </cell>
          <cell r="AV81">
            <v>3</v>
          </cell>
          <cell r="AW81">
            <v>7</v>
          </cell>
          <cell r="AX81">
            <v>3</v>
          </cell>
          <cell r="AZ81">
            <v>5</v>
          </cell>
          <cell r="BA81">
            <v>5</v>
          </cell>
          <cell r="BB81">
            <v>4</v>
          </cell>
          <cell r="BC81">
            <v>6</v>
          </cell>
          <cell r="BE81">
            <v>5</v>
          </cell>
          <cell r="BF81">
            <v>5</v>
          </cell>
          <cell r="BG81">
            <v>4</v>
          </cell>
          <cell r="BH81">
            <v>6</v>
          </cell>
          <cell r="BJ81">
            <v>5</v>
          </cell>
          <cell r="BK81">
            <v>5</v>
          </cell>
          <cell r="BL81">
            <v>5</v>
          </cell>
          <cell r="BM81">
            <v>5</v>
          </cell>
          <cell r="BO81">
            <v>5</v>
          </cell>
          <cell r="BP81">
            <v>5</v>
          </cell>
          <cell r="BQ81">
            <v>5</v>
          </cell>
          <cell r="BR81">
            <v>5</v>
          </cell>
          <cell r="BT81">
            <v>5</v>
          </cell>
          <cell r="BU81">
            <v>5</v>
          </cell>
          <cell r="BV81">
            <v>4</v>
          </cell>
          <cell r="BW81">
            <v>5</v>
          </cell>
          <cell r="BY81">
            <v>4</v>
          </cell>
          <cell r="BZ81">
            <v>5</v>
          </cell>
          <cell r="CA81">
            <v>5</v>
          </cell>
          <cell r="CB81">
            <v>11</v>
          </cell>
          <cell r="CC81">
            <v>0</v>
          </cell>
          <cell r="CD81">
            <v>5</v>
          </cell>
          <cell r="CE81">
            <v>7</v>
          </cell>
          <cell r="CF81">
            <v>5</v>
          </cell>
          <cell r="CG81">
            <v>5</v>
          </cell>
          <cell r="CH81">
            <v>0</v>
          </cell>
          <cell r="CI81">
            <v>5</v>
          </cell>
          <cell r="CJ81">
            <v>7</v>
          </cell>
          <cell r="CK81">
            <v>5</v>
          </cell>
          <cell r="CL81">
            <v>5.22</v>
          </cell>
          <cell r="CM81">
            <v>0</v>
          </cell>
          <cell r="CN81">
            <v>5</v>
          </cell>
          <cell r="CO81">
            <v>7</v>
          </cell>
          <cell r="CP81">
            <v>5</v>
          </cell>
          <cell r="CQ81">
            <v>5.4421999999999997</v>
          </cell>
          <cell r="CR81">
            <v>0</v>
          </cell>
        </row>
        <row r="82">
          <cell r="A82" t="str">
            <v>Other</v>
          </cell>
          <cell r="B82">
            <v>0</v>
          </cell>
          <cell r="C82">
            <v>0</v>
          </cell>
          <cell r="D82">
            <v>4</v>
          </cell>
          <cell r="E82">
            <v>0</v>
          </cell>
          <cell r="F82">
            <v>5</v>
          </cell>
          <cell r="G82">
            <v>5</v>
          </cell>
          <cell r="H82">
            <v>5</v>
          </cell>
          <cell r="I82">
            <v>5</v>
          </cell>
          <cell r="J82">
            <v>0</v>
          </cell>
          <cell r="L82">
            <v>0</v>
          </cell>
          <cell r="M82">
            <v>0</v>
          </cell>
          <cell r="O82">
            <v>0</v>
          </cell>
          <cell r="P82">
            <v>0</v>
          </cell>
          <cell r="R82">
            <v>0</v>
          </cell>
          <cell r="S82">
            <v>0</v>
          </cell>
          <cell r="T82">
            <v>0</v>
          </cell>
          <cell r="U82">
            <v>21.547335053782689</v>
          </cell>
          <cell r="V82">
            <v>29.081928398686046</v>
          </cell>
          <cell r="W82">
            <v>36.0861287181107</v>
          </cell>
          <cell r="X82">
            <v>42.554183050482919</v>
          </cell>
          <cell r="Y82">
            <v>46.421471034784702</v>
          </cell>
          <cell r="Z82">
            <v>49.533700998444857</v>
          </cell>
          <cell r="AA82">
            <v>49.915866488911291</v>
          </cell>
          <cell r="AB82">
            <v>50.148080202244387</v>
          </cell>
          <cell r="AC82">
            <v>50.277408106125222</v>
          </cell>
          <cell r="AD82">
            <v>50.8884019813473</v>
          </cell>
          <cell r="AE82">
            <v>50.8884019813473</v>
          </cell>
          <cell r="AF82">
            <v>50.8884019813473</v>
          </cell>
          <cell r="AG82">
            <v>50.8884019813473</v>
          </cell>
          <cell r="AH82">
            <v>50.8884019813473</v>
          </cell>
          <cell r="AK82">
            <v>0.3</v>
          </cell>
          <cell r="AL82">
            <v>0.4</v>
          </cell>
          <cell r="AM82">
            <v>0.25</v>
          </cell>
          <cell r="AN82">
            <v>0</v>
          </cell>
          <cell r="AP82">
            <v>2</v>
          </cell>
          <cell r="AQ82">
            <v>1</v>
          </cell>
          <cell r="AR82">
            <v>2</v>
          </cell>
          <cell r="AS82">
            <v>0</v>
          </cell>
          <cell r="AU82">
            <v>0</v>
          </cell>
          <cell r="AV82">
            <v>0</v>
          </cell>
          <cell r="AW82">
            <v>-1</v>
          </cell>
          <cell r="AX82">
            <v>1</v>
          </cell>
          <cell r="AZ82">
            <v>0</v>
          </cell>
          <cell r="BA82">
            <v>0</v>
          </cell>
          <cell r="BB82">
            <v>0</v>
          </cell>
          <cell r="BC82">
            <v>0</v>
          </cell>
          <cell r="BE82">
            <v>0</v>
          </cell>
          <cell r="BF82">
            <v>0</v>
          </cell>
          <cell r="BG82">
            <v>0</v>
          </cell>
          <cell r="BH82">
            <v>0</v>
          </cell>
          <cell r="BJ82">
            <v>0</v>
          </cell>
          <cell r="BK82">
            <v>0</v>
          </cell>
          <cell r="BL82">
            <v>0</v>
          </cell>
          <cell r="BM82">
            <v>0</v>
          </cell>
          <cell r="BO82">
            <v>0</v>
          </cell>
          <cell r="BP82">
            <v>0</v>
          </cell>
          <cell r="BQ82">
            <v>0</v>
          </cell>
          <cell r="BR82">
            <v>0</v>
          </cell>
          <cell r="BT82">
            <v>0</v>
          </cell>
          <cell r="BU82">
            <v>0</v>
          </cell>
          <cell r="BV82">
            <v>0</v>
          </cell>
          <cell r="BW82">
            <v>0</v>
          </cell>
          <cell r="BY82">
            <v>0</v>
          </cell>
          <cell r="BZ82">
            <v>0</v>
          </cell>
          <cell r="CA82">
            <v>0</v>
          </cell>
          <cell r="CB82">
            <v>0</v>
          </cell>
          <cell r="CC82">
            <v>0</v>
          </cell>
          <cell r="CD82">
            <v>0</v>
          </cell>
          <cell r="CE82">
            <v>0</v>
          </cell>
          <cell r="CF82">
            <v>4.3868337634456722</v>
          </cell>
          <cell r="CG82">
            <v>17.16050129033701</v>
          </cell>
          <cell r="CH82">
            <v>0</v>
          </cell>
          <cell r="CI82">
            <v>7.2704820996715114</v>
          </cell>
          <cell r="CJ82">
            <v>7.2704820996715114</v>
          </cell>
          <cell r="CK82">
            <v>7.2704820996715114</v>
          </cell>
          <cell r="CL82">
            <v>7.2704820996715114</v>
          </cell>
          <cell r="CM82">
            <v>0</v>
          </cell>
          <cell r="CN82">
            <v>9.0215321795276751</v>
          </cell>
          <cell r="CO82">
            <v>9.0215321795276751</v>
          </cell>
          <cell r="CP82">
            <v>9.0215321795276751</v>
          </cell>
          <cell r="CQ82">
            <v>9.0215321795276751</v>
          </cell>
          <cell r="CR82">
            <v>0</v>
          </cell>
        </row>
        <row r="83">
          <cell r="A83" t="str">
            <v>Total Depreciation</v>
          </cell>
          <cell r="B83">
            <v>0</v>
          </cell>
          <cell r="C83">
            <v>0</v>
          </cell>
          <cell r="D83">
            <v>55.731968215158922</v>
          </cell>
          <cell r="E83">
            <v>85.5</v>
          </cell>
          <cell r="F83">
            <v>92.199999999999989</v>
          </cell>
          <cell r="G83">
            <v>109</v>
          </cell>
          <cell r="H83">
            <v>92.199999999999989</v>
          </cell>
          <cell r="I83">
            <v>109</v>
          </cell>
          <cell r="J83">
            <v>143</v>
          </cell>
          <cell r="L83">
            <v>143</v>
          </cell>
          <cell r="M83">
            <v>164</v>
          </cell>
          <cell r="O83">
            <v>164</v>
          </cell>
          <cell r="P83">
            <v>168.63207176399482</v>
          </cell>
          <cell r="R83">
            <v>168.63207176399482</v>
          </cell>
          <cell r="S83">
            <v>183</v>
          </cell>
          <cell r="T83">
            <v>175</v>
          </cell>
          <cell r="U83">
            <v>181.54733505378269</v>
          </cell>
          <cell r="V83">
            <v>236.26192839868605</v>
          </cell>
          <cell r="W83">
            <v>248.59157687811071</v>
          </cell>
          <cell r="X83">
            <v>260.58144874168295</v>
          </cell>
          <cell r="Y83">
            <v>270.17637576436869</v>
          </cell>
          <cell r="Z83">
            <v>279.23206612989975</v>
          </cell>
          <cell r="AA83">
            <v>285.78409613163603</v>
          </cell>
          <cell r="AB83">
            <v>292.42378164159175</v>
          </cell>
          <cell r="AC83">
            <v>299.21005230836033</v>
          </cell>
          <cell r="AD83">
            <v>306.74002688270616</v>
          </cell>
          <cell r="AE83">
            <v>313.93436145722524</v>
          </cell>
          <cell r="AF83">
            <v>321.41816359149368</v>
          </cell>
          <cell r="AG83">
            <v>329.20639680069007</v>
          </cell>
          <cell r="AH83">
            <v>337.31493005469827</v>
          </cell>
          <cell r="AK83">
            <v>21.86553488372093</v>
          </cell>
          <cell r="AL83">
            <v>23.835511627906978</v>
          </cell>
          <cell r="AM83">
            <v>27.864930232558144</v>
          </cell>
          <cell r="AN83">
            <v>14.584023255813943</v>
          </cell>
          <cell r="AP83">
            <v>24.175000000000001</v>
          </cell>
          <cell r="AQ83">
            <v>23.25</v>
          </cell>
          <cell r="AR83">
            <v>23.25</v>
          </cell>
          <cell r="AS83">
            <v>38.324999999999996</v>
          </cell>
          <cell r="AU83">
            <v>36.25</v>
          </cell>
          <cell r="AV83">
            <v>34.25</v>
          </cell>
          <cell r="AW83">
            <v>36.25</v>
          </cell>
          <cell r="AX83">
            <v>36.25</v>
          </cell>
          <cell r="AZ83">
            <v>37.25</v>
          </cell>
          <cell r="BA83">
            <v>41.25</v>
          </cell>
          <cell r="BB83">
            <v>36.25</v>
          </cell>
          <cell r="BC83">
            <v>49.25</v>
          </cell>
          <cell r="BE83">
            <v>37.25</v>
          </cell>
          <cell r="BF83">
            <v>41.25</v>
          </cell>
          <cell r="BG83">
            <v>36.25</v>
          </cell>
          <cell r="BH83">
            <v>49.25</v>
          </cell>
          <cell r="BJ83">
            <v>42.408017940998704</v>
          </cell>
          <cell r="BK83">
            <v>44.408017940998704</v>
          </cell>
          <cell r="BL83">
            <v>41.408017940998704</v>
          </cell>
          <cell r="BM83">
            <v>40.408017940998704</v>
          </cell>
          <cell r="BO83">
            <v>42.408017940998704</v>
          </cell>
          <cell r="BP83">
            <v>44.408017940998704</v>
          </cell>
          <cell r="BQ83">
            <v>41.408017940998704</v>
          </cell>
          <cell r="BR83">
            <v>40.408017940998704</v>
          </cell>
          <cell r="BT83">
            <v>47</v>
          </cell>
          <cell r="BU83">
            <v>45</v>
          </cell>
          <cell r="BV83">
            <v>47</v>
          </cell>
          <cell r="BW83">
            <v>44</v>
          </cell>
          <cell r="BY83">
            <v>42</v>
          </cell>
          <cell r="BZ83">
            <v>44</v>
          </cell>
          <cell r="CA83">
            <v>41</v>
          </cell>
          <cell r="CB83">
            <v>48</v>
          </cell>
          <cell r="CC83">
            <v>0</v>
          </cell>
          <cell r="CD83">
            <v>39</v>
          </cell>
          <cell r="CE83">
            <v>42</v>
          </cell>
          <cell r="CF83">
            <v>45.386833763445672</v>
          </cell>
          <cell r="CG83">
            <v>55.16050129033701</v>
          </cell>
          <cell r="CH83">
            <v>0</v>
          </cell>
          <cell r="CI83">
            <v>55.270482099671511</v>
          </cell>
          <cell r="CJ83">
            <v>66.270482099671511</v>
          </cell>
          <cell r="CK83">
            <v>54.270482099671511</v>
          </cell>
          <cell r="CL83">
            <v>60.450482099671511</v>
          </cell>
          <cell r="CM83">
            <v>0</v>
          </cell>
          <cell r="CN83">
            <v>59.506332179527675</v>
          </cell>
          <cell r="CO83">
            <v>62.506332179527675</v>
          </cell>
          <cell r="CP83">
            <v>63.506332179527675</v>
          </cell>
          <cell r="CQ83">
            <v>63.072580339527676</v>
          </cell>
          <cell r="CR83">
            <v>0</v>
          </cell>
        </row>
        <row r="85">
          <cell r="A85" t="str">
            <v>Amortization of Intangibles</v>
          </cell>
        </row>
        <row r="86">
          <cell r="A86" t="str">
            <v>Cable Network Programming</v>
          </cell>
          <cell r="B86">
            <v>0</v>
          </cell>
          <cell r="C86">
            <v>0</v>
          </cell>
          <cell r="D86">
            <v>0</v>
          </cell>
          <cell r="E86">
            <v>18.3</v>
          </cell>
          <cell r="F86">
            <v>33.1</v>
          </cell>
          <cell r="G86">
            <v>43.7</v>
          </cell>
          <cell r="H86">
            <v>33.1</v>
          </cell>
          <cell r="I86">
            <v>62.7</v>
          </cell>
          <cell r="J86">
            <v>147</v>
          </cell>
          <cell r="K86">
            <v>-70</v>
          </cell>
          <cell r="L86">
            <v>77</v>
          </cell>
          <cell r="M86">
            <v>162</v>
          </cell>
          <cell r="N86">
            <v>-98</v>
          </cell>
          <cell r="O86">
            <v>64</v>
          </cell>
          <cell r="P86">
            <v>124.36792823600518</v>
          </cell>
          <cell r="Q86">
            <v>-54</v>
          </cell>
          <cell r="R86">
            <v>70.367928236005184</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K86">
            <v>8.2750000000000004</v>
          </cell>
          <cell r="AL86">
            <v>8.2750000000000004</v>
          </cell>
          <cell r="AM86">
            <v>8.2750000000000004</v>
          </cell>
          <cell r="AN86">
            <v>8.2750000000000039</v>
          </cell>
          <cell r="AP86">
            <v>11</v>
          </cell>
          <cell r="AQ86">
            <v>11</v>
          </cell>
          <cell r="AR86">
            <v>22</v>
          </cell>
          <cell r="AS86">
            <v>18.700000000000003</v>
          </cell>
          <cell r="AU86">
            <v>32</v>
          </cell>
          <cell r="AV86">
            <v>35</v>
          </cell>
          <cell r="AW86">
            <v>37</v>
          </cell>
          <cell r="AX86">
            <v>43</v>
          </cell>
          <cell r="AZ86">
            <v>41</v>
          </cell>
          <cell r="BA86">
            <v>42</v>
          </cell>
          <cell r="BB86">
            <v>43</v>
          </cell>
          <cell r="BC86">
            <v>36</v>
          </cell>
          <cell r="BE86">
            <v>17</v>
          </cell>
          <cell r="BF86">
            <v>18</v>
          </cell>
          <cell r="BG86">
            <v>19</v>
          </cell>
          <cell r="BH86">
            <v>10</v>
          </cell>
          <cell r="BJ86">
            <v>46.341982059001296</v>
          </cell>
          <cell r="BK86">
            <v>43.341982059001296</v>
          </cell>
          <cell r="BL86">
            <v>17.341982059001296</v>
          </cell>
          <cell r="BM86">
            <v>17.341982059001296</v>
          </cell>
          <cell r="BO86">
            <v>20.341982059001296</v>
          </cell>
          <cell r="BP86">
            <v>15.341982059001296</v>
          </cell>
          <cell r="BQ86">
            <v>17.341982059001296</v>
          </cell>
          <cell r="BR86">
            <v>17.341982059001296</v>
          </cell>
          <cell r="BT86">
            <v>0</v>
          </cell>
          <cell r="BU86">
            <v>0</v>
          </cell>
          <cell r="BV86">
            <v>0</v>
          </cell>
          <cell r="BW86">
            <v>0</v>
          </cell>
        </row>
        <row r="87">
          <cell r="A87" t="str">
            <v>Filmed Entertainment</v>
          </cell>
          <cell r="B87">
            <v>0</v>
          </cell>
          <cell r="C87">
            <v>0</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K87">
            <v>0</v>
          </cell>
          <cell r="AL87">
            <v>0</v>
          </cell>
          <cell r="AM87">
            <v>0</v>
          </cell>
          <cell r="AN87">
            <v>0</v>
          </cell>
          <cell r="AP87">
            <v>0</v>
          </cell>
          <cell r="AQ87">
            <v>0</v>
          </cell>
          <cell r="AR87">
            <v>0</v>
          </cell>
          <cell r="AS87">
            <v>0</v>
          </cell>
          <cell r="AU87">
            <v>0</v>
          </cell>
          <cell r="AV87">
            <v>0</v>
          </cell>
          <cell r="AW87">
            <v>0</v>
          </cell>
          <cell r="AX87">
            <v>0</v>
          </cell>
          <cell r="AZ87">
            <v>0</v>
          </cell>
          <cell r="BA87">
            <v>0</v>
          </cell>
          <cell r="BB87">
            <v>0</v>
          </cell>
          <cell r="BC87">
            <v>0</v>
          </cell>
          <cell r="BE87">
            <v>0</v>
          </cell>
          <cell r="BF87">
            <v>0</v>
          </cell>
          <cell r="BG87">
            <v>0</v>
          </cell>
          <cell r="BH87">
            <v>0</v>
          </cell>
          <cell r="BJ87">
            <v>0</v>
          </cell>
          <cell r="BK87">
            <v>0</v>
          </cell>
          <cell r="BL87">
            <v>0</v>
          </cell>
          <cell r="BM87">
            <v>0</v>
          </cell>
          <cell r="BO87">
            <v>0</v>
          </cell>
          <cell r="BP87">
            <v>0</v>
          </cell>
          <cell r="BQ87">
            <v>0</v>
          </cell>
          <cell r="BR87">
            <v>0</v>
          </cell>
          <cell r="BT87">
            <v>0</v>
          </cell>
          <cell r="BU87">
            <v>0</v>
          </cell>
          <cell r="BV87">
            <v>0</v>
          </cell>
          <cell r="BW87">
            <v>0</v>
          </cell>
        </row>
        <row r="88">
          <cell r="A88" t="str">
            <v>Television Stations</v>
          </cell>
          <cell r="B88">
            <v>0</v>
          </cell>
          <cell r="C88">
            <v>0</v>
          </cell>
          <cell r="D88">
            <v>0</v>
          </cell>
          <cell r="E88">
            <v>0</v>
          </cell>
          <cell r="F88">
            <v>0</v>
          </cell>
          <cell r="G88">
            <v>0</v>
          </cell>
          <cell r="H88">
            <v>117.7</v>
          </cell>
          <cell r="I88">
            <v>143.30000000000001</v>
          </cell>
          <cell r="J88">
            <v>151</v>
          </cell>
          <cell r="K88">
            <v>0</v>
          </cell>
          <cell r="L88">
            <v>151</v>
          </cell>
          <cell r="M88">
            <v>151</v>
          </cell>
          <cell r="N88">
            <v>0</v>
          </cell>
          <cell r="O88">
            <v>151</v>
          </cell>
          <cell r="P88">
            <v>161</v>
          </cell>
          <cell r="Q88">
            <v>0</v>
          </cell>
          <cell r="R88">
            <v>161</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K88">
            <v>0</v>
          </cell>
          <cell r="AL88">
            <v>0</v>
          </cell>
          <cell r="AM88">
            <v>0</v>
          </cell>
          <cell r="AN88">
            <v>0</v>
          </cell>
          <cell r="AP88">
            <v>0</v>
          </cell>
          <cell r="AQ88">
            <v>0</v>
          </cell>
          <cell r="AR88">
            <v>0</v>
          </cell>
          <cell r="AS88">
            <v>0</v>
          </cell>
          <cell r="AU88">
            <v>0</v>
          </cell>
          <cell r="AV88">
            <v>0</v>
          </cell>
          <cell r="AW88">
            <v>0</v>
          </cell>
          <cell r="AX88">
            <v>0</v>
          </cell>
          <cell r="AZ88">
            <v>37.75</v>
          </cell>
          <cell r="BA88">
            <v>37.75</v>
          </cell>
          <cell r="BB88">
            <v>37.75</v>
          </cell>
          <cell r="BC88">
            <v>37.75</v>
          </cell>
          <cell r="BE88">
            <v>37.75</v>
          </cell>
          <cell r="BF88">
            <v>37.75</v>
          </cell>
          <cell r="BG88">
            <v>37.75</v>
          </cell>
          <cell r="BH88">
            <v>37.75</v>
          </cell>
          <cell r="BJ88">
            <v>40.25</v>
          </cell>
          <cell r="BK88">
            <v>40.25</v>
          </cell>
          <cell r="BL88">
            <v>40.25</v>
          </cell>
          <cell r="BM88">
            <v>40.25</v>
          </cell>
          <cell r="BO88">
            <v>40.25</v>
          </cell>
          <cell r="BP88">
            <v>40.25</v>
          </cell>
          <cell r="BQ88">
            <v>40.25</v>
          </cell>
          <cell r="BR88">
            <v>40.25</v>
          </cell>
          <cell r="BT88">
            <v>0</v>
          </cell>
          <cell r="BU88">
            <v>0</v>
          </cell>
          <cell r="BV88">
            <v>0</v>
          </cell>
          <cell r="BW88">
            <v>0</v>
          </cell>
        </row>
        <row r="89">
          <cell r="A89" t="str">
            <v>Television Broadcast Network</v>
          </cell>
          <cell r="B89">
            <v>0</v>
          </cell>
          <cell r="C89">
            <v>0</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K89">
            <v>0</v>
          </cell>
          <cell r="AL89">
            <v>0</v>
          </cell>
          <cell r="AM89">
            <v>0</v>
          </cell>
          <cell r="AN89">
            <v>0</v>
          </cell>
          <cell r="AP89">
            <v>0</v>
          </cell>
          <cell r="AQ89">
            <v>0</v>
          </cell>
          <cell r="AR89">
            <v>0</v>
          </cell>
          <cell r="AS89">
            <v>0</v>
          </cell>
          <cell r="AU89">
            <v>0</v>
          </cell>
          <cell r="AV89">
            <v>0</v>
          </cell>
          <cell r="AW89">
            <v>0</v>
          </cell>
          <cell r="AX89">
            <v>0</v>
          </cell>
          <cell r="AZ89">
            <v>0</v>
          </cell>
          <cell r="BA89">
            <v>0</v>
          </cell>
          <cell r="BB89">
            <v>0</v>
          </cell>
          <cell r="BC89">
            <v>0</v>
          </cell>
          <cell r="BE89">
            <v>0</v>
          </cell>
          <cell r="BF89">
            <v>0</v>
          </cell>
          <cell r="BG89">
            <v>0</v>
          </cell>
          <cell r="BH89">
            <v>0</v>
          </cell>
          <cell r="BJ89">
            <v>0</v>
          </cell>
          <cell r="BK89">
            <v>0</v>
          </cell>
          <cell r="BL89">
            <v>0</v>
          </cell>
          <cell r="BM89">
            <v>0</v>
          </cell>
          <cell r="BO89">
            <v>0</v>
          </cell>
          <cell r="BP89">
            <v>0</v>
          </cell>
          <cell r="BQ89">
            <v>0</v>
          </cell>
          <cell r="BR89">
            <v>0</v>
          </cell>
          <cell r="BT89">
            <v>0</v>
          </cell>
          <cell r="BU89">
            <v>0</v>
          </cell>
          <cell r="BV89">
            <v>0</v>
          </cell>
          <cell r="BW89">
            <v>0</v>
          </cell>
        </row>
        <row r="90">
          <cell r="A90" t="str">
            <v>Other Television Business</v>
          </cell>
          <cell r="B90">
            <v>0</v>
          </cell>
          <cell r="C90">
            <v>0</v>
          </cell>
          <cell r="D90">
            <v>41.268031784841078</v>
          </cell>
          <cell r="E90">
            <v>76.2</v>
          </cell>
          <cell r="F90">
            <v>117.7</v>
          </cell>
          <cell r="G90">
            <v>143.30000000000001</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K90">
            <v>27.372093023255815</v>
          </cell>
          <cell r="AL90">
            <v>28.740697674418605</v>
          </cell>
          <cell r="AM90">
            <v>34</v>
          </cell>
          <cell r="AN90">
            <v>27.587209302325583</v>
          </cell>
          <cell r="AP90">
            <v>35.825000000000003</v>
          </cell>
          <cell r="AQ90">
            <v>37.75</v>
          </cell>
          <cell r="AR90">
            <v>37.75</v>
          </cell>
          <cell r="AS90">
            <v>31.975000000000001</v>
          </cell>
          <cell r="AU90">
            <v>37.75</v>
          </cell>
          <cell r="AV90">
            <v>37.75</v>
          </cell>
          <cell r="AW90">
            <v>37.75</v>
          </cell>
          <cell r="AX90">
            <v>37.75</v>
          </cell>
          <cell r="AZ90">
            <v>0</v>
          </cell>
          <cell r="BA90">
            <v>0</v>
          </cell>
          <cell r="BB90">
            <v>0</v>
          </cell>
          <cell r="BC90">
            <v>0</v>
          </cell>
          <cell r="BE90">
            <v>0</v>
          </cell>
          <cell r="BF90">
            <v>0</v>
          </cell>
          <cell r="BG90">
            <v>0</v>
          </cell>
          <cell r="BH90">
            <v>0</v>
          </cell>
          <cell r="BJ90">
            <v>0</v>
          </cell>
          <cell r="BK90">
            <v>0</v>
          </cell>
          <cell r="BL90">
            <v>0</v>
          </cell>
          <cell r="BM90">
            <v>0</v>
          </cell>
          <cell r="BO90">
            <v>0</v>
          </cell>
          <cell r="BP90">
            <v>0</v>
          </cell>
          <cell r="BQ90">
            <v>0</v>
          </cell>
          <cell r="BR90">
            <v>0</v>
          </cell>
          <cell r="BT90">
            <v>0</v>
          </cell>
          <cell r="BU90">
            <v>0</v>
          </cell>
          <cell r="BV90">
            <v>0</v>
          </cell>
          <cell r="BW90">
            <v>0</v>
          </cell>
        </row>
        <row r="91">
          <cell r="A91" t="str">
            <v>Total Amortization of Intangibles</v>
          </cell>
          <cell r="B91">
            <v>0</v>
          </cell>
          <cell r="C91">
            <v>0</v>
          </cell>
          <cell r="D91">
            <v>41.268031784841078</v>
          </cell>
          <cell r="E91">
            <v>94.5</v>
          </cell>
          <cell r="F91">
            <v>150.80000000000001</v>
          </cell>
          <cell r="G91">
            <v>187</v>
          </cell>
          <cell r="H91">
            <v>150.80000000000001</v>
          </cell>
          <cell r="I91">
            <v>206</v>
          </cell>
          <cell r="J91">
            <v>298</v>
          </cell>
          <cell r="K91">
            <v>-70</v>
          </cell>
          <cell r="L91">
            <v>228</v>
          </cell>
          <cell r="M91">
            <v>313</v>
          </cell>
          <cell r="N91">
            <v>-98</v>
          </cell>
          <cell r="O91">
            <v>215</v>
          </cell>
          <cell r="P91">
            <v>285.36792823600518</v>
          </cell>
          <cell r="Q91">
            <v>-54</v>
          </cell>
          <cell r="R91">
            <v>231.36792823600518</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K91">
            <v>35.647093023255813</v>
          </cell>
          <cell r="AL91">
            <v>37.015697674418604</v>
          </cell>
          <cell r="AM91">
            <v>42.274999999999999</v>
          </cell>
          <cell r="AN91">
            <v>35.862209302325589</v>
          </cell>
          <cell r="AP91">
            <v>46.825000000000003</v>
          </cell>
          <cell r="AQ91">
            <v>48.75</v>
          </cell>
          <cell r="AR91">
            <v>59.75</v>
          </cell>
          <cell r="AS91">
            <v>50.675000000000004</v>
          </cell>
          <cell r="AU91">
            <v>69.75</v>
          </cell>
          <cell r="AV91">
            <v>72.75</v>
          </cell>
          <cell r="AW91">
            <v>74.75</v>
          </cell>
          <cell r="AX91">
            <v>80.75</v>
          </cell>
          <cell r="AZ91">
            <v>78.75</v>
          </cell>
          <cell r="BA91">
            <v>79.75</v>
          </cell>
          <cell r="BB91">
            <v>80.75</v>
          </cell>
          <cell r="BC91">
            <v>73.75</v>
          </cell>
          <cell r="BE91">
            <v>54.75</v>
          </cell>
          <cell r="BF91">
            <v>55.75</v>
          </cell>
          <cell r="BG91">
            <v>56.75</v>
          </cell>
          <cell r="BH91">
            <v>47.75</v>
          </cell>
          <cell r="BJ91">
            <v>86.591982059001296</v>
          </cell>
          <cell r="BK91">
            <v>83.591982059001296</v>
          </cell>
          <cell r="BL91">
            <v>57.591982059001296</v>
          </cell>
          <cell r="BM91">
            <v>57.591982059001296</v>
          </cell>
          <cell r="BO91">
            <v>60.591982059001296</v>
          </cell>
          <cell r="BP91">
            <v>55.591982059001296</v>
          </cell>
          <cell r="BQ91">
            <v>57.591982059001296</v>
          </cell>
          <cell r="BR91">
            <v>57.591982059001296</v>
          </cell>
          <cell r="BT91">
            <v>0</v>
          </cell>
          <cell r="BU91">
            <v>0</v>
          </cell>
          <cell r="BV91">
            <v>0</v>
          </cell>
          <cell r="BW91">
            <v>0</v>
          </cell>
          <cell r="BY91">
            <v>0</v>
          </cell>
          <cell r="BZ91">
            <v>0</v>
          </cell>
          <cell r="CA91">
            <v>0</v>
          </cell>
          <cell r="CB91">
            <v>0</v>
          </cell>
          <cell r="CC91">
            <v>0</v>
          </cell>
        </row>
        <row r="92">
          <cell r="A92" t="str">
            <v xml:space="preserve">     Launch Fee Amortization</v>
          </cell>
          <cell r="J92">
            <v>0</v>
          </cell>
          <cell r="K92">
            <v>70</v>
          </cell>
          <cell r="L92">
            <v>70</v>
          </cell>
          <cell r="M92">
            <v>0</v>
          </cell>
          <cell r="N92">
            <v>98</v>
          </cell>
          <cell r="O92">
            <v>98</v>
          </cell>
          <cell r="P92">
            <v>62</v>
          </cell>
          <cell r="Q92">
            <v>54</v>
          </cell>
          <cell r="R92">
            <v>116</v>
          </cell>
          <cell r="S92">
            <v>125</v>
          </cell>
          <cell r="T92">
            <v>129</v>
          </cell>
          <cell r="U92">
            <v>117</v>
          </cell>
          <cell r="V92">
            <v>103</v>
          </cell>
          <cell r="W92">
            <v>76</v>
          </cell>
          <cell r="X92">
            <v>58</v>
          </cell>
          <cell r="Y92">
            <v>28</v>
          </cell>
          <cell r="Z92">
            <v>18</v>
          </cell>
          <cell r="AA92">
            <v>8</v>
          </cell>
          <cell r="AB92">
            <v>0</v>
          </cell>
          <cell r="AC92">
            <v>0</v>
          </cell>
          <cell r="AD92">
            <v>0</v>
          </cell>
          <cell r="AE92">
            <v>0</v>
          </cell>
          <cell r="AF92">
            <v>0</v>
          </cell>
          <cell r="AG92">
            <v>0</v>
          </cell>
          <cell r="AH92">
            <v>0</v>
          </cell>
          <cell r="AZ92">
            <v>0</v>
          </cell>
          <cell r="BA92">
            <v>0</v>
          </cell>
          <cell r="BB92">
            <v>0</v>
          </cell>
          <cell r="BC92">
            <v>0</v>
          </cell>
          <cell r="BE92">
            <v>24</v>
          </cell>
          <cell r="BF92">
            <v>24</v>
          </cell>
          <cell r="BG92">
            <v>24</v>
          </cell>
          <cell r="BH92">
            <v>26</v>
          </cell>
          <cell r="BL92">
            <v>30</v>
          </cell>
          <cell r="BM92">
            <v>32</v>
          </cell>
          <cell r="BO92">
            <v>26</v>
          </cell>
          <cell r="BP92">
            <v>28</v>
          </cell>
          <cell r="BQ92">
            <v>30</v>
          </cell>
          <cell r="BR92">
            <v>32</v>
          </cell>
          <cell r="BT92">
            <v>31</v>
          </cell>
          <cell r="BU92">
            <v>32</v>
          </cell>
          <cell r="BV92">
            <v>31</v>
          </cell>
          <cell r="BW92">
            <v>31</v>
          </cell>
          <cell r="BY92">
            <v>31</v>
          </cell>
          <cell r="BZ92">
            <v>32</v>
          </cell>
          <cell r="CA92">
            <v>31</v>
          </cell>
          <cell r="CB92">
            <v>35</v>
          </cell>
          <cell r="CD92">
            <v>29</v>
          </cell>
          <cell r="CE92">
            <v>28</v>
          </cell>
          <cell r="CF92">
            <v>29</v>
          </cell>
          <cell r="CG92">
            <v>31</v>
          </cell>
          <cell r="CH92">
            <v>0</v>
          </cell>
          <cell r="CI92">
            <v>27</v>
          </cell>
          <cell r="CJ92">
            <v>26</v>
          </cell>
          <cell r="CK92">
            <v>25</v>
          </cell>
          <cell r="CL92">
            <v>25</v>
          </cell>
          <cell r="CM92">
            <v>0</v>
          </cell>
          <cell r="CN92">
            <v>23</v>
          </cell>
          <cell r="CO92">
            <v>16</v>
          </cell>
          <cell r="CP92">
            <v>17</v>
          </cell>
          <cell r="CQ92">
            <v>20</v>
          </cell>
          <cell r="CR92">
            <v>0</v>
          </cell>
        </row>
        <row r="93">
          <cell r="A93" t="str">
            <v xml:space="preserve">Total Amortization </v>
          </cell>
          <cell r="J93">
            <v>298</v>
          </cell>
          <cell r="K93">
            <v>0</v>
          </cell>
          <cell r="L93">
            <v>298</v>
          </cell>
          <cell r="M93">
            <v>313</v>
          </cell>
          <cell r="N93">
            <v>0</v>
          </cell>
          <cell r="O93">
            <v>313</v>
          </cell>
          <cell r="P93">
            <v>347.36792823600518</v>
          </cell>
          <cell r="Q93">
            <v>0</v>
          </cell>
          <cell r="R93">
            <v>347.36792823600518</v>
          </cell>
          <cell r="S93">
            <v>125</v>
          </cell>
          <cell r="T93">
            <v>129</v>
          </cell>
          <cell r="U93">
            <v>117</v>
          </cell>
          <cell r="V93">
            <v>103</v>
          </cell>
          <cell r="W93">
            <v>76</v>
          </cell>
          <cell r="X93">
            <v>58</v>
          </cell>
          <cell r="Y93">
            <v>28</v>
          </cell>
          <cell r="Z93">
            <v>18</v>
          </cell>
          <cell r="AA93">
            <v>8</v>
          </cell>
          <cell r="AB93">
            <v>0</v>
          </cell>
          <cell r="AC93">
            <v>0</v>
          </cell>
          <cell r="AD93">
            <v>0</v>
          </cell>
          <cell r="AE93">
            <v>0</v>
          </cell>
          <cell r="AF93">
            <v>0</v>
          </cell>
          <cell r="AG93">
            <v>0</v>
          </cell>
          <cell r="AH93">
            <v>0</v>
          </cell>
          <cell r="AZ93">
            <v>78.75</v>
          </cell>
          <cell r="BA93">
            <v>79.75</v>
          </cell>
          <cell r="BB93">
            <v>80.75</v>
          </cell>
          <cell r="BC93">
            <v>73.75</v>
          </cell>
          <cell r="BE93">
            <v>78.75</v>
          </cell>
          <cell r="BF93">
            <v>79.75</v>
          </cell>
          <cell r="BG93">
            <v>80.75</v>
          </cell>
          <cell r="BH93">
            <v>73.75</v>
          </cell>
          <cell r="BJ93">
            <v>86.591982059001296</v>
          </cell>
          <cell r="BK93">
            <v>83.591982059001296</v>
          </cell>
          <cell r="BL93">
            <v>87.591982059001296</v>
          </cell>
          <cell r="BM93">
            <v>89.591982059001296</v>
          </cell>
          <cell r="BO93">
            <v>86.591982059001296</v>
          </cell>
          <cell r="BP93">
            <v>83.591982059001296</v>
          </cell>
          <cell r="BQ93">
            <v>87.591982059001296</v>
          </cell>
          <cell r="BR93">
            <v>89.591982059001296</v>
          </cell>
          <cell r="BT93">
            <v>31</v>
          </cell>
          <cell r="BU93">
            <v>32</v>
          </cell>
          <cell r="BV93">
            <v>31</v>
          </cell>
          <cell r="BW93">
            <v>31</v>
          </cell>
          <cell r="BY93">
            <v>31</v>
          </cell>
          <cell r="BZ93">
            <v>32</v>
          </cell>
          <cell r="CA93">
            <v>31</v>
          </cell>
          <cell r="CB93">
            <v>35</v>
          </cell>
          <cell r="CD93">
            <v>29</v>
          </cell>
          <cell r="CE93">
            <v>28</v>
          </cell>
          <cell r="CF93">
            <v>29</v>
          </cell>
          <cell r="CG93">
            <v>31</v>
          </cell>
          <cell r="CH93">
            <v>0</v>
          </cell>
          <cell r="CI93">
            <v>27</v>
          </cell>
          <cell r="CJ93">
            <v>26</v>
          </cell>
          <cell r="CK93">
            <v>25</v>
          </cell>
          <cell r="CL93">
            <v>25</v>
          </cell>
          <cell r="CM93">
            <v>0</v>
          </cell>
          <cell r="CN93">
            <v>23</v>
          </cell>
          <cell r="CO93">
            <v>16</v>
          </cell>
          <cell r="CP93">
            <v>17</v>
          </cell>
          <cell r="CQ93">
            <v>20</v>
          </cell>
          <cell r="CR93">
            <v>0</v>
          </cell>
        </row>
        <row r="95">
          <cell r="A95" t="str">
            <v>Capital Expenditures</v>
          </cell>
        </row>
        <row r="96">
          <cell r="A96" t="str">
            <v>Cable Network Programming</v>
          </cell>
          <cell r="B96">
            <v>0</v>
          </cell>
          <cell r="C96">
            <v>0</v>
          </cell>
          <cell r="D96">
            <v>0</v>
          </cell>
          <cell r="E96">
            <v>66</v>
          </cell>
          <cell r="F96">
            <v>11</v>
          </cell>
          <cell r="G96">
            <v>9</v>
          </cell>
          <cell r="H96">
            <v>11</v>
          </cell>
          <cell r="I96">
            <v>15</v>
          </cell>
          <cell r="J96">
            <v>78</v>
          </cell>
          <cell r="M96">
            <v>54</v>
          </cell>
          <cell r="P96">
            <v>35</v>
          </cell>
          <cell r="S96">
            <v>46</v>
          </cell>
          <cell r="T96">
            <v>25</v>
          </cell>
          <cell r="U96">
            <v>32</v>
          </cell>
          <cell r="V96">
            <v>33.209945600000005</v>
          </cell>
          <cell r="W96">
            <v>34.468289024000008</v>
          </cell>
          <cell r="X96">
            <v>35.77696618496001</v>
          </cell>
          <cell r="Y96">
            <v>37.137990432358407</v>
          </cell>
          <cell r="Z96">
            <v>38.553455649652747</v>
          </cell>
          <cell r="AA96">
            <v>40.025539475638858</v>
          </cell>
          <cell r="AB96">
            <v>41.55650665466441</v>
          </cell>
          <cell r="AC96">
            <v>43.148712520850992</v>
          </cell>
          <cell r="AD96">
            <v>44.804606621685032</v>
          </cell>
          <cell r="AE96">
            <v>46.526736486552437</v>
          </cell>
          <cell r="AF96">
            <v>48.317751546014541</v>
          </cell>
          <cell r="AG96">
            <v>50.180407207855119</v>
          </cell>
          <cell r="AH96">
            <v>52.117569096169326</v>
          </cell>
          <cell r="AP96">
            <v>14</v>
          </cell>
          <cell r="AQ96">
            <v>14</v>
          </cell>
          <cell r="AR96">
            <v>26</v>
          </cell>
          <cell r="AS96">
            <v>22</v>
          </cell>
          <cell r="AU96">
            <v>41</v>
          </cell>
          <cell r="AV96">
            <v>44</v>
          </cell>
          <cell r="AW96">
            <v>46</v>
          </cell>
          <cell r="AX96">
            <v>51</v>
          </cell>
        </row>
        <row r="97">
          <cell r="A97" t="str">
            <v>Filmed Entertainment</v>
          </cell>
          <cell r="B97">
            <v>0</v>
          </cell>
          <cell r="C97">
            <v>0</v>
          </cell>
          <cell r="D97">
            <v>65</v>
          </cell>
          <cell r="E97">
            <v>88</v>
          </cell>
          <cell r="F97">
            <v>120</v>
          </cell>
          <cell r="G97">
            <v>116</v>
          </cell>
          <cell r="H97">
            <v>120</v>
          </cell>
          <cell r="I97">
            <v>116</v>
          </cell>
          <cell r="J97">
            <v>72</v>
          </cell>
          <cell r="M97">
            <v>58</v>
          </cell>
          <cell r="P97">
            <v>16</v>
          </cell>
          <cell r="S97">
            <v>61</v>
          </cell>
          <cell r="T97">
            <v>29</v>
          </cell>
          <cell r="U97">
            <v>53</v>
          </cell>
          <cell r="V97">
            <v>66</v>
          </cell>
          <cell r="W97">
            <v>72.279940953679926</v>
          </cell>
          <cell r="X97">
            <v>76.153256104341523</v>
          </cell>
          <cell r="Y97">
            <v>79.036845243739279</v>
          </cell>
          <cell r="Z97">
            <v>82.282606571297578</v>
          </cell>
          <cell r="AA97">
            <v>85.399328750993121</v>
          </cell>
          <cell r="AB97">
            <v>88.63791888771091</v>
          </cell>
          <cell r="AC97">
            <v>91.919249744378163</v>
          </cell>
          <cell r="AD97">
            <v>95.324913204299847</v>
          </cell>
          <cell r="AE97">
            <v>98.859724816976666</v>
          </cell>
          <cell r="AF97">
            <v>102.52869042760453</v>
          </cell>
          <cell r="AG97">
            <v>106.33701383308616</v>
          </cell>
          <cell r="AH97">
            <v>110.29010475093581</v>
          </cell>
          <cell r="AP97">
            <v>9</v>
          </cell>
          <cell r="AQ97">
            <v>8</v>
          </cell>
          <cell r="AR97">
            <v>10</v>
          </cell>
          <cell r="AS97">
            <v>14</v>
          </cell>
          <cell r="AU97">
            <v>13</v>
          </cell>
          <cell r="AV97">
            <v>12</v>
          </cell>
          <cell r="AW97">
            <v>13</v>
          </cell>
          <cell r="AX97">
            <v>14</v>
          </cell>
        </row>
        <row r="98">
          <cell r="A98" t="str">
            <v>Television Stations</v>
          </cell>
          <cell r="B98">
            <v>0</v>
          </cell>
          <cell r="C98">
            <v>0</v>
          </cell>
          <cell r="D98">
            <v>8.4188399999999994</v>
          </cell>
          <cell r="E98">
            <v>81</v>
          </cell>
          <cell r="F98">
            <v>33</v>
          </cell>
          <cell r="G98">
            <v>133</v>
          </cell>
          <cell r="H98">
            <v>33</v>
          </cell>
          <cell r="I98">
            <v>133</v>
          </cell>
          <cell r="J98">
            <v>85</v>
          </cell>
          <cell r="M98">
            <v>22</v>
          </cell>
          <cell r="P98">
            <v>17</v>
          </cell>
          <cell r="S98">
            <v>21.15</v>
          </cell>
          <cell r="T98">
            <v>43.32</v>
          </cell>
          <cell r="U98">
            <v>43.5366</v>
          </cell>
          <cell r="V98">
            <v>43.5366</v>
          </cell>
          <cell r="W98">
            <v>45.495746999999994</v>
          </cell>
          <cell r="X98">
            <v>46.633140674999986</v>
          </cell>
          <cell r="Y98">
            <v>49.197963412124984</v>
          </cell>
          <cell r="Z98">
            <v>50.42791249742811</v>
          </cell>
          <cell r="AA98">
            <v>53.201447684786643</v>
          </cell>
          <cell r="AB98">
            <v>54.531483876906307</v>
          </cell>
          <cell r="AC98">
            <v>57.530715490136146</v>
          </cell>
          <cell r="AD98">
            <v>58.968983377389542</v>
          </cell>
          <cell r="AE98">
            <v>60.443207961824271</v>
          </cell>
          <cell r="AF98">
            <v>61.954288160869872</v>
          </cell>
          <cell r="AG98">
            <v>63.503145364891616</v>
          </cell>
          <cell r="AH98">
            <v>65.090723999013903</v>
          </cell>
          <cell r="AP98">
            <v>0</v>
          </cell>
          <cell r="AQ98">
            <v>0</v>
          </cell>
          <cell r="AR98">
            <v>0</v>
          </cell>
          <cell r="AS98">
            <v>0</v>
          </cell>
          <cell r="AU98">
            <v>0</v>
          </cell>
          <cell r="AV98">
            <v>0</v>
          </cell>
          <cell r="AW98">
            <v>0</v>
          </cell>
          <cell r="AX98">
            <v>0</v>
          </cell>
        </row>
        <row r="99">
          <cell r="A99" t="str">
            <v>Television Broadcast Network</v>
          </cell>
          <cell r="B99">
            <v>0</v>
          </cell>
          <cell r="C99">
            <v>0</v>
          </cell>
          <cell r="D99">
            <v>120.97877613691931</v>
          </cell>
          <cell r="E99">
            <v>102</v>
          </cell>
          <cell r="F99">
            <v>44</v>
          </cell>
          <cell r="G99">
            <v>49</v>
          </cell>
          <cell r="H99">
            <v>44</v>
          </cell>
          <cell r="I99">
            <v>49</v>
          </cell>
          <cell r="J99">
            <v>12</v>
          </cell>
          <cell r="M99">
            <v>11</v>
          </cell>
          <cell r="P99">
            <v>12</v>
          </cell>
          <cell r="S99">
            <v>13.1484375</v>
          </cell>
          <cell r="T99">
            <v>19.12</v>
          </cell>
          <cell r="U99">
            <v>20.912038249784466</v>
          </cell>
          <cell r="V99">
            <v>20.466562608882054</v>
          </cell>
          <cell r="W99">
            <v>21.31298131546836</v>
          </cell>
          <cell r="X99">
            <v>22.162980087387954</v>
          </cell>
          <cell r="Y99">
            <v>23.052858800441172</v>
          </cell>
          <cell r="Z99">
            <v>23.903664521687759</v>
          </cell>
          <cell r="AA99">
            <v>24.794430560951874</v>
          </cell>
          <cell r="AB99">
            <v>25.727315649176617</v>
          </cell>
          <cell r="AC99">
            <v>26.704602674567838</v>
          </cell>
          <cell r="AD99">
            <v>27.728706005593043</v>
          </cell>
          <cell r="AE99">
            <v>28.802179250230715</v>
          </cell>
          <cell r="AF99">
            <v>29.927723477563919</v>
          </cell>
          <cell r="AG99">
            <v>31.108195929375466</v>
          </cell>
          <cell r="AH99">
            <v>32.346619251059266</v>
          </cell>
          <cell r="AP99">
            <v>0</v>
          </cell>
          <cell r="AQ99">
            <v>0</v>
          </cell>
          <cell r="AR99">
            <v>0</v>
          </cell>
          <cell r="AS99">
            <v>0</v>
          </cell>
          <cell r="AU99">
            <v>0</v>
          </cell>
          <cell r="AV99">
            <v>0</v>
          </cell>
          <cell r="AW99">
            <v>0</v>
          </cell>
          <cell r="AX99">
            <v>0</v>
          </cell>
        </row>
        <row r="100">
          <cell r="A100" t="str">
            <v>Other Television Business</v>
          </cell>
          <cell r="B100">
            <v>0</v>
          </cell>
          <cell r="C100">
            <v>0</v>
          </cell>
          <cell r="D100">
            <v>0</v>
          </cell>
          <cell r="E100">
            <v>1</v>
          </cell>
          <cell r="F100">
            <v>0</v>
          </cell>
          <cell r="G100">
            <v>0</v>
          </cell>
          <cell r="H100">
            <v>0</v>
          </cell>
          <cell r="I100">
            <v>0</v>
          </cell>
          <cell r="J100">
            <v>0</v>
          </cell>
          <cell r="M100">
            <v>0</v>
          </cell>
          <cell r="P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P100">
            <v>0</v>
          </cell>
          <cell r="AQ100">
            <v>0</v>
          </cell>
          <cell r="AR100">
            <v>0</v>
          </cell>
          <cell r="AS100">
            <v>0</v>
          </cell>
          <cell r="AU100">
            <v>0</v>
          </cell>
          <cell r="AV100">
            <v>0</v>
          </cell>
          <cell r="AW100">
            <v>0</v>
          </cell>
          <cell r="AX100">
            <v>0</v>
          </cell>
        </row>
        <row r="101">
          <cell r="A101" t="str">
            <v>Total Capital Expenditures</v>
          </cell>
          <cell r="B101">
            <v>0</v>
          </cell>
          <cell r="C101">
            <v>0</v>
          </cell>
          <cell r="D101">
            <v>194.39761613691931</v>
          </cell>
          <cell r="E101">
            <v>338</v>
          </cell>
          <cell r="F101">
            <v>208</v>
          </cell>
          <cell r="G101">
            <v>307</v>
          </cell>
          <cell r="H101">
            <v>208</v>
          </cell>
          <cell r="I101">
            <v>313</v>
          </cell>
          <cell r="J101">
            <v>247</v>
          </cell>
          <cell r="M101">
            <v>145</v>
          </cell>
          <cell r="P101">
            <v>80</v>
          </cell>
          <cell r="S101">
            <v>141.29843750000001</v>
          </cell>
          <cell r="T101">
            <v>116.44</v>
          </cell>
          <cell r="U101">
            <v>149.44863824978447</v>
          </cell>
          <cell r="V101">
            <v>163.21310820888203</v>
          </cell>
          <cell r="W101">
            <v>173.55695829314828</v>
          </cell>
          <cell r="X101">
            <v>180.72634305168947</v>
          </cell>
          <cell r="Y101">
            <v>188.42565788866386</v>
          </cell>
          <cell r="Z101">
            <v>195.16763924006619</v>
          </cell>
          <cell r="AA101">
            <v>203.4207464723705</v>
          </cell>
          <cell r="AB101">
            <v>210.45322506845821</v>
          </cell>
          <cell r="AC101">
            <v>219.30328042993312</v>
          </cell>
          <cell r="AD101">
            <v>226.82720920896747</v>
          </cell>
          <cell r="AE101">
            <v>234.6318485155841</v>
          </cell>
          <cell r="AF101">
            <v>242.72845361205287</v>
          </cell>
          <cell r="AG101">
            <v>251.12876233520836</v>
          </cell>
          <cell r="AH101">
            <v>259.8450170971783</v>
          </cell>
          <cell r="AP101">
            <v>23</v>
          </cell>
          <cell r="AQ101">
            <v>22</v>
          </cell>
          <cell r="AR101">
            <v>36</v>
          </cell>
          <cell r="AS101">
            <v>36</v>
          </cell>
          <cell r="AU101">
            <v>54</v>
          </cell>
          <cell r="AV101">
            <v>56</v>
          </cell>
          <cell r="AW101">
            <v>59</v>
          </cell>
          <cell r="AX101">
            <v>65</v>
          </cell>
        </row>
        <row r="102">
          <cell r="A102" t="str">
            <v>Launch Fees</v>
          </cell>
          <cell r="P102">
            <v>116</v>
          </cell>
          <cell r="S102">
            <v>125</v>
          </cell>
          <cell r="T102">
            <v>129</v>
          </cell>
          <cell r="U102">
            <v>117</v>
          </cell>
          <cell r="V102">
            <v>103</v>
          </cell>
          <cell r="W102">
            <v>76</v>
          </cell>
          <cell r="X102">
            <v>58</v>
          </cell>
          <cell r="Y102">
            <v>28</v>
          </cell>
          <cell r="Z102">
            <v>18</v>
          </cell>
          <cell r="AA102">
            <v>8</v>
          </cell>
          <cell r="AB102">
            <v>0</v>
          </cell>
          <cell r="AC102">
            <v>0</v>
          </cell>
          <cell r="AD102">
            <v>0</v>
          </cell>
          <cell r="AE102">
            <v>0</v>
          </cell>
          <cell r="AF102">
            <v>0</v>
          </cell>
          <cell r="AG102">
            <v>0</v>
          </cell>
          <cell r="AH102">
            <v>0</v>
          </cell>
        </row>
        <row r="105">
          <cell r="A105" t="str">
            <v>(in millions)</v>
          </cell>
          <cell r="BO105" t="str">
            <v>F2002</v>
          </cell>
          <cell r="BT105" t="str">
            <v>F2003</v>
          </cell>
          <cell r="BY105" t="str">
            <v>F2004E</v>
          </cell>
          <cell r="CD105" t="str">
            <v>F2005E</v>
          </cell>
          <cell r="CI105" t="str">
            <v>F2006</v>
          </cell>
          <cell r="CN105" t="str">
            <v>F2006</v>
          </cell>
        </row>
        <row r="106">
          <cell r="A106" t="str">
            <v>Incremental</v>
          </cell>
          <cell r="BO106" t="str">
            <v>1Q</v>
          </cell>
          <cell r="BP106" t="str">
            <v>2Q</v>
          </cell>
          <cell r="BQ106" t="str">
            <v>3Q</v>
          </cell>
          <cell r="BR106" t="str">
            <v>4Q</v>
          </cell>
          <cell r="BT106" t="str">
            <v>1Q</v>
          </cell>
          <cell r="BU106" t="str">
            <v>2Q</v>
          </cell>
          <cell r="BV106" t="str">
            <v>3Q</v>
          </cell>
          <cell r="BW106" t="str">
            <v>4Q</v>
          </cell>
          <cell r="BY106" t="str">
            <v>1Q</v>
          </cell>
          <cell r="BZ106" t="str">
            <v>2Q</v>
          </cell>
          <cell r="CA106" t="str">
            <v>3Q</v>
          </cell>
          <cell r="CB106" t="str">
            <v>4Q</v>
          </cell>
          <cell r="CD106" t="str">
            <v>1Q</v>
          </cell>
          <cell r="CE106" t="str">
            <v>2Q</v>
          </cell>
          <cell r="CF106" t="str">
            <v>3Q</v>
          </cell>
          <cell r="CG106" t="str">
            <v>4Q</v>
          </cell>
          <cell r="CI106" t="str">
            <v>1Q</v>
          </cell>
          <cell r="CJ106" t="str">
            <v>2Q</v>
          </cell>
          <cell r="CK106" t="str">
            <v>3Q</v>
          </cell>
          <cell r="CL106" t="str">
            <v>4Q</v>
          </cell>
          <cell r="CN106" t="str">
            <v>1Q</v>
          </cell>
          <cell r="CO106" t="str">
            <v>2Q</v>
          </cell>
          <cell r="CP106" t="str">
            <v>3Q</v>
          </cell>
          <cell r="CQ106" t="str">
            <v>4Q</v>
          </cell>
        </row>
        <row r="107">
          <cell r="A107" t="str">
            <v xml:space="preserve">Revenue </v>
          </cell>
          <cell r="BO107">
            <v>69</v>
          </cell>
          <cell r="BP107">
            <v>86</v>
          </cell>
          <cell r="BQ107">
            <v>118</v>
          </cell>
          <cell r="BR107">
            <v>122</v>
          </cell>
          <cell r="BT107">
            <v>113</v>
          </cell>
          <cell r="BU107">
            <v>94</v>
          </cell>
          <cell r="BV107">
            <v>80</v>
          </cell>
          <cell r="BW107">
            <v>104</v>
          </cell>
          <cell r="BY107">
            <v>73</v>
          </cell>
          <cell r="BZ107">
            <v>95</v>
          </cell>
          <cell r="CA107">
            <v>65</v>
          </cell>
          <cell r="CB107">
            <v>31</v>
          </cell>
          <cell r="CD107">
            <v>4</v>
          </cell>
          <cell r="CE107">
            <v>59</v>
          </cell>
          <cell r="CF107">
            <v>53</v>
          </cell>
          <cell r="CG107">
            <v>163</v>
          </cell>
          <cell r="CI107">
            <v>175</v>
          </cell>
          <cell r="CJ107">
            <v>186</v>
          </cell>
          <cell r="CK107">
            <v>206</v>
          </cell>
          <cell r="CL107">
            <v>103</v>
          </cell>
          <cell r="CN107">
            <v>114</v>
          </cell>
          <cell r="CO107">
            <v>110</v>
          </cell>
          <cell r="CP107">
            <v>159</v>
          </cell>
          <cell r="CQ107">
            <v>57.851731460258179</v>
          </cell>
        </row>
        <row r="108">
          <cell r="A108" t="str">
            <v>EBITDA</v>
          </cell>
          <cell r="BO108">
            <v>-7</v>
          </cell>
          <cell r="BP108">
            <v>17</v>
          </cell>
          <cell r="BQ108">
            <v>48</v>
          </cell>
          <cell r="BR108">
            <v>36</v>
          </cell>
          <cell r="BT108">
            <v>85</v>
          </cell>
          <cell r="BU108">
            <v>59</v>
          </cell>
          <cell r="BV108">
            <v>23</v>
          </cell>
          <cell r="BW108">
            <v>62</v>
          </cell>
          <cell r="BY108">
            <v>15</v>
          </cell>
          <cell r="BZ108">
            <v>66</v>
          </cell>
          <cell r="CA108">
            <v>46</v>
          </cell>
          <cell r="CB108">
            <v>59</v>
          </cell>
          <cell r="CD108">
            <v>63</v>
          </cell>
          <cell r="CE108">
            <v>67</v>
          </cell>
          <cell r="CF108">
            <v>59</v>
          </cell>
          <cell r="CG108">
            <v>12</v>
          </cell>
          <cell r="CI108">
            <v>30</v>
          </cell>
          <cell r="CJ108">
            <v>36</v>
          </cell>
          <cell r="CK108">
            <v>38</v>
          </cell>
          <cell r="CL108">
            <v>55</v>
          </cell>
          <cell r="CN108">
            <v>49</v>
          </cell>
          <cell r="CO108">
            <v>4</v>
          </cell>
          <cell r="CP108">
            <v>65</v>
          </cell>
          <cell r="CQ108">
            <v>19.413523581587015</v>
          </cell>
        </row>
        <row r="109">
          <cell r="A109" t="str">
            <v>Conversion %</v>
          </cell>
          <cell r="BO109">
            <v>-0.10144927536231885</v>
          </cell>
          <cell r="BP109">
            <v>0.19767441860465115</v>
          </cell>
          <cell r="BQ109">
            <v>0.40677966101694918</v>
          </cell>
          <cell r="BR109">
            <v>0.29508196721311475</v>
          </cell>
          <cell r="BT109">
            <v>0.75221238938053092</v>
          </cell>
          <cell r="BU109">
            <v>0.62765957446808507</v>
          </cell>
          <cell r="BV109">
            <v>0.28749999999999998</v>
          </cell>
          <cell r="BW109">
            <v>0.59615384615384615</v>
          </cell>
          <cell r="BY109">
            <v>0.20547945205479451</v>
          </cell>
          <cell r="BZ109">
            <v>0.69473684210526321</v>
          </cell>
          <cell r="CA109">
            <v>0.70769230769230773</v>
          </cell>
          <cell r="CB109">
            <v>1.903225806451613</v>
          </cell>
          <cell r="CD109">
            <v>15.75</v>
          </cell>
          <cell r="CE109">
            <v>1.1355932203389831</v>
          </cell>
          <cell r="CF109">
            <v>1.1132075471698113</v>
          </cell>
          <cell r="CG109">
            <v>7.3619631901840496E-2</v>
          </cell>
          <cell r="CI109">
            <v>0.17142857142857143</v>
          </cell>
          <cell r="CJ109">
            <v>0.19354838709677419</v>
          </cell>
          <cell r="CK109">
            <v>0.18446601941747573</v>
          </cell>
          <cell r="CL109">
            <v>0.53398058252427183</v>
          </cell>
          <cell r="CN109">
            <v>0.42982456140350878</v>
          </cell>
          <cell r="CO109">
            <v>3.6363636363636362E-2</v>
          </cell>
          <cell r="CP109">
            <v>0.4088050314465409</v>
          </cell>
          <cell r="CQ109">
            <v>0.33557376921247944</v>
          </cell>
        </row>
      </sheetData>
      <sheetData sheetId="2"/>
      <sheetData sheetId="3"/>
      <sheetData sheetId="4"/>
      <sheetData sheetId="5"/>
      <sheetData sheetId="6"/>
      <sheetData sheetId="7"/>
      <sheetData sheetId="8"/>
      <sheetData sheetId="9" refreshError="1">
        <row r="2">
          <cell r="D2">
            <v>1</v>
          </cell>
          <cell r="E2">
            <v>2</v>
          </cell>
          <cell r="F2">
            <v>3</v>
          </cell>
          <cell r="G2">
            <v>4</v>
          </cell>
          <cell r="H2">
            <v>5</v>
          </cell>
          <cell r="I2">
            <v>6</v>
          </cell>
          <cell r="J2">
            <v>7</v>
          </cell>
          <cell r="K2">
            <v>8</v>
          </cell>
          <cell r="L2">
            <v>9</v>
          </cell>
          <cell r="M2">
            <v>10</v>
          </cell>
          <cell r="N2">
            <v>11</v>
          </cell>
          <cell r="O2">
            <v>12</v>
          </cell>
          <cell r="P2">
            <v>13</v>
          </cell>
          <cell r="Q2">
            <v>14</v>
          </cell>
          <cell r="R2">
            <v>15</v>
          </cell>
          <cell r="S2" t="str">
            <v xml:space="preserve"> </v>
          </cell>
        </row>
        <row r="3">
          <cell r="C3" t="str">
            <v>(Jul/Aug/Sep)</v>
          </cell>
          <cell r="D3" t="str">
            <v>(Oc/Nov/Dec)</v>
          </cell>
          <cell r="E3" t="str">
            <v>(Jan/Fe/Mar)</v>
          </cell>
          <cell r="F3" t="str">
            <v>(ap/may/june)</v>
          </cell>
          <cell r="G3" t="str">
            <v>(jul/aug/sep)</v>
          </cell>
          <cell r="H3" t="str">
            <v>(Oc/Nov/Dec)</v>
          </cell>
          <cell r="I3" t="str">
            <v>(Jan/Fe/Mar)</v>
          </cell>
          <cell r="J3" t="str">
            <v>(ap/may/june)</v>
          </cell>
          <cell r="K3" t="str">
            <v>(jul/aug/sep)</v>
          </cell>
          <cell r="L3" t="str">
            <v>(Oc/Nov/Dec)</v>
          </cell>
          <cell r="M3" t="str">
            <v>(Jan/Fe/Mar)</v>
          </cell>
          <cell r="N3" t="str">
            <v>(ap/may/june)</v>
          </cell>
          <cell r="O3" t="str">
            <v>(jul/aug/sep)</v>
          </cell>
          <cell r="P3" t="str">
            <v>(Oc/Nov/Dec)</v>
          </cell>
          <cell r="Q3" t="str">
            <v>(Jan/Fe/Mar)</v>
          </cell>
          <cell r="R3" t="str">
            <v>(ap/may/june)</v>
          </cell>
        </row>
        <row r="4">
          <cell r="C4" t="str">
            <v xml:space="preserve">1Q07 </v>
          </cell>
          <cell r="D4" t="str">
            <v xml:space="preserve">2Q07 </v>
          </cell>
          <cell r="E4" t="str">
            <v>3Q07</v>
          </cell>
          <cell r="F4" t="str">
            <v xml:space="preserve">4Q07 </v>
          </cell>
          <cell r="G4" t="str">
            <v xml:space="preserve">1Q08 </v>
          </cell>
          <cell r="H4" t="str">
            <v>2Q08</v>
          </cell>
          <cell r="I4" t="str">
            <v>3Q08</v>
          </cell>
          <cell r="J4" t="str">
            <v>4Q08</v>
          </cell>
          <cell r="K4" t="str">
            <v>1Q09</v>
          </cell>
          <cell r="L4" t="str">
            <v>2Q09</v>
          </cell>
          <cell r="M4" t="str">
            <v>3Q09</v>
          </cell>
          <cell r="N4" t="str">
            <v>4Q09</v>
          </cell>
          <cell r="O4" t="str">
            <v>1Q10</v>
          </cell>
          <cell r="P4" t="str">
            <v>2Q10</v>
          </cell>
          <cell r="Q4" t="str">
            <v>3Q10</v>
          </cell>
          <cell r="R4" t="str">
            <v>4Q10</v>
          </cell>
        </row>
        <row r="6">
          <cell r="D6">
            <v>15</v>
          </cell>
          <cell r="E6">
            <v>17</v>
          </cell>
          <cell r="F6">
            <v>18</v>
          </cell>
          <cell r="G6">
            <v>35</v>
          </cell>
          <cell r="H6">
            <v>45</v>
          </cell>
          <cell r="I6">
            <v>50</v>
          </cell>
          <cell r="J6">
            <v>60</v>
          </cell>
          <cell r="K6">
            <v>65</v>
          </cell>
          <cell r="L6">
            <v>70</v>
          </cell>
          <cell r="M6">
            <v>80</v>
          </cell>
          <cell r="N6">
            <v>80</v>
          </cell>
          <cell r="O6">
            <v>85</v>
          </cell>
          <cell r="P6">
            <v>90</v>
          </cell>
          <cell r="Q6">
            <v>95</v>
          </cell>
          <cell r="R6">
            <v>95</v>
          </cell>
          <cell r="S6">
            <v>900</v>
          </cell>
        </row>
        <row r="8">
          <cell r="C8" t="str">
            <v>FY2006E</v>
          </cell>
          <cell r="D8" t="str">
            <v>FY2007E</v>
          </cell>
          <cell r="E8" t="str">
            <v>FY2008E</v>
          </cell>
          <cell r="F8" t="str">
            <v>FY2009E</v>
          </cell>
          <cell r="G8" t="str">
            <v>FY2010E</v>
          </cell>
        </row>
        <row r="9">
          <cell r="B9" t="str">
            <v>NWS revenue estimate</v>
          </cell>
          <cell r="C9">
            <v>24950.659421301694</v>
          </cell>
          <cell r="D9">
            <v>27023.396063863118</v>
          </cell>
          <cell r="E9">
            <v>28716.459785570783</v>
          </cell>
          <cell r="F9">
            <v>30381.375433252615</v>
          </cell>
          <cell r="G9">
            <v>31922.91029099849</v>
          </cell>
        </row>
        <row r="10">
          <cell r="B10" t="str">
            <v xml:space="preserve">% Change </v>
          </cell>
          <cell r="D10">
            <v>8.3073421329771246E-2</v>
          </cell>
          <cell r="E10">
            <v>6.2651774695768436E-2</v>
          </cell>
          <cell r="F10">
            <v>5.7977747261116264E-2</v>
          </cell>
          <cell r="G10">
            <v>5.0739469025443018E-2</v>
          </cell>
        </row>
        <row r="11">
          <cell r="B11" t="str">
            <v>Google-generated revenue</v>
          </cell>
          <cell r="D11">
            <v>50</v>
          </cell>
          <cell r="E11">
            <v>190</v>
          </cell>
          <cell r="F11">
            <v>295</v>
          </cell>
          <cell r="G11">
            <v>365</v>
          </cell>
        </row>
        <row r="12">
          <cell r="B12" t="str">
            <v xml:space="preserve">Proforma revenue estimate </v>
          </cell>
          <cell r="D12">
            <v>27073.396063863118</v>
          </cell>
          <cell r="E12">
            <v>28906.459785570783</v>
          </cell>
          <cell r="F12">
            <v>30676.375433252615</v>
          </cell>
          <cell r="G12">
            <v>32287.91029099849</v>
          </cell>
        </row>
        <row r="13">
          <cell r="B13" t="str">
            <v>% Change</v>
          </cell>
          <cell r="D13">
            <v>8.5077376381849534E-2</v>
          </cell>
          <cell r="E13">
            <v>6.9682719272496696E-2</v>
          </cell>
          <cell r="F13">
            <v>6.8250601303808223E-2</v>
          </cell>
          <cell r="G13">
            <v>6.2753408315384007E-2</v>
          </cell>
        </row>
        <row r="14">
          <cell r="B14" t="str">
            <v>Incremental revenue growth</v>
          </cell>
          <cell r="D14">
            <v>2.0039550520782878E-3</v>
          </cell>
          <cell r="E14">
            <v>7.0309445767282597E-3</v>
          </cell>
          <cell r="F14">
            <v>1.0272854042691959E-2</v>
          </cell>
          <cell r="G14">
            <v>1.2013939289940989E-2</v>
          </cell>
        </row>
        <row r="15">
          <cell r="B15" t="str">
            <v>Cumulative Incremental growth</v>
          </cell>
          <cell r="C15" t="str">
            <v xml:space="preserve"> </v>
          </cell>
          <cell r="G15">
            <v>1.4628871880170841E-2</v>
          </cell>
          <cell r="L15" t="str">
            <v xml:space="preserve"> </v>
          </cell>
        </row>
        <row r="17">
          <cell r="B17" t="str">
            <v>NWS EBITDA estimate (reported basis)</v>
          </cell>
          <cell r="C17">
            <v>4714.2697690813002</v>
          </cell>
          <cell r="D17">
            <v>5479.6091178042188</v>
          </cell>
          <cell r="E17">
            <v>6087.6078849017831</v>
          </cell>
          <cell r="F17">
            <v>6650.8496809243989</v>
          </cell>
          <cell r="G17">
            <v>7121.1243102443441</v>
          </cell>
        </row>
        <row r="18">
          <cell r="B18" t="str">
            <v xml:space="preserve">% Change </v>
          </cell>
          <cell r="D18">
            <v>0.16234525943814737</v>
          </cell>
          <cell r="E18">
            <v>0.11095659453556062</v>
          </cell>
          <cell r="F18">
            <v>9.2522679954394338E-2</v>
          </cell>
          <cell r="G18">
            <v>7.0708954777426669E-2</v>
          </cell>
        </row>
        <row r="19">
          <cell r="B19" t="str">
            <v xml:space="preserve">Google-generated EBITDA </v>
          </cell>
          <cell r="D19">
            <v>20</v>
          </cell>
          <cell r="E19">
            <v>76</v>
          </cell>
          <cell r="F19">
            <v>118</v>
          </cell>
          <cell r="G19">
            <v>146</v>
          </cell>
        </row>
        <row r="20">
          <cell r="B20" t="str">
            <v xml:space="preserve">Assumed margin </v>
          </cell>
          <cell r="D20">
            <v>0.4</v>
          </cell>
          <cell r="E20">
            <v>0.4</v>
          </cell>
          <cell r="F20">
            <v>0.4</v>
          </cell>
          <cell r="G20">
            <v>0.4</v>
          </cell>
        </row>
        <row r="21">
          <cell r="B21" t="str">
            <v xml:space="preserve">Proforma EBITDA estimate </v>
          </cell>
          <cell r="D21">
            <v>5499.6091178042188</v>
          </cell>
          <cell r="E21">
            <v>6163.6078849017831</v>
          </cell>
          <cell r="F21">
            <v>6768.8496809243989</v>
          </cell>
          <cell r="G21">
            <v>7267.1243102443441</v>
          </cell>
        </row>
        <row r="22">
          <cell r="B22" t="str">
            <v>% Change</v>
          </cell>
          <cell r="C22" t="str">
            <v xml:space="preserve"> </v>
          </cell>
          <cell r="D22">
            <v>0.16658769802983997</v>
          </cell>
          <cell r="E22">
            <v>0.12482619697728636</v>
          </cell>
          <cell r="F22">
            <v>0.11190632000333034</v>
          </cell>
          <cell r="G22">
            <v>9.2661037143496161E-2</v>
          </cell>
        </row>
        <row r="23">
          <cell r="B23" t="str">
            <v xml:space="preserve">Incremental EBITDA growth </v>
          </cell>
          <cell r="D23">
            <v>4.2424385916925988E-3</v>
          </cell>
          <cell r="E23">
            <v>1.3869602441725748E-2</v>
          </cell>
          <cell r="F23">
            <v>1.9383640048936002E-2</v>
          </cell>
          <cell r="G23">
            <v>2.1952082366069492E-2</v>
          </cell>
        </row>
        <row r="24">
          <cell r="B24" t="str">
            <v>Cumulative Incremental growth</v>
          </cell>
          <cell r="D24" t="str">
            <v xml:space="preserve"> </v>
          </cell>
          <cell r="G24">
            <v>3.0969801719355563E-2</v>
          </cell>
        </row>
      </sheetData>
      <sheetData sheetId="10" refreshError="1">
        <row r="1">
          <cell r="A1" t="str">
            <v>The News Corporation Limited</v>
          </cell>
        </row>
        <row r="2">
          <cell r="A2" t="str">
            <v>Estimated 2007 Fair Market Value</v>
          </cell>
        </row>
        <row r="3">
          <cell r="A3" t="str">
            <v>(In US$ Millions Except Per Share Data)</v>
          </cell>
          <cell r="B3" t="str">
            <v>TV Networks,</v>
          </cell>
          <cell r="C3" t="str">
            <v>Newspapers,</v>
          </cell>
          <cell r="D3" t="str">
            <v xml:space="preserve">Satellite </v>
          </cell>
        </row>
        <row r="4">
          <cell r="B4" t="str">
            <v>Broadcasting,</v>
          </cell>
          <cell r="C4" t="str">
            <v>Publishing,</v>
          </cell>
          <cell r="D4" t="str">
            <v>Platforms &amp;</v>
          </cell>
          <cell r="E4" t="str">
            <v>Total</v>
          </cell>
          <cell r="F4" t="str">
            <v>% of Total</v>
          </cell>
          <cell r="G4" t="str">
            <v>Per Share</v>
          </cell>
        </row>
        <row r="5">
          <cell r="B5" t="str">
            <v>&amp; Filmed Ent.</v>
          </cell>
          <cell r="C5" t="str">
            <v>Mags. &amp; Inserts,</v>
          </cell>
          <cell r="D5" t="str">
            <v>Technology</v>
          </cell>
        </row>
        <row r="6">
          <cell r="A6" t="str">
            <v>Consolidated Operations</v>
          </cell>
        </row>
        <row r="7">
          <cell r="A7" t="str">
            <v>Fox Network</v>
          </cell>
          <cell r="B7">
            <v>253.03192352961329</v>
          </cell>
          <cell r="E7">
            <v>253.03192352961329</v>
          </cell>
          <cell r="F7">
            <v>2.7336246842241323E-3</v>
          </cell>
          <cell r="G7">
            <v>8.0297038873703833E-2</v>
          </cell>
        </row>
        <row r="8">
          <cell r="A8" t="str">
            <v>Station Group</v>
          </cell>
          <cell r="B8">
            <v>11604.230706800954</v>
          </cell>
          <cell r="E8">
            <v>11604.230706800954</v>
          </cell>
          <cell r="F8">
            <v>0.12536604496005516</v>
          </cell>
          <cell r="G8">
            <v>3.6824814480548085</v>
          </cell>
        </row>
        <row r="9">
          <cell r="A9" t="str">
            <v>Fox Network &amp; Station Group</v>
          </cell>
          <cell r="B9">
            <v>11857.262630330568</v>
          </cell>
          <cell r="E9">
            <v>11857.262630330568</v>
          </cell>
          <cell r="F9">
            <v>0.1280996696442793</v>
          </cell>
          <cell r="G9">
            <v>3.7627784869285126</v>
          </cell>
        </row>
        <row r="10">
          <cell r="A10" t="str">
            <v>STAR TV</v>
          </cell>
          <cell r="D10">
            <v>5235.8530112596636</v>
          </cell>
          <cell r="E10">
            <v>5235.8530112596636</v>
          </cell>
          <cell r="F10">
            <v>5.6565420026432285E-2</v>
          </cell>
          <cell r="G10">
            <v>1.6615432824345293</v>
          </cell>
        </row>
        <row r="11">
          <cell r="A11" t="str">
            <v>Fox News</v>
          </cell>
          <cell r="B11">
            <v>8401.6852969685133</v>
          </cell>
          <cell r="E11">
            <v>8401.6852969685133</v>
          </cell>
          <cell r="F11">
            <v>9.0767417788641849E-2</v>
          </cell>
          <cell r="G11">
            <v>2.6661871019462571</v>
          </cell>
        </row>
        <row r="12">
          <cell r="A12" t="str">
            <v xml:space="preserve">Fox Sports </v>
          </cell>
          <cell r="B12">
            <v>5197.3029652102205</v>
          </cell>
          <cell r="E12">
            <v>5197.3029652102205</v>
          </cell>
          <cell r="F12">
            <v>5.6148945472594414E-2</v>
          </cell>
          <cell r="G12">
            <v>1.649309827844943</v>
          </cell>
        </row>
        <row r="13">
          <cell r="A13" t="str">
            <v>Fx</v>
          </cell>
          <cell r="B13">
            <v>2925.754193877563</v>
          </cell>
          <cell r="E13">
            <v>2925.754193877563</v>
          </cell>
          <cell r="F13">
            <v>3.1608319506846567E-2</v>
          </cell>
          <cell r="G13">
            <v>0.92845754386874435</v>
          </cell>
        </row>
        <row r="14">
          <cell r="A14" t="str">
            <v>Filmed Entertainment</v>
          </cell>
          <cell r="B14">
            <v>14871.398757600995</v>
          </cell>
          <cell r="E14">
            <v>14871.398757600995</v>
          </cell>
          <cell r="F14">
            <v>0.16066282137700469</v>
          </cell>
          <cell r="G14">
            <v>4.7192831145105867</v>
          </cell>
        </row>
        <row r="15">
          <cell r="A15" t="str">
            <v>Newspapers-UK</v>
          </cell>
          <cell r="C15">
            <v>2572.6208641923195</v>
          </cell>
          <cell r="E15">
            <v>2572.6208641923195</v>
          </cell>
          <cell r="F15">
            <v>2.7793251536828687E-2</v>
          </cell>
          <cell r="G15">
            <v>0.81639436897050699</v>
          </cell>
        </row>
        <row r="16">
          <cell r="A16" t="str">
            <v>Newspapers-Australia</v>
          </cell>
          <cell r="C16">
            <v>5807.6300916367072</v>
          </cell>
          <cell r="E16">
            <v>5807.6300916367072</v>
          </cell>
          <cell r="F16">
            <v>6.2742600830297798E-2</v>
          </cell>
          <cell r="G16">
            <v>1.8429907686239748</v>
          </cell>
        </row>
        <row r="17">
          <cell r="A17" t="str">
            <v>Newspapers-US</v>
          </cell>
          <cell r="C17">
            <v>292.82000000000005</v>
          </cell>
          <cell r="E17">
            <v>292.82000000000005</v>
          </cell>
          <cell r="F17">
            <v>3.163474271817839E-3</v>
          </cell>
          <cell r="G17">
            <v>9.2923369490356789E-2</v>
          </cell>
        </row>
        <row r="18">
          <cell r="A18" t="str">
            <v>Free Standing Inserts</v>
          </cell>
          <cell r="C18">
            <v>1725.2348344234197</v>
          </cell>
          <cell r="E18">
            <v>1725.2348344234197</v>
          </cell>
          <cell r="F18">
            <v>1.8638535658569759E-2</v>
          </cell>
          <cell r="G18">
            <v>0.54748526049027357</v>
          </cell>
        </row>
        <row r="19">
          <cell r="A19" t="str">
            <v>Heritage Media</v>
          </cell>
          <cell r="C19">
            <v>233.09619297582873</v>
          </cell>
          <cell r="E19">
            <v>233.09619297582873</v>
          </cell>
          <cell r="F19">
            <v>2.5182494684028419E-3</v>
          </cell>
          <cell r="G19">
            <v>7.3970642943407008E-2</v>
          </cell>
        </row>
        <row r="20">
          <cell r="A20" t="str">
            <v>Book Publishing</v>
          </cell>
          <cell r="C20">
            <v>1450.4570595666478</v>
          </cell>
          <cell r="E20">
            <v>1450.4570595666478</v>
          </cell>
          <cell r="F20">
            <v>1.5669980159537068E-2</v>
          </cell>
          <cell r="G20">
            <v>0.46028740275940183</v>
          </cell>
        </row>
        <row r="21">
          <cell r="A21" t="str">
            <v>Technology</v>
          </cell>
          <cell r="D21">
            <v>1332.528</v>
          </cell>
          <cell r="E21">
            <v>1332.528</v>
          </cell>
          <cell r="F21">
            <v>1.4395936221832118E-2</v>
          </cell>
          <cell r="G21">
            <v>0.42286384707412789</v>
          </cell>
        </row>
        <row r="22">
          <cell r="A22" t="str">
            <v>Sky Italia</v>
          </cell>
          <cell r="D22">
            <v>7744.9955107105525</v>
          </cell>
          <cell r="E22">
            <v>7744.9955107105525</v>
          </cell>
          <cell r="F22">
            <v>8.3672884480149895E-2</v>
          </cell>
          <cell r="G22">
            <v>2.4577934551701084</v>
          </cell>
        </row>
        <row r="23">
          <cell r="A23" t="str">
            <v>Corporate Overhead</v>
          </cell>
          <cell r="E23">
            <v>-334.36649214659684</v>
          </cell>
          <cell r="F23">
            <v>-3.6123208635466856E-3</v>
          </cell>
          <cell r="G23">
            <v>-0.10610771496117989</v>
          </cell>
        </row>
        <row r="24">
          <cell r="A24" t="str">
            <v>Total</v>
          </cell>
          <cell r="B24">
            <v>43253.403843987857</v>
          </cell>
          <cell r="C24">
            <v>12081.859042794922</v>
          </cell>
          <cell r="D24">
            <v>14313.376521970216</v>
          </cell>
          <cell r="E24">
            <v>69314.272916606395</v>
          </cell>
          <cell r="F24">
            <v>0.74883518557968831</v>
          </cell>
          <cell r="G24">
            <v>21.996160758094547</v>
          </cell>
        </row>
        <row r="25">
          <cell r="I25" t="str">
            <v>Share Price</v>
          </cell>
          <cell r="J25" t="str">
            <v>Exchange</v>
          </cell>
          <cell r="K25" t="str">
            <v>Share Price</v>
          </cell>
        </row>
        <row r="26">
          <cell r="A26" t="str">
            <v>Unconsolidated Investments</v>
          </cell>
          <cell r="H26" t="str">
            <v>Shares</v>
          </cell>
          <cell r="I26" t="str">
            <v>Local $</v>
          </cell>
          <cell r="J26" t="str">
            <v>Rate</v>
          </cell>
          <cell r="K26" t="str">
            <v>US$</v>
          </cell>
        </row>
        <row r="27">
          <cell r="A27" t="str">
            <v>BSkyB (36%)</v>
          </cell>
          <cell r="D27">
            <v>8540.1340499999988</v>
          </cell>
          <cell r="E27">
            <v>8540.1340499999988</v>
          </cell>
          <cell r="F27">
            <v>9.2263145772319088E-2</v>
          </cell>
          <cell r="G27">
            <v>2.7101223680941429</v>
          </cell>
          <cell r="H27">
            <v>686</v>
          </cell>
          <cell r="I27">
            <v>6.5350000000000001</v>
          </cell>
          <cell r="J27">
            <v>1.9049999999999998</v>
          </cell>
          <cell r="K27">
            <v>12.449174999999999</v>
          </cell>
        </row>
        <row r="28">
          <cell r="A28" t="str">
            <v>DirecTV Group (34%)</v>
          </cell>
          <cell r="D28">
            <v>11167.2</v>
          </cell>
          <cell r="E28">
            <v>11167.2</v>
          </cell>
          <cell r="F28">
            <v>0.12064459356684711</v>
          </cell>
          <cell r="G28">
            <v>3.5437943165518484</v>
          </cell>
          <cell r="H28">
            <v>470</v>
          </cell>
          <cell r="I28">
            <v>23.76</v>
          </cell>
          <cell r="K28">
            <v>23.76</v>
          </cell>
          <cell r="L28" t="str">
            <v>dtv</v>
          </cell>
        </row>
        <row r="29">
          <cell r="A29" t="str">
            <v>Gemstar-TV Guide (41%)</v>
          </cell>
          <cell r="D29">
            <v>776.55600000000004</v>
          </cell>
          <cell r="E29">
            <v>776.55600000000004</v>
          </cell>
          <cell r="F29">
            <v>8.3895052476803955E-3</v>
          </cell>
          <cell r="G29">
            <v>0.24643193811199202</v>
          </cell>
          <cell r="H29">
            <v>174.9</v>
          </cell>
          <cell r="I29" t="str">
            <v>NA</v>
          </cell>
          <cell r="J29" t="str">
            <v>NA</v>
          </cell>
          <cell r="K29">
            <v>4.4400000000000004</v>
          </cell>
        </row>
        <row r="30">
          <cell r="A30" t="str">
            <v>Sky Network Television Limited (44%)</v>
          </cell>
          <cell r="C30">
            <v>714.8075</v>
          </cell>
          <cell r="E30">
            <v>714.8075</v>
          </cell>
          <cell r="F30">
            <v>7.7224067193239184E-3</v>
          </cell>
          <cell r="G30">
            <v>0.22683669639019943</v>
          </cell>
          <cell r="H30">
            <v>170</v>
          </cell>
          <cell r="I30">
            <v>6.05</v>
          </cell>
          <cell r="J30">
            <v>0.69499999999999995</v>
          </cell>
          <cell r="K30">
            <v>4.2047499999999998</v>
          </cell>
          <cell r="L30" t="str">
            <v>B0C5VF</v>
          </cell>
        </row>
        <row r="31">
          <cell r="A31" t="str">
            <v>The Wireless Group PLC (40.32%)</v>
          </cell>
          <cell r="D31">
            <v>66.69404999999999</v>
          </cell>
          <cell r="E31">
            <v>66.69404999999999</v>
          </cell>
          <cell r="F31">
            <v>7.2052766634223236E-4</v>
          </cell>
          <cell r="G31">
            <v>2.1164660374832077E-2</v>
          </cell>
          <cell r="H31">
            <v>38.9</v>
          </cell>
          <cell r="I31">
            <v>0.9</v>
          </cell>
          <cell r="J31">
            <v>1.9049999999999998</v>
          </cell>
          <cell r="K31">
            <v>1.7144999999999999</v>
          </cell>
          <cell r="L31" t="str">
            <v>066834</v>
          </cell>
        </row>
        <row r="32">
          <cell r="A32" t="str">
            <v>Phoenix Satellite</v>
          </cell>
          <cell r="D32">
            <v>330.62400000000002</v>
          </cell>
          <cell r="E32">
            <v>330.62400000000002</v>
          </cell>
          <cell r="F32">
            <v>3.5718889339713855E-3</v>
          </cell>
          <cell r="G32">
            <v>0.10492007415606762</v>
          </cell>
          <cell r="H32">
            <v>1845</v>
          </cell>
          <cell r="I32">
            <v>1.4000000000000001</v>
          </cell>
          <cell r="J32">
            <v>0.128</v>
          </cell>
          <cell r="K32">
            <v>0.17920000000000003</v>
          </cell>
        </row>
        <row r="33">
          <cell r="A33" t="str">
            <v>Publicly Traded Unconsolidated Assets</v>
          </cell>
          <cell r="B33">
            <v>0</v>
          </cell>
          <cell r="C33">
            <v>714.8075</v>
          </cell>
          <cell r="D33">
            <v>20881.208099999996</v>
          </cell>
          <cell r="E33">
            <v>21596.015599999995</v>
          </cell>
          <cell r="F33">
            <v>0.23331206790648407</v>
          </cell>
          <cell r="G33">
            <v>6.8532700536790809</v>
          </cell>
        </row>
        <row r="36">
          <cell r="A36" t="str">
            <v>Regional Programming Partners (40%)</v>
          </cell>
          <cell r="B36">
            <v>0</v>
          </cell>
          <cell r="E36">
            <v>0</v>
          </cell>
          <cell r="F36">
            <v>0</v>
          </cell>
          <cell r="G36">
            <v>0</v>
          </cell>
          <cell r="N36" t="str">
            <v xml:space="preserve">NWS </v>
          </cell>
        </row>
        <row r="37">
          <cell r="A37" t="str">
            <v>Latin America DBS Operators</v>
          </cell>
          <cell r="D37">
            <v>0</v>
          </cell>
          <cell r="E37">
            <v>0</v>
          </cell>
          <cell r="F37">
            <v>0</v>
          </cell>
          <cell r="G37">
            <v>0</v>
          </cell>
        </row>
        <row r="38">
          <cell r="A38" t="str">
            <v>Foxtel (25%)</v>
          </cell>
          <cell r="D38">
            <v>198.25</v>
          </cell>
          <cell r="E38">
            <v>198.25</v>
          </cell>
          <cell r="F38">
            <v>2.1417894077859659E-3</v>
          </cell>
          <cell r="G38">
            <v>6.2912567452575743E-2</v>
          </cell>
          <cell r="H38">
            <v>0.79300000000000004</v>
          </cell>
          <cell r="I38">
            <v>1000</v>
          </cell>
          <cell r="J38">
            <v>793</v>
          </cell>
          <cell r="K38">
            <v>0</v>
          </cell>
          <cell r="L38">
            <v>793</v>
          </cell>
          <cell r="M38">
            <v>0.25</v>
          </cell>
          <cell r="N38">
            <v>198.25</v>
          </cell>
        </row>
        <row r="39">
          <cell r="A39" t="str">
            <v>Fox Sports Australia</v>
          </cell>
          <cell r="B39">
            <v>115.5</v>
          </cell>
          <cell r="E39">
            <v>115.5</v>
          </cell>
          <cell r="F39">
            <v>1.2478016474112435E-3</v>
          </cell>
          <cell r="G39">
            <v>3.6652718995069354E-2</v>
          </cell>
        </row>
        <row r="40">
          <cell r="A40" t="str">
            <v>Star Sports (50%)</v>
          </cell>
          <cell r="B40">
            <v>735</v>
          </cell>
          <cell r="E40">
            <v>735</v>
          </cell>
          <cell r="F40">
            <v>7.9405559380715494E-3</v>
          </cell>
          <cell r="G40">
            <v>0.23324457542316859</v>
          </cell>
        </row>
        <row r="41">
          <cell r="A41" t="str">
            <v>National Geographic &amp; Other</v>
          </cell>
          <cell r="B41">
            <v>603.75</v>
          </cell>
          <cell r="E41">
            <v>603.75</v>
          </cell>
          <cell r="F41">
            <v>6.5225995205587736E-3</v>
          </cell>
          <cell r="G41">
            <v>0.19159375838331708</v>
          </cell>
        </row>
        <row r="42">
          <cell r="A42" t="str">
            <v>Private Unconsolidated Assets</v>
          </cell>
          <cell r="B42">
            <v>1454.25</v>
          </cell>
          <cell r="C42">
            <v>0</v>
          </cell>
          <cell r="D42">
            <v>198.25</v>
          </cell>
          <cell r="E42">
            <v>1652.5</v>
          </cell>
          <cell r="F42">
            <v>1.7852746513827532E-2</v>
          </cell>
          <cell r="G42">
            <v>0.52440362025413079</v>
          </cell>
        </row>
        <row r="44">
          <cell r="A44" t="str">
            <v>Total Estimated Unconsolidated Asset Value</v>
          </cell>
          <cell r="B44">
            <v>1454.25</v>
          </cell>
          <cell r="C44">
            <v>714.8075</v>
          </cell>
          <cell r="D44">
            <v>21079.458099999996</v>
          </cell>
          <cell r="E44">
            <v>23248.515599999995</v>
          </cell>
          <cell r="F44">
            <v>0.25116481442031163</v>
          </cell>
          <cell r="G44">
            <v>7.3776736739332121</v>
          </cell>
        </row>
        <row r="46">
          <cell r="A46" t="str">
            <v>Total Estimated Asset Value</v>
          </cell>
          <cell r="B46">
            <v>44707.653843987857</v>
          </cell>
          <cell r="C46">
            <v>12796.666542794923</v>
          </cell>
          <cell r="D46">
            <v>35392.834621970214</v>
          </cell>
          <cell r="E46">
            <v>92562.788516606393</v>
          </cell>
          <cell r="F46">
            <v>1</v>
          </cell>
          <cell r="G46">
            <v>29.37383443202776</v>
          </cell>
        </row>
        <row r="48">
          <cell r="A48" t="str">
            <v>Less:</v>
          </cell>
        </row>
        <row r="49">
          <cell r="A49" t="str">
            <v>Debt</v>
          </cell>
          <cell r="E49">
            <v>-950</v>
          </cell>
          <cell r="F49">
            <v>-1.0062827956984715E-2</v>
          </cell>
          <cell r="G49">
            <v>-0.30147258047892539</v>
          </cell>
        </row>
        <row r="50">
          <cell r="A50" t="str">
            <v>Sports Rights Fees Reserve</v>
          </cell>
          <cell r="E50">
            <v>0</v>
          </cell>
          <cell r="F50">
            <v>0</v>
          </cell>
          <cell r="G50">
            <v>0</v>
          </cell>
        </row>
        <row r="51">
          <cell r="A51" t="str">
            <v>Exch. Trust Originating Preferred Securities</v>
          </cell>
          <cell r="E51">
            <v>-200</v>
          </cell>
          <cell r="F51">
            <v>-6.3467911679773767E-2</v>
          </cell>
          <cell r="G51">
            <v>-6.3467911679773767E-2</v>
          </cell>
        </row>
        <row r="53">
          <cell r="A53" t="str">
            <v>Minority Interest - Fox Entertainment Group</v>
          </cell>
          <cell r="E53">
            <v>0</v>
          </cell>
          <cell r="F53">
            <v>0</v>
          </cell>
          <cell r="G53">
            <v>0</v>
          </cell>
        </row>
        <row r="54">
          <cell r="A54" t="str">
            <v>Minority Interest - NDS</v>
          </cell>
          <cell r="E54">
            <v>-318.64800000000008</v>
          </cell>
          <cell r="F54">
            <v>-3.3752631608813329E-3</v>
          </cell>
          <cell r="G54">
            <v>-0.10111961560468279</v>
          </cell>
        </row>
        <row r="55">
          <cell r="A55" t="str">
            <v xml:space="preserve">Minority Interest - Sky Italia </v>
          </cell>
          <cell r="E55">
            <v>0</v>
          </cell>
          <cell r="F55">
            <v>0</v>
          </cell>
          <cell r="G55">
            <v>0</v>
          </cell>
        </row>
        <row r="57">
          <cell r="A57" t="str">
            <v>Plus:</v>
          </cell>
        </row>
        <row r="58">
          <cell r="A58" t="str">
            <v xml:space="preserve">Cash </v>
          </cell>
          <cell r="E58">
            <v>3312.7204633227075</v>
          </cell>
          <cell r="F58">
            <v>3.5089827465262208E-2</v>
          </cell>
          <cell r="G58">
            <v>1.0512572489297243</v>
          </cell>
        </row>
        <row r="60">
          <cell r="A60" t="str">
            <v>Total Fair Market Value</v>
          </cell>
          <cell r="E60">
            <v>94406.860979929101</v>
          </cell>
          <cell r="F60">
            <v>1</v>
          </cell>
          <cell r="G60">
            <v>29.959031573194103</v>
          </cell>
        </row>
        <row r="62">
          <cell r="A62" t="str">
            <v>Target Value (Combined Class A &amp; B Shares)</v>
          </cell>
        </row>
        <row r="63">
          <cell r="A63" t="str">
            <v>Ending Shares Outstanding</v>
          </cell>
          <cell r="E63">
            <v>3117.1247839721254</v>
          </cell>
        </row>
        <row r="64">
          <cell r="A64" t="str">
            <v xml:space="preserve"> Stock Options Underlying Class A Ordinary Shs.</v>
          </cell>
          <cell r="E64">
            <v>34.07390378518518</v>
          </cell>
        </row>
        <row r="65">
          <cell r="A65" t="str">
            <v xml:space="preserve"> Fully Diluted Shares Outstanding</v>
          </cell>
          <cell r="E65">
            <v>3151.1986877573108</v>
          </cell>
        </row>
        <row r="67">
          <cell r="A67" t="str">
            <v xml:space="preserve">Total Fair Market Value Per Ordinary Share </v>
          </cell>
          <cell r="E67">
            <v>29.959031573194103</v>
          </cell>
        </row>
        <row r="69">
          <cell r="A69" t="str">
            <v>Supplemental Information</v>
          </cell>
        </row>
        <row r="70">
          <cell r="A70" t="str">
            <v>2007E Operating Cash Flow</v>
          </cell>
          <cell r="B70">
            <v>3449.0864973597518</v>
          </cell>
          <cell r="C70">
            <v>1455.3716251120418</v>
          </cell>
          <cell r="D70">
            <v>517.26560548701264</v>
          </cell>
          <cell r="E70">
            <v>5421.7237279588062</v>
          </cell>
        </row>
        <row r="71">
          <cell r="A71" t="str">
            <v>Est. Asset Value/2006E Operating Cash Flow</v>
          </cell>
          <cell r="B71">
            <v>12.540539031740142</v>
          </cell>
          <cell r="C71">
            <v>8.3015628684287428</v>
          </cell>
          <cell r="D71">
            <v>27.6712318973808</v>
          </cell>
          <cell r="E71">
            <v>12.784545357625984</v>
          </cell>
        </row>
        <row r="73">
          <cell r="A73" t="str">
            <v>2008E Operating Cash Flow</v>
          </cell>
          <cell r="B73">
            <v>3771.4547565293806</v>
          </cell>
          <cell r="C73">
            <v>1519.2267970944122</v>
          </cell>
          <cell r="D73">
            <v>766.78570070672049</v>
          </cell>
          <cell r="E73">
            <v>6057.4672543305132</v>
          </cell>
        </row>
        <row r="74">
          <cell r="A74" t="str">
            <v>Est. Asset Value/2007E Operating Cash Flow</v>
          </cell>
          <cell r="B74">
            <v>11.468625937804195</v>
          </cell>
          <cell r="C74">
            <v>7.9526368715336027</v>
          </cell>
          <cell r="D74">
            <v>18.666723321493947</v>
          </cell>
          <cell r="E74">
            <v>11.442781282400375</v>
          </cell>
        </row>
        <row r="80">
          <cell r="A80" t="str">
            <v>Description</v>
          </cell>
          <cell r="B80" t="str">
            <v>Price</v>
          </cell>
          <cell r="C80" t="str">
            <v>Currency</v>
          </cell>
        </row>
        <row r="81">
          <cell r="A81" t="str">
            <v>BSkyB</v>
          </cell>
          <cell r="B81">
            <v>51.980000000000004</v>
          </cell>
          <cell r="C81" t="str">
            <v>US</v>
          </cell>
          <cell r="D81" t="str">
            <v>BSY</v>
          </cell>
        </row>
        <row r="82">
          <cell r="A82" t="str">
            <v>BSkyB (in £)</v>
          </cell>
          <cell r="B82">
            <v>6.5350000000000001</v>
          </cell>
          <cell r="D82" t="str">
            <v>014119</v>
          </cell>
        </row>
        <row r="83">
          <cell r="A83" t="str">
            <v>us$ per 1 A$ Average</v>
          </cell>
          <cell r="B83">
            <v>0.78754999999999997</v>
          </cell>
        </row>
        <row r="84">
          <cell r="A84" t="str">
            <v>Independent Newspapers</v>
          </cell>
          <cell r="B84">
            <v>3.6235500000000003</v>
          </cell>
          <cell r="C84" t="str">
            <v>NZ</v>
          </cell>
        </row>
        <row r="85">
          <cell r="A85" t="str">
            <v>The Wireless Group PLC</v>
          </cell>
          <cell r="B85">
            <v>0.875</v>
          </cell>
        </row>
        <row r="86">
          <cell r="A86" t="str">
            <v>us$ per 1 NZ$ Quarterly Avg</v>
          </cell>
          <cell r="B86">
            <v>0.63149999999999995</v>
          </cell>
        </row>
        <row r="87">
          <cell r="A87" t="str">
            <v>A$ per 1 NZ$ Quarterly Avg</v>
          </cell>
          <cell r="B87">
            <v>0.84450000000000003</v>
          </cell>
        </row>
        <row r="88">
          <cell r="A88" t="str">
            <v>Gemstar TV Guide</v>
          </cell>
          <cell r="B88">
            <v>4.4400000000000004</v>
          </cell>
          <cell r="D88" t="str">
            <v>GMST</v>
          </cell>
        </row>
        <row r="89">
          <cell r="A89" t="str">
            <v>One-Tel (ONE.AX)</v>
          </cell>
          <cell r="B89">
            <v>0.81</v>
          </cell>
          <cell r="C89" t="str">
            <v>US</v>
          </cell>
        </row>
        <row r="90">
          <cell r="A90" t="str">
            <v>Juno Online Services (JWEB)</v>
          </cell>
          <cell r="B90">
            <v>12.25</v>
          </cell>
          <cell r="D90" t="str">
            <v>jweb</v>
          </cell>
        </row>
        <row r="91">
          <cell r="A91" t="str">
            <v>TheStreet.com (TSCM)</v>
          </cell>
          <cell r="B91">
            <v>10.66</v>
          </cell>
          <cell r="D91" t="str">
            <v>tscm</v>
          </cell>
        </row>
        <row r="92">
          <cell r="A92" t="str">
            <v>Echostar</v>
          </cell>
          <cell r="B92">
            <v>49.24</v>
          </cell>
          <cell r="D92" t="str">
            <v>dish</v>
          </cell>
        </row>
        <row r="93">
          <cell r="A93" t="str">
            <v>NDS</v>
          </cell>
          <cell r="B93">
            <v>24.14</v>
          </cell>
        </row>
        <row r="94">
          <cell r="A94" t="str">
            <v>hlth</v>
          </cell>
        </row>
        <row r="95">
          <cell r="A95" t="str">
            <v>OpenTV</v>
          </cell>
        </row>
        <row r="96">
          <cell r="A96" t="str">
            <v>Price before Option dilutiomn</v>
          </cell>
          <cell r="F96">
            <v>30.286519636736276</v>
          </cell>
        </row>
      </sheetData>
      <sheetData sheetId="11" refreshError="1">
        <row r="1">
          <cell r="A1" t="str">
            <v>The News Corporation Limited</v>
          </cell>
        </row>
        <row r="2">
          <cell r="A2" t="str">
            <v>Estimated 2006 Fair Market Value</v>
          </cell>
        </row>
        <row r="3">
          <cell r="A3" t="str">
            <v>(In US$ Millions Except Per Share Data)</v>
          </cell>
          <cell r="B3" t="str">
            <v>TV Networks,</v>
          </cell>
          <cell r="C3" t="str">
            <v>Newspapers,</v>
          </cell>
          <cell r="D3" t="str">
            <v xml:space="preserve">Satellite </v>
          </cell>
        </row>
        <row r="4">
          <cell r="B4" t="str">
            <v>Broadcasting,</v>
          </cell>
          <cell r="C4" t="str">
            <v>Publishing,</v>
          </cell>
          <cell r="D4" t="str">
            <v>Platforms &amp;</v>
          </cell>
          <cell r="E4" t="str">
            <v>Total</v>
          </cell>
          <cell r="F4" t="str">
            <v>% of Total</v>
          </cell>
          <cell r="G4" t="str">
            <v>Per Share</v>
          </cell>
        </row>
        <row r="5">
          <cell r="B5" t="str">
            <v>&amp; Filmed Ent.</v>
          </cell>
          <cell r="C5" t="str">
            <v>Mags. &amp; Inserts,</v>
          </cell>
          <cell r="D5" t="str">
            <v>Technology</v>
          </cell>
        </row>
        <row r="6">
          <cell r="A6" t="str">
            <v>Consolidated Operations</v>
          </cell>
        </row>
        <row r="7">
          <cell r="A7" t="str">
            <v>Fox Network</v>
          </cell>
          <cell r="B7">
            <v>231.4058194626856</v>
          </cell>
          <cell r="E7">
            <v>231.4058194626856</v>
          </cell>
          <cell r="F7">
            <v>2.6944481902170937E-3</v>
          </cell>
          <cell r="G7">
            <v>7.2987806462948515E-2</v>
          </cell>
        </row>
        <row r="8">
          <cell r="A8" t="str">
            <v>Station Group</v>
          </cell>
          <cell r="B8">
            <v>11316.811781680557</v>
          </cell>
          <cell r="E8">
            <v>11316.811781680557</v>
          </cell>
          <cell r="F8">
            <v>0.13177094290445712</v>
          </cell>
          <cell r="G8">
            <v>3.5694403451772638</v>
          </cell>
        </row>
        <row r="9">
          <cell r="A9" t="str">
            <v>Fox Network &amp; Station Group</v>
          </cell>
          <cell r="B9">
            <v>11548.217601143242</v>
          </cell>
          <cell r="E9">
            <v>11548.217601143242</v>
          </cell>
          <cell r="F9">
            <v>0.13446539109467423</v>
          </cell>
          <cell r="G9">
            <v>3.6424281516402122</v>
          </cell>
        </row>
        <row r="10">
          <cell r="A10" t="str">
            <v>STAR TV</v>
          </cell>
          <cell r="D10">
            <v>4672.4102633051189</v>
          </cell>
          <cell r="E10">
            <v>4672.4102633051189</v>
          </cell>
          <cell r="F10">
            <v>5.4404713793052777E-2</v>
          </cell>
          <cell r="G10">
            <v>1.4737268786302049</v>
          </cell>
        </row>
        <row r="11">
          <cell r="A11" t="str">
            <v>Fox News</v>
          </cell>
          <cell r="B11">
            <v>8004.5010644794056</v>
          </cell>
          <cell r="E11">
            <v>8004.5010644794056</v>
          </cell>
          <cell r="F11">
            <v>9.3202986238015276E-2</v>
          </cell>
          <cell r="G11">
            <v>2.5247030341900976</v>
          </cell>
        </row>
        <row r="12">
          <cell r="A12" t="str">
            <v xml:space="preserve">Fox Sports </v>
          </cell>
          <cell r="B12">
            <v>4916.2714038326576</v>
          </cell>
          <cell r="E12">
            <v>4916.2714038326576</v>
          </cell>
          <cell r="F12">
            <v>5.7244189525704592E-2</v>
          </cell>
          <cell r="G12">
            <v>1.5506432231283085</v>
          </cell>
        </row>
        <row r="13">
          <cell r="A13" t="str">
            <v>Fx</v>
          </cell>
          <cell r="B13">
            <v>2742.9570754693373</v>
          </cell>
          <cell r="E13">
            <v>2742.9570754693373</v>
          </cell>
          <cell r="F13">
            <v>3.1938504161228724E-2</v>
          </cell>
          <cell r="G13">
            <v>0.86515724032089036</v>
          </cell>
        </row>
        <row r="14">
          <cell r="A14" t="str">
            <v>Filmed Entertainment</v>
          </cell>
          <cell r="B14">
            <v>14259.920462665488</v>
          </cell>
          <cell r="E14">
            <v>14259.920462665488</v>
          </cell>
          <cell r="F14">
            <v>0.16603997674943696</v>
          </cell>
          <cell r="G14">
            <v>4.4977274872462658</v>
          </cell>
        </row>
        <row r="15">
          <cell r="A15" t="str">
            <v>Newspapers-UK</v>
          </cell>
          <cell r="C15">
            <v>2122.0576322403667</v>
          </cell>
          <cell r="E15">
            <v>2122.0576322403667</v>
          </cell>
          <cell r="F15">
            <v>2.4708861514385654E-2</v>
          </cell>
          <cell r="G15">
            <v>0.6693190868095602</v>
          </cell>
        </row>
        <row r="16">
          <cell r="A16" t="str">
            <v>Newspapers-Australia</v>
          </cell>
          <cell r="C16">
            <v>5293.3846428809456</v>
          </cell>
          <cell r="E16">
            <v>5293.3846428809456</v>
          </cell>
          <cell r="F16">
            <v>6.1635228985386002E-2</v>
          </cell>
          <cell r="G16">
            <v>1.6695886678460912</v>
          </cell>
        </row>
        <row r="17">
          <cell r="A17" t="str">
            <v>Newspapers-US</v>
          </cell>
          <cell r="C17">
            <v>292.82000000000005</v>
          </cell>
          <cell r="E17">
            <v>292.82000000000005</v>
          </cell>
          <cell r="F17">
            <v>3.4095439816136282E-3</v>
          </cell>
          <cell r="G17">
            <v>9.2358478875363331E-2</v>
          </cell>
        </row>
        <row r="18">
          <cell r="A18" t="str">
            <v>Free Standing Inserts</v>
          </cell>
          <cell r="C18">
            <v>1711.4255525115057</v>
          </cell>
          <cell r="E18">
            <v>1711.4255525115057</v>
          </cell>
          <cell r="F18">
            <v>1.9927534637474837E-2</v>
          </cell>
          <cell r="G18">
            <v>0.53980145051017991</v>
          </cell>
        </row>
        <row r="19">
          <cell r="A19" t="str">
            <v>Heritage Media</v>
          </cell>
          <cell r="C19">
            <v>246.53288526913781</v>
          </cell>
          <cell r="E19">
            <v>246.53288526913781</v>
          </cell>
          <cell r="F19">
            <v>2.8705850530675219E-3</v>
          </cell>
          <cell r="G19">
            <v>7.7759040626364434E-2</v>
          </cell>
        </row>
        <row r="20">
          <cell r="A20" t="str">
            <v>Book Publishing</v>
          </cell>
          <cell r="C20">
            <v>1447.5747278084746</v>
          </cell>
          <cell r="E20">
            <v>1447.5747278084746</v>
          </cell>
          <cell r="F20">
            <v>1.6855302578838091E-2</v>
          </cell>
          <cell r="G20">
            <v>0.4565801513517137</v>
          </cell>
        </row>
        <row r="21">
          <cell r="A21" t="str">
            <v>Technology</v>
          </cell>
          <cell r="D21">
            <v>1332.528</v>
          </cell>
          <cell r="E21">
            <v>1332.528</v>
          </cell>
          <cell r="F21">
            <v>1.5515718949291865E-2</v>
          </cell>
          <cell r="G21">
            <v>0.42029321473543518</v>
          </cell>
        </row>
        <row r="22">
          <cell r="A22" t="str">
            <v>Sky Italia</v>
          </cell>
          <cell r="D22">
            <v>6693.6515000859181</v>
          </cell>
          <cell r="E22">
            <v>6693.6515000859181</v>
          </cell>
          <cell r="F22">
            <v>7.7939687135909333E-2</v>
          </cell>
          <cell r="G22">
            <v>2.1112474239113763</v>
          </cell>
        </row>
        <row r="23">
          <cell r="A23" t="str">
            <v>Corporate Overhead</v>
          </cell>
          <cell r="E23">
            <v>-196.3350785340314</v>
          </cell>
          <cell r="F23">
            <v>-2.2860907226123408E-3</v>
          </cell>
          <cell r="G23">
            <v>-6.1926129373943505E-2</v>
          </cell>
        </row>
        <row r="24">
          <cell r="A24" t="str">
            <v>Total</v>
          </cell>
          <cell r="B24">
            <v>41471.867607590131</v>
          </cell>
          <cell r="C24">
            <v>11113.79544071043</v>
          </cell>
          <cell r="D24">
            <v>12698.589763391037</v>
          </cell>
          <cell r="E24">
            <v>65087.917733157563</v>
          </cell>
          <cell r="F24">
            <v>0.75787213367546713</v>
          </cell>
          <cell r="G24">
            <v>20.529407400448118</v>
          </cell>
        </row>
        <row r="25">
          <cell r="I25" t="str">
            <v>Share Price</v>
          </cell>
          <cell r="J25" t="str">
            <v>Exchange</v>
          </cell>
          <cell r="K25" t="str">
            <v>Share Price</v>
          </cell>
        </row>
        <row r="26">
          <cell r="A26" t="str">
            <v>Unconsolidated Investments</v>
          </cell>
          <cell r="H26" t="str">
            <v>Shares</v>
          </cell>
          <cell r="I26" t="str">
            <v>Local $</v>
          </cell>
          <cell r="J26" t="str">
            <v>Rate</v>
          </cell>
          <cell r="K26" t="str">
            <v>US$</v>
          </cell>
        </row>
        <row r="27">
          <cell r="A27" t="str">
            <v>BSkyB (36%)</v>
          </cell>
          <cell r="D27">
            <v>8327.9047961779634</v>
          </cell>
          <cell r="E27">
            <v>8327.9047961779634</v>
          </cell>
          <cell r="F27">
            <v>9.6968641750084822E-2</v>
          </cell>
          <cell r="G27">
            <v>2.6267079406933926</v>
          </cell>
          <cell r="H27">
            <v>686</v>
          </cell>
          <cell r="I27">
            <v>6.5350000000000001</v>
          </cell>
          <cell r="J27">
            <v>1.8576592057965438</v>
          </cell>
          <cell r="K27">
            <v>12.139802909880414</v>
          </cell>
        </row>
        <row r="28">
          <cell r="A28" t="str">
            <v>DirecTV Group (34%)</v>
          </cell>
          <cell r="D28">
            <v>8930</v>
          </cell>
          <cell r="E28">
            <v>8930</v>
          </cell>
          <cell r="F28">
            <v>0.10397933117891434</v>
          </cell>
          <cell r="G28">
            <v>2.8166150411754471</v>
          </cell>
          <cell r="H28">
            <v>470</v>
          </cell>
          <cell r="I28">
            <v>19</v>
          </cell>
          <cell r="K28">
            <v>19</v>
          </cell>
        </row>
        <row r="29">
          <cell r="A29" t="str">
            <v>Gemstar-TV Guide (41%)</v>
          </cell>
          <cell r="D29">
            <v>776.55600000000004</v>
          </cell>
          <cell r="E29">
            <v>776.55600000000004</v>
          </cell>
          <cell r="F29">
            <v>9.0420798995490478E-3</v>
          </cell>
          <cell r="G29">
            <v>0.2449338532939575</v>
          </cell>
          <cell r="H29">
            <v>174.9</v>
          </cell>
          <cell r="I29" t="str">
            <v>NA</v>
          </cell>
          <cell r="J29" t="str">
            <v>NA</v>
          </cell>
          <cell r="K29">
            <v>4.4400000000000004</v>
          </cell>
        </row>
        <row r="30">
          <cell r="A30" t="str">
            <v>Sky Network Television Limited (44%)</v>
          </cell>
          <cell r="C30">
            <v>714.8075</v>
          </cell>
          <cell r="E30">
            <v>714.8075</v>
          </cell>
          <cell r="F30">
            <v>8.3230913518109531E-3</v>
          </cell>
          <cell r="G30">
            <v>0.22545773303975569</v>
          </cell>
          <cell r="H30">
            <v>170</v>
          </cell>
          <cell r="I30">
            <v>6.05</v>
          </cell>
          <cell r="J30">
            <v>0.69499999999999995</v>
          </cell>
          <cell r="K30">
            <v>4.2047499999999998</v>
          </cell>
          <cell r="L30" t="str">
            <v>B0C5VF</v>
          </cell>
        </row>
        <row r="31">
          <cell r="A31" t="str">
            <v>The Wireless Group PLC (40.32%)</v>
          </cell>
          <cell r="D31">
            <v>62.142750000000007</v>
          </cell>
          <cell r="E31">
            <v>62.142750000000007</v>
          </cell>
          <cell r="F31">
            <v>7.235791245933348E-4</v>
          </cell>
          <cell r="G31">
            <v>1.9600470811870722E-2</v>
          </cell>
          <cell r="H31">
            <v>38.9</v>
          </cell>
          <cell r="I31">
            <v>0.9</v>
          </cell>
          <cell r="J31">
            <v>1.7750000000000001</v>
          </cell>
          <cell r="K31">
            <v>1.5975000000000001</v>
          </cell>
          <cell r="L31" t="str">
            <v>066834</v>
          </cell>
        </row>
        <row r="32">
          <cell r="A32" t="str">
            <v>Phoenix Satellite</v>
          </cell>
          <cell r="D32">
            <v>330.62400000000002</v>
          </cell>
          <cell r="E32">
            <v>330.62400000000002</v>
          </cell>
          <cell r="F32">
            <v>3.8497270315450589E-3</v>
          </cell>
          <cell r="G32">
            <v>0.1042822543531457</v>
          </cell>
          <cell r="H32">
            <v>1845</v>
          </cell>
          <cell r="I32">
            <v>1.4000000000000001</v>
          </cell>
          <cell r="J32">
            <v>0.128</v>
          </cell>
          <cell r="K32">
            <v>0.17920000000000003</v>
          </cell>
        </row>
        <row r="33">
          <cell r="A33" t="str">
            <v>Publicly Traded Unconsolidated Assets</v>
          </cell>
          <cell r="B33">
            <v>0</v>
          </cell>
          <cell r="C33">
            <v>714.8075</v>
          </cell>
          <cell r="D33">
            <v>18427.227546177965</v>
          </cell>
          <cell r="E33">
            <v>19142.035046177964</v>
          </cell>
          <cell r="F33">
            <v>0.22288645033649757</v>
          </cell>
          <cell r="G33">
            <v>6.0375972933675692</v>
          </cell>
        </row>
        <row r="36">
          <cell r="A36" t="str">
            <v>Regional Programming Partners (40%)</v>
          </cell>
          <cell r="B36">
            <v>0</v>
          </cell>
          <cell r="E36">
            <v>0</v>
          </cell>
          <cell r="F36">
            <v>0</v>
          </cell>
          <cell r="G36">
            <v>0</v>
          </cell>
          <cell r="N36" t="str">
            <v xml:space="preserve">NWS </v>
          </cell>
        </row>
        <row r="37">
          <cell r="A37" t="str">
            <v>Latin America DBS Operators</v>
          </cell>
          <cell r="D37">
            <v>0</v>
          </cell>
          <cell r="E37">
            <v>0</v>
          </cell>
          <cell r="F37">
            <v>0</v>
          </cell>
          <cell r="G37">
            <v>0</v>
          </cell>
        </row>
        <row r="38">
          <cell r="A38" t="str">
            <v>Foxtel (25%)</v>
          </cell>
          <cell r="D38">
            <v>198.25</v>
          </cell>
          <cell r="E38">
            <v>198.25</v>
          </cell>
          <cell r="F38">
            <v>2.3083877274602204E-3</v>
          </cell>
          <cell r="G38">
            <v>6.2530115555770704E-2</v>
          </cell>
          <cell r="H38">
            <v>0.79300000000000004</v>
          </cell>
          <cell r="I38">
            <v>1000</v>
          </cell>
          <cell r="J38">
            <v>793</v>
          </cell>
          <cell r="K38">
            <v>0</v>
          </cell>
          <cell r="L38">
            <v>793</v>
          </cell>
          <cell r="M38">
            <v>0.25</v>
          </cell>
          <cell r="N38">
            <v>198.25</v>
          </cell>
        </row>
        <row r="39">
          <cell r="A39" t="str">
            <v>Fox Sports Australia</v>
          </cell>
          <cell r="B39">
            <v>115.5</v>
          </cell>
          <cell r="E39">
            <v>115.5</v>
          </cell>
          <cell r="F39">
            <v>1.3448614502983881E-3</v>
          </cell>
          <cell r="G39">
            <v>3.6429903388103486E-2</v>
          </cell>
        </row>
        <row r="40">
          <cell r="A40" t="str">
            <v>Star Sports (50%)</v>
          </cell>
          <cell r="B40">
            <v>735</v>
          </cell>
          <cell r="E40">
            <v>735</v>
          </cell>
          <cell r="F40">
            <v>8.5582092291715609E-3</v>
          </cell>
          <cell r="G40">
            <v>0.23182665792429491</v>
          </cell>
        </row>
        <row r="41">
          <cell r="A41" t="str">
            <v>National Geographic &amp; Other</v>
          </cell>
          <cell r="B41">
            <v>603.75</v>
          </cell>
          <cell r="E41">
            <v>603.75</v>
          </cell>
          <cell r="F41">
            <v>7.0299575811052107E-3</v>
          </cell>
          <cell r="G41">
            <v>0.1904290404378137</v>
          </cell>
        </row>
        <row r="42">
          <cell r="A42" t="str">
            <v>Private Unconsolidated Assets</v>
          </cell>
          <cell r="B42">
            <v>1454.25</v>
          </cell>
          <cell r="C42">
            <v>0</v>
          </cell>
          <cell r="D42">
            <v>198.25</v>
          </cell>
          <cell r="E42">
            <v>1652.5</v>
          </cell>
          <cell r="F42">
            <v>1.9241415988035381E-2</v>
          </cell>
          <cell r="G42">
            <v>0.52121571730598282</v>
          </cell>
        </row>
        <row r="44">
          <cell r="A44" t="str">
            <v>Total Estimated Unconsolidated Asset Value</v>
          </cell>
          <cell r="B44">
            <v>1454.25</v>
          </cell>
          <cell r="C44">
            <v>714.8075</v>
          </cell>
          <cell r="D44">
            <v>18625.477546177965</v>
          </cell>
          <cell r="E44">
            <v>20794.535046177964</v>
          </cell>
          <cell r="F44">
            <v>0.24212786632453293</v>
          </cell>
          <cell r="G44">
            <v>6.5588130106735525</v>
          </cell>
        </row>
        <row r="46">
          <cell r="A46" t="str">
            <v>Total Estimated Asset Value</v>
          </cell>
          <cell r="B46">
            <v>42926.117607590131</v>
          </cell>
          <cell r="C46">
            <v>11828.602940710431</v>
          </cell>
          <cell r="D46">
            <v>31324.067309569</v>
          </cell>
          <cell r="E46">
            <v>85882.452779335523</v>
          </cell>
          <cell r="F46">
            <v>1</v>
          </cell>
          <cell r="G46">
            <v>27.088220411121672</v>
          </cell>
        </row>
        <row r="48">
          <cell r="A48" t="str">
            <v>Less:</v>
          </cell>
        </row>
        <row r="49">
          <cell r="A49" t="str">
            <v>Debt</v>
          </cell>
          <cell r="E49">
            <v>200</v>
          </cell>
          <cell r="F49">
            <v>2.2496190888324076E-3</v>
          </cell>
          <cell r="G49">
            <v>6.3082083788923785E-2</v>
          </cell>
        </row>
        <row r="50">
          <cell r="A50" t="str">
            <v>Sports Rights Fees Reserve</v>
          </cell>
          <cell r="E50">
            <v>-51.75</v>
          </cell>
          <cell r="F50">
            <v>-1.632248918038403E-2</v>
          </cell>
          <cell r="G50">
            <v>-1.632248918038403E-2</v>
          </cell>
        </row>
        <row r="51">
          <cell r="A51" t="str">
            <v>Exch. Trust Originating Preferred Securities</v>
          </cell>
          <cell r="E51">
            <v>-200</v>
          </cell>
          <cell r="F51">
            <v>-6.3082083788923785E-2</v>
          </cell>
          <cell r="G51">
            <v>-6.3082083788923785E-2</v>
          </cell>
        </row>
        <row r="53">
          <cell r="A53" t="str">
            <v>Minority Interest - Fox Entertainment Group</v>
          </cell>
          <cell r="E53">
            <v>0</v>
          </cell>
          <cell r="F53">
            <v>0</v>
          </cell>
          <cell r="G53">
            <v>0</v>
          </cell>
        </row>
        <row r="54">
          <cell r="A54" t="str">
            <v>Minority Interest - NDS</v>
          </cell>
          <cell r="E54">
            <v>-318.64800000000008</v>
          </cell>
          <cell r="F54">
            <v>-3.5841831170913461E-3</v>
          </cell>
          <cell r="G54">
            <v>-0.10050489917586496</v>
          </cell>
        </row>
        <row r="55">
          <cell r="A55" t="str">
            <v xml:space="preserve">Minority Interest - Sky Italia </v>
          </cell>
          <cell r="E55">
            <v>0</v>
          </cell>
          <cell r="F55">
            <v>0</v>
          </cell>
          <cell r="G55">
            <v>0</v>
          </cell>
        </row>
        <row r="57">
          <cell r="A57" t="str">
            <v>Plus:</v>
          </cell>
        </row>
        <row r="58">
          <cell r="A58" t="str">
            <v xml:space="preserve">Cash </v>
          </cell>
          <cell r="E58">
            <v>3391.8849999999998</v>
          </cell>
          <cell r="F58">
            <v>3.8152246215621549E-2</v>
          </cell>
          <cell r="G58">
            <v>1.0698358688619687</v>
          </cell>
        </row>
        <row r="60">
          <cell r="A60" t="str">
            <v>Total Fair Market Value</v>
          </cell>
          <cell r="E60">
            <v>88903.939779335517</v>
          </cell>
          <cell r="F60">
            <v>1</v>
          </cell>
          <cell r="G60">
            <v>28.041228891627387</v>
          </cell>
        </row>
        <row r="62">
          <cell r="A62" t="str">
            <v>Target Value (Combined Class A &amp; B Shares)</v>
          </cell>
        </row>
        <row r="63">
          <cell r="A63" t="str">
            <v>Ending Shares Outstanding</v>
          </cell>
          <cell r="E63">
            <v>3155.7139999999999</v>
          </cell>
        </row>
        <row r="64">
          <cell r="A64" t="str">
            <v xml:space="preserve"> Stock Options Underlying Class A Ordinary Shs.</v>
          </cell>
          <cell r="E64">
            <v>14.758311428571432</v>
          </cell>
        </row>
        <row r="65">
          <cell r="A65" t="str">
            <v xml:space="preserve"> Fully Diluted Shares Outstanding</v>
          </cell>
          <cell r="E65">
            <v>3170.4723114285712</v>
          </cell>
        </row>
        <row r="67">
          <cell r="A67" t="str">
            <v xml:space="preserve">Total Fair Market Value Per Ordinary Share </v>
          </cell>
          <cell r="E67">
            <v>28.041228891627387</v>
          </cell>
        </row>
        <row r="69">
          <cell r="A69" t="str">
            <v>Supplemental Information</v>
          </cell>
        </row>
        <row r="70">
          <cell r="A70" t="str">
            <v>2006 Operating Cash Flow</v>
          </cell>
          <cell r="B70">
            <v>3315</v>
          </cell>
          <cell r="C70">
            <v>1377</v>
          </cell>
          <cell r="D70">
            <v>300</v>
          </cell>
          <cell r="E70">
            <v>4992</v>
          </cell>
        </row>
        <row r="71">
          <cell r="A71" t="str">
            <v>Est. Asset Value/2005E Operating Cash Flow</v>
          </cell>
          <cell r="B71">
            <v>12.510367302440462</v>
          </cell>
          <cell r="C71">
            <v>8.071020654110697</v>
          </cell>
          <cell r="D71">
            <v>42.32863254463679</v>
          </cell>
          <cell r="E71">
            <v>13.038445058725474</v>
          </cell>
        </row>
        <row r="73">
          <cell r="A73" t="str">
            <v>2007E Operating Cash Flow</v>
          </cell>
          <cell r="B73">
            <v>3449.0864973597518</v>
          </cell>
          <cell r="C73">
            <v>1455.3716251120418</v>
          </cell>
          <cell r="D73">
            <v>517.26560548701264</v>
          </cell>
          <cell r="E73">
            <v>5421.7237279588062</v>
          </cell>
        </row>
        <row r="74">
          <cell r="A74" t="str">
            <v>Est. Asset Value/2006E Operating Cash Flow</v>
          </cell>
          <cell r="B74">
            <v>12.024014949853104</v>
          </cell>
          <cell r="C74">
            <v>7.6363969510913297</v>
          </cell>
          <cell r="D74">
            <v>24.549457046221239</v>
          </cell>
          <cell r="E74">
            <v>12.005022940861307</v>
          </cell>
        </row>
        <row r="80">
          <cell r="A80" t="str">
            <v>Description</v>
          </cell>
          <cell r="B80" t="str">
            <v>Price</v>
          </cell>
          <cell r="C80" t="str">
            <v>Currency</v>
          </cell>
        </row>
        <row r="81">
          <cell r="A81" t="str">
            <v>BSkyB</v>
          </cell>
          <cell r="B81">
            <v>51.980000000000004</v>
          </cell>
          <cell r="C81" t="str">
            <v>US</v>
          </cell>
          <cell r="D81" t="str">
            <v>BSY</v>
          </cell>
        </row>
        <row r="82">
          <cell r="A82" t="str">
            <v>BSkyB (in £)</v>
          </cell>
          <cell r="B82">
            <v>6.5350000000000001</v>
          </cell>
          <cell r="D82" t="str">
            <v>014119</v>
          </cell>
        </row>
        <row r="83">
          <cell r="A83" t="str">
            <v>us$ per 1 A$ Average</v>
          </cell>
          <cell r="B83">
            <v>0.76229999999999998</v>
          </cell>
        </row>
        <row r="84">
          <cell r="A84" t="str">
            <v>Independent Newspapers</v>
          </cell>
          <cell r="B84">
            <v>3.6235500000000003</v>
          </cell>
          <cell r="C84" t="str">
            <v>NZ</v>
          </cell>
        </row>
        <row r="85">
          <cell r="A85" t="str">
            <v>The Wireless Group PLC</v>
          </cell>
          <cell r="B85">
            <v>0.875</v>
          </cell>
        </row>
        <row r="86">
          <cell r="A86" t="str">
            <v>us$ per 1 NZ$ Quarterly Avg</v>
          </cell>
          <cell r="B86">
            <v>0.63149999999999995</v>
          </cell>
        </row>
        <row r="87">
          <cell r="A87" t="str">
            <v>A$ per 1 NZ$ Quarterly Avg</v>
          </cell>
          <cell r="B87">
            <v>0.84450000000000003</v>
          </cell>
        </row>
        <row r="88">
          <cell r="A88" t="str">
            <v>Gemstar TV Guide</v>
          </cell>
          <cell r="B88">
            <v>4.4400000000000004</v>
          </cell>
          <cell r="D88" t="str">
            <v>GMST</v>
          </cell>
        </row>
        <row r="89">
          <cell r="A89" t="str">
            <v>One-Tel (ONE.AX)</v>
          </cell>
          <cell r="B89">
            <v>0.81</v>
          </cell>
          <cell r="C89" t="str">
            <v>US</v>
          </cell>
        </row>
        <row r="90">
          <cell r="A90" t="str">
            <v>Juno Online Services (JWEB)</v>
          </cell>
          <cell r="B90">
            <v>12.25</v>
          </cell>
        </row>
        <row r="91">
          <cell r="A91" t="str">
            <v>TheStreet.com (TSCM)</v>
          </cell>
          <cell r="B91">
            <v>35.75</v>
          </cell>
        </row>
        <row r="92">
          <cell r="A92" t="str">
            <v>Echostar</v>
          </cell>
          <cell r="B92">
            <v>49.24</v>
          </cell>
          <cell r="D92" t="str">
            <v>dish</v>
          </cell>
        </row>
        <row r="93">
          <cell r="A93" t="str">
            <v>NDS</v>
          </cell>
          <cell r="B93">
            <v>24.14</v>
          </cell>
        </row>
        <row r="94">
          <cell r="A94" t="str">
            <v>hlth</v>
          </cell>
        </row>
        <row r="95">
          <cell r="A95" t="str">
            <v>OpenTV</v>
          </cell>
        </row>
        <row r="96">
          <cell r="A96" t="str">
            <v>Price before Option dilutiomn</v>
          </cell>
          <cell r="F96">
            <v>28.172369162520912</v>
          </cell>
        </row>
      </sheetData>
      <sheetData sheetId="12"/>
      <sheetData sheetId="13"/>
      <sheetData sheetId="14"/>
      <sheetData sheetId="15"/>
      <sheetData sheetId="16" refreshError="1">
        <row r="1">
          <cell r="BY1">
            <v>158.42857142857142</v>
          </cell>
          <cell r="BZ1">
            <v>156.42857142857142</v>
          </cell>
          <cell r="CA1">
            <v>156.42857142857142</v>
          </cell>
          <cell r="CB1">
            <v>155.42857142857142</v>
          </cell>
          <cell r="DQ1">
            <v>101.42857142857143</v>
          </cell>
          <cell r="DR1">
            <v>100.42857142857143</v>
          </cell>
          <cell r="DS1">
            <v>94.428571428571431</v>
          </cell>
          <cell r="DT1">
            <v>92.428571428571431</v>
          </cell>
        </row>
        <row r="2">
          <cell r="A2" t="str">
            <v xml:space="preserve"> Film Ultimate Calculation</v>
          </cell>
        </row>
        <row r="3">
          <cell r="A3" t="str">
            <v>(in millions)</v>
          </cell>
        </row>
        <row r="4">
          <cell r="C4" t="str">
            <v>F2002 Releases</v>
          </cell>
          <cell r="BS4" t="str">
            <v>F2004 Releaseas</v>
          </cell>
          <cell r="DQ4" t="str">
            <v>F2006</v>
          </cell>
          <cell r="EW4" t="str">
            <v>F2007</v>
          </cell>
        </row>
        <row r="5">
          <cell r="C5">
            <v>1</v>
          </cell>
          <cell r="D5">
            <v>2</v>
          </cell>
          <cell r="E5">
            <v>3</v>
          </cell>
          <cell r="F5">
            <v>4</v>
          </cell>
          <cell r="G5">
            <v>5</v>
          </cell>
          <cell r="H5">
            <v>6</v>
          </cell>
          <cell r="I5">
            <v>7</v>
          </cell>
          <cell r="J5">
            <v>8</v>
          </cell>
          <cell r="K5">
            <v>9</v>
          </cell>
          <cell r="L5">
            <v>10</v>
          </cell>
          <cell r="M5">
            <v>11</v>
          </cell>
          <cell r="N5">
            <v>12</v>
          </cell>
          <cell r="O5">
            <v>13</v>
          </cell>
          <cell r="P5">
            <v>14</v>
          </cell>
          <cell r="Q5">
            <v>15</v>
          </cell>
          <cell r="R5">
            <v>16</v>
          </cell>
          <cell r="S5">
            <v>17</v>
          </cell>
          <cell r="T5">
            <v>18</v>
          </cell>
          <cell r="U5">
            <v>19</v>
          </cell>
          <cell r="V5">
            <v>20</v>
          </cell>
          <cell r="W5">
            <v>21</v>
          </cell>
          <cell r="X5">
            <v>22</v>
          </cell>
          <cell r="AE5">
            <v>1</v>
          </cell>
          <cell r="AF5">
            <v>2</v>
          </cell>
          <cell r="AG5">
            <v>3</v>
          </cell>
          <cell r="AH5">
            <v>4</v>
          </cell>
          <cell r="AI5">
            <v>5</v>
          </cell>
          <cell r="AJ5">
            <v>6</v>
          </cell>
          <cell r="AK5">
            <v>7</v>
          </cell>
          <cell r="AL5">
            <v>8</v>
          </cell>
          <cell r="AM5">
            <v>9</v>
          </cell>
          <cell r="AN5">
            <v>10</v>
          </cell>
          <cell r="AO5">
            <v>11</v>
          </cell>
          <cell r="AP5">
            <v>12</v>
          </cell>
          <cell r="AQ5">
            <v>13</v>
          </cell>
          <cell r="AR5">
            <v>14</v>
          </cell>
          <cell r="AS5">
            <v>15</v>
          </cell>
          <cell r="AT5">
            <v>16</v>
          </cell>
          <cell r="AU5">
            <v>17</v>
          </cell>
          <cell r="AV5">
            <v>18</v>
          </cell>
          <cell r="AW5">
            <v>19</v>
          </cell>
          <cell r="AX5">
            <v>20</v>
          </cell>
          <cell r="AY5">
            <v>21</v>
          </cell>
          <cell r="AZ5">
            <v>22</v>
          </cell>
          <cell r="BH5">
            <v>1</v>
          </cell>
          <cell r="BI5">
            <v>2</v>
          </cell>
          <cell r="BJ5">
            <v>3</v>
          </cell>
          <cell r="BK5">
            <v>4</v>
          </cell>
          <cell r="BL5">
            <v>5</v>
          </cell>
          <cell r="BM5">
            <v>6</v>
          </cell>
          <cell r="BN5">
            <v>7</v>
          </cell>
          <cell r="BO5">
            <v>8</v>
          </cell>
          <cell r="BP5">
            <v>9</v>
          </cell>
          <cell r="BQ5">
            <v>10</v>
          </cell>
          <cell r="BR5">
            <v>11</v>
          </cell>
          <cell r="BS5">
            <v>12</v>
          </cell>
          <cell r="BT5">
            <v>13</v>
          </cell>
          <cell r="BU5">
            <v>14</v>
          </cell>
          <cell r="BV5">
            <v>15</v>
          </cell>
          <cell r="BW5">
            <v>16</v>
          </cell>
          <cell r="BX5">
            <v>17</v>
          </cell>
          <cell r="BY5">
            <v>18</v>
          </cell>
          <cell r="BZ5">
            <v>19</v>
          </cell>
          <cell r="CA5">
            <v>20</v>
          </cell>
          <cell r="CB5">
            <v>21</v>
          </cell>
          <cell r="CJ5">
            <v>1</v>
          </cell>
          <cell r="CK5">
            <v>2</v>
          </cell>
          <cell r="CL5">
            <v>3</v>
          </cell>
          <cell r="CM5">
            <v>4</v>
          </cell>
          <cell r="CN5">
            <v>5</v>
          </cell>
          <cell r="CO5">
            <v>6</v>
          </cell>
          <cell r="CP5">
            <v>7</v>
          </cell>
          <cell r="CQ5">
            <v>8</v>
          </cell>
          <cell r="CR5">
            <v>9</v>
          </cell>
          <cell r="CS5">
            <v>10</v>
          </cell>
          <cell r="CT5">
            <v>11</v>
          </cell>
          <cell r="CU5">
            <v>12</v>
          </cell>
          <cell r="CV5">
            <v>13</v>
          </cell>
          <cell r="CW5">
            <v>14</v>
          </cell>
          <cell r="CX5">
            <v>15</v>
          </cell>
          <cell r="CY5">
            <v>16</v>
          </cell>
          <cell r="CZ5">
            <v>17</v>
          </cell>
          <cell r="DA5">
            <v>18</v>
          </cell>
          <cell r="DB5">
            <v>19</v>
          </cell>
          <cell r="DC5">
            <v>20</v>
          </cell>
          <cell r="DE5" t="str">
            <v>Distribution Deals</v>
          </cell>
          <cell r="DH5" t="str">
            <v>Excluding Star Wars &amp; Mr. &amp; Mrs. Smith</v>
          </cell>
          <cell r="DN5" t="str">
            <v>Incl. Star Wars &amp; Mr. &amp; Mrs. Smith</v>
          </cell>
          <cell r="DQ5">
            <v>1</v>
          </cell>
          <cell r="DR5">
            <v>2</v>
          </cell>
          <cell r="DS5">
            <v>3</v>
          </cell>
          <cell r="DT5">
            <v>4</v>
          </cell>
          <cell r="DU5">
            <v>5</v>
          </cell>
          <cell r="DV5">
            <v>6</v>
          </cell>
          <cell r="DW5">
            <v>7</v>
          </cell>
          <cell r="DX5">
            <v>8</v>
          </cell>
          <cell r="DY5">
            <v>9</v>
          </cell>
          <cell r="DZ5">
            <v>10</v>
          </cell>
          <cell r="EA5">
            <v>11</v>
          </cell>
          <cell r="EB5">
            <v>12</v>
          </cell>
          <cell r="EC5">
            <v>13</v>
          </cell>
          <cell r="ED5">
            <v>14</v>
          </cell>
          <cell r="EE5">
            <v>15</v>
          </cell>
          <cell r="EF5">
            <v>16</v>
          </cell>
          <cell r="EG5">
            <v>17</v>
          </cell>
          <cell r="EH5">
            <v>18</v>
          </cell>
          <cell r="EI5">
            <v>19</v>
          </cell>
          <cell r="EJ5">
            <v>20</v>
          </cell>
          <cell r="EK5">
            <v>21</v>
          </cell>
          <cell r="EL5">
            <v>22</v>
          </cell>
          <cell r="EM5">
            <v>23</v>
          </cell>
          <cell r="EN5">
            <v>24</v>
          </cell>
          <cell r="EO5">
            <v>25</v>
          </cell>
          <cell r="EW5">
            <v>1</v>
          </cell>
          <cell r="EX5">
            <v>2</v>
          </cell>
          <cell r="EY5">
            <v>3</v>
          </cell>
          <cell r="EZ5">
            <v>4</v>
          </cell>
          <cell r="FA5">
            <v>5</v>
          </cell>
          <cell r="FB5">
            <v>6</v>
          </cell>
          <cell r="FE5">
            <v>7</v>
          </cell>
          <cell r="FG5" t="str">
            <v>Distribution Deal</v>
          </cell>
        </row>
        <row r="6">
          <cell r="A6" t="str">
            <v>(in million)</v>
          </cell>
          <cell r="C6" t="str">
            <v xml:space="preserve">STAR WARS: EP.II-ATTACK CLONES </v>
          </cell>
          <cell r="D6" t="str">
            <v xml:space="preserve">LIKE MIKE </v>
          </cell>
          <cell r="E6" t="str">
            <v xml:space="preserve">KISS OF THE DRAGON </v>
          </cell>
          <cell r="F6" t="str">
            <v xml:space="preserve">PLANET OF THE APES </v>
          </cell>
          <cell r="G6" t="str">
            <v xml:space="preserve">THE DEEP END </v>
          </cell>
          <cell r="H6" t="str">
            <v xml:space="preserve">GLITTER </v>
          </cell>
          <cell r="I6" t="str">
            <v xml:space="preserve">DON'T SAY A WORD </v>
          </cell>
          <cell r="J6" t="str">
            <v xml:space="preserve">JOY RIDE </v>
          </cell>
          <cell r="K6" t="str">
            <v xml:space="preserve">FROM HELL </v>
          </cell>
          <cell r="L6" t="str">
            <v xml:space="preserve">WAKING LIFE </v>
          </cell>
          <cell r="M6" t="str">
            <v xml:space="preserve">SHALLOW HAL </v>
          </cell>
          <cell r="N6" t="str">
            <v xml:space="preserve">BLACK KNIGHT </v>
          </cell>
          <cell r="O6" t="str">
            <v xml:space="preserve">BEHIND ENEMY LINES </v>
          </cell>
          <cell r="P6" t="str">
            <v xml:space="preserve">JOE SOMEBODY </v>
          </cell>
          <cell r="Q6" t="str">
            <v xml:space="preserve">KUNG POW: ENTER THE FIST </v>
          </cell>
          <cell r="R6" t="str">
            <v>SUPER TROOPER</v>
          </cell>
          <cell r="S6" t="str">
            <v>KISSING JESSICA STEIN</v>
          </cell>
          <cell r="T6" t="str">
            <v xml:space="preserve">ICE AGE </v>
          </cell>
          <cell r="U6" t="str">
            <v xml:space="preserve">HIGH CRIMES </v>
          </cell>
          <cell r="V6" t="str">
            <v xml:space="preserve">LIFE OR SOMETHING LIKE IT </v>
          </cell>
          <cell r="W6" t="str">
            <v xml:space="preserve">UNFAITHFUL </v>
          </cell>
          <cell r="X6" t="str">
            <v xml:space="preserve">MINORITY REPORT </v>
          </cell>
          <cell r="Y6" t="str">
            <v>F2002 Release Average, excl. Star Wars</v>
          </cell>
          <cell r="Z6" t="str">
            <v>F2002 Slate Total,  excl. Star Wars</v>
          </cell>
          <cell r="AA6" t="str">
            <v>Release Timing Adjustment - Carry Over from 2001</v>
          </cell>
          <cell r="AB6" t="str">
            <v>Release Timing Adjustment - Carry Forward to 2003, incl. Star Wars</v>
          </cell>
          <cell r="AC6" t="str">
            <v>2002 Total Booked, incl. Star Wars</v>
          </cell>
          <cell r="AE6" t="str">
            <v>The Good Girl</v>
          </cell>
          <cell r="AF6" t="str">
            <v>One Hour Photo</v>
          </cell>
          <cell r="AG6" t="str">
            <v>Swimfan</v>
          </cell>
          <cell r="AH6" t="str">
            <v>The Banger Sisters</v>
          </cell>
          <cell r="AI6" t="str">
            <v>The Transporter</v>
          </cell>
          <cell r="AJ6" t="str">
            <v>Brown Sugar</v>
          </cell>
          <cell r="AK6" t="str">
            <v>Solaris</v>
          </cell>
          <cell r="AL6" t="str">
            <v>Drumline</v>
          </cell>
          <cell r="AM6" t="str">
            <v>Just Married</v>
          </cell>
          <cell r="AN6" t="str">
            <v>Antwone Fisher</v>
          </cell>
          <cell r="AO6" t="str">
            <v>Daredevil</v>
          </cell>
          <cell r="AP6" t="str">
            <v>Bend it Like Beckham</v>
          </cell>
          <cell r="AQ6" t="str">
            <v>The Good Thief</v>
          </cell>
          <cell r="AR6" t="str">
            <v>Phone Booth</v>
          </cell>
          <cell r="AS6" t="str">
            <v>Chasing Papi</v>
          </cell>
          <cell r="AT6" t="str">
            <v>X2: X-Men United</v>
          </cell>
          <cell r="AU6" t="str">
            <v>The Dancer Upstairs</v>
          </cell>
          <cell r="AV6" t="str">
            <v>Down with Love</v>
          </cell>
          <cell r="AW6" t="str">
            <v>L'auberge Espagnole</v>
          </cell>
          <cell r="AX6" t="str">
            <v>Wrong Turn</v>
          </cell>
          <cell r="AY6" t="str">
            <v>From Justin to Kelly</v>
          </cell>
          <cell r="AZ6" t="str">
            <v>28 Days Later</v>
          </cell>
          <cell r="BA6" t="str">
            <v>F2003 Release Average</v>
          </cell>
          <cell r="BB6" t="str">
            <v>2003 Slate Total</v>
          </cell>
          <cell r="BC6" t="str">
            <v>Release Timing Adjustment - Carry Over from 2002</v>
          </cell>
          <cell r="BD6" t="str">
            <v>Release Timing Adjustment - Carry Forward to 2004</v>
          </cell>
          <cell r="BE6" t="str">
            <v>2003 Total Booked</v>
          </cell>
          <cell r="BH6" t="str">
            <v>League of Ext. Gntlmn</v>
          </cell>
          <cell r="BI6" t="str">
            <v>LE DIVORCE</v>
          </cell>
          <cell r="BJ6" t="str">
            <v>THIRTEEN</v>
          </cell>
          <cell r="BK6" t="str">
            <v>THE ORDER</v>
          </cell>
          <cell r="BL6" t="str">
            <v xml:space="preserve">RUNAWAY JURY </v>
          </cell>
          <cell r="BM6" t="str">
            <v>MASTER AND COMMANDER</v>
          </cell>
          <cell r="BN6" t="str">
            <v>IN AMERICA</v>
          </cell>
          <cell r="BO6" t="str">
            <v>STUCK ON YOU</v>
          </cell>
          <cell r="BP6" t="str">
            <v>CHEAPER BY THE DOZEN</v>
          </cell>
          <cell r="BQ6" t="str">
            <v>Catch That Kid</v>
          </cell>
          <cell r="BR6" t="str">
            <v>The Dreamers</v>
          </cell>
          <cell r="BS6" t="str">
            <v>Welcome to Mooseport</v>
          </cell>
          <cell r="BT6" t="str">
            <v>Broken Lizard's Club Dread</v>
          </cell>
          <cell r="BU6" t="str">
            <v>Never Die Alone</v>
          </cell>
          <cell r="BV6" t="str">
            <v>Johnson Family Vacation</v>
          </cell>
          <cell r="BW6" t="str">
            <v>The Girl Next Door</v>
          </cell>
          <cell r="BX6" t="str">
            <v>Man on Fire</v>
          </cell>
          <cell r="BY6" t="str">
            <v>The Day After Tomorrow</v>
          </cell>
          <cell r="BZ6" t="str">
            <v>Garfield: The Movie</v>
          </cell>
          <cell r="CA6" t="str">
            <v>Napoleon Dynamite</v>
          </cell>
          <cell r="CB6" t="str">
            <v>Dodgeball</v>
          </cell>
          <cell r="CC6" t="str">
            <v>F2004 Release Average</v>
          </cell>
          <cell r="CD6" t="str">
            <v>2004 Slate Total</v>
          </cell>
          <cell r="CE6" t="str">
            <v>Release Timing Adjustment - Carry Over from 2003</v>
          </cell>
          <cell r="CF6" t="str">
            <v>Release Timing Adjustment - Carry Forward to 2005</v>
          </cell>
          <cell r="CG6" t="str">
            <v>2004 Total Booked</v>
          </cell>
          <cell r="CJ6" t="str">
            <v>The Clearing</v>
          </cell>
          <cell r="CK6" t="str">
            <v>I, Robot</v>
          </cell>
          <cell r="CL6" t="str">
            <v>Garden State</v>
          </cell>
          <cell r="CM6" t="str">
            <v>Alien vs. Predator</v>
          </cell>
          <cell r="CN6" t="str">
            <v>Paparazzi</v>
          </cell>
          <cell r="CO6" t="str">
            <v>First Daughter</v>
          </cell>
          <cell r="CP6" t="str">
            <v>I Heart Huckabees</v>
          </cell>
          <cell r="CQ6" t="str">
            <v>Taxi</v>
          </cell>
          <cell r="CR6" t="str">
            <v>Sideways</v>
          </cell>
          <cell r="CS6" t="str">
            <v>Kinsey</v>
          </cell>
          <cell r="CT6" t="str">
            <v>Flight of the Phoenix</v>
          </cell>
          <cell r="CU6" t="str">
            <v>Fat Albert</v>
          </cell>
          <cell r="CV6" t="str">
            <v>Elektra</v>
          </cell>
          <cell r="CW6" t="str">
            <v>Hide and Seek</v>
          </cell>
          <cell r="CX6" t="str">
            <v>Because of Winn-Dixie</v>
          </cell>
          <cell r="CY6" t="str">
            <v>Millions</v>
          </cell>
          <cell r="CZ6" t="str">
            <v>Robots</v>
          </cell>
          <cell r="DA6" t="str">
            <v>Melinda and Melinda</v>
          </cell>
          <cell r="DB6" t="str">
            <v>Fever Pitch</v>
          </cell>
          <cell r="DC6" t="str">
            <v>Kingdom of Heaven</v>
          </cell>
          <cell r="DE6" t="str">
            <v>Star Wars: Revenge of the Sith</v>
          </cell>
          <cell r="DF6" t="str">
            <v>Mr. and Mrs. Smith</v>
          </cell>
          <cell r="DH6" t="str">
            <v>F2005 Release Average</v>
          </cell>
          <cell r="DI6" t="str">
            <v>2005 Slate Total</v>
          </cell>
          <cell r="DJ6" t="str">
            <v>Release Timing Adjustment - Carry Over from 2004</v>
          </cell>
          <cell r="DK6" t="str">
            <v>Release Timing Adjustment - Carry Forward to 2006</v>
          </cell>
          <cell r="DL6" t="str">
            <v>2005 Total Booked</v>
          </cell>
          <cell r="DN6" t="str">
            <v>2005 Total Booked</v>
          </cell>
          <cell r="DO6" t="str">
            <v>Release Timing Adjustment - Carry Forward to 2006</v>
          </cell>
          <cell r="DQ6" t="str">
            <v>Rebound</v>
          </cell>
          <cell r="DR6" t="str">
            <v>Fantastic Four</v>
          </cell>
          <cell r="DS6" t="str">
            <v>Supercross</v>
          </cell>
          <cell r="DT6" t="str">
            <v>The Transporter 2</v>
          </cell>
          <cell r="DU6" t="str">
            <v>Roll Bounce</v>
          </cell>
          <cell r="DV6" t="str">
            <v>Little Manhattan</v>
          </cell>
          <cell r="DW6" t="str">
            <v>In Her Shoes</v>
          </cell>
          <cell r="DX6" t="str">
            <v>Stay</v>
          </cell>
          <cell r="DY6" t="str">
            <v>Walk the Line</v>
          </cell>
          <cell r="DZ6" t="str">
            <v>The Family Stone</v>
          </cell>
          <cell r="EA6" t="str">
            <v>Cheaper by the Dozen (2)</v>
          </cell>
          <cell r="EB6" t="str">
            <v>Grandma's Boy</v>
          </cell>
          <cell r="EC6" t="str">
            <v>Tristan and Isolde</v>
          </cell>
          <cell r="ED6" t="str">
            <v>Big Momma's House (2)</v>
          </cell>
          <cell r="EE6" t="str">
            <v>Aquamarine</v>
          </cell>
          <cell r="EF6" t="str">
            <v>Date Movie</v>
          </cell>
          <cell r="EG6" t="str">
            <v>The Hills Have Eyes</v>
          </cell>
          <cell r="EH6" t="str">
            <v>Thank you for Smoking</v>
          </cell>
          <cell r="EI6" t="str">
            <v>Ice Age 2: The Meldown</v>
          </cell>
          <cell r="EJ6" t="str">
            <v>The Sentinel</v>
          </cell>
          <cell r="EK6" t="str">
            <v>Just My Luck</v>
          </cell>
          <cell r="EL6" t="str">
            <v>X-Men 3</v>
          </cell>
          <cell r="EM6" t="str">
            <v>Pathfinder</v>
          </cell>
          <cell r="EN6" t="str">
            <v>Garfield 2</v>
          </cell>
          <cell r="EO6" t="str">
            <v>The Devil Wears Prada</v>
          </cell>
          <cell r="EQ6" t="str">
            <v>F2006 Release Average</v>
          </cell>
          <cell r="ER6" t="str">
            <v>2006 Slate Total</v>
          </cell>
          <cell r="ES6" t="str">
            <v>Release Timing Adjustment - Carry Over from 2005</v>
          </cell>
          <cell r="ET6" t="str">
            <v>Release Timing Adjustment - Carry Forward to 2006</v>
          </cell>
          <cell r="EU6" t="str">
            <v>2006 Total Booked</v>
          </cell>
          <cell r="EW6" t="str">
            <v>My Super Ex-Girlfriend</v>
          </cell>
          <cell r="EX6" t="str">
            <v>John Tucker Must Die</v>
          </cell>
          <cell r="EY6" t="str">
            <v>The Marine</v>
          </cell>
          <cell r="EZ6" t="str">
            <v>Flicka</v>
          </cell>
          <cell r="FA6" t="str">
            <v>Borat</v>
          </cell>
          <cell r="FB6" t="str">
            <v>A Good Year</v>
          </cell>
          <cell r="FC6" t="str">
            <v>Deck The Halls</v>
          </cell>
          <cell r="FD6" t="str">
            <v>Eragon</v>
          </cell>
          <cell r="FE6" t="str">
            <v>Night at the Museum</v>
          </cell>
          <cell r="FG6" t="str">
            <v>Everyone's Hero</v>
          </cell>
          <cell r="FI6" t="str">
            <v>2007 Total Booked</v>
          </cell>
          <cell r="FJ6" t="str">
            <v>Release Timing Adjustment - Carry Forward to 2006</v>
          </cell>
          <cell r="FL6" t="str">
            <v>F2002 Slate Total (excl. Star Wars)</v>
          </cell>
          <cell r="FM6" t="str">
            <v>F2003 Slate Total</v>
          </cell>
          <cell r="FN6" t="str">
            <v>F2004 Slate Total</v>
          </cell>
          <cell r="FO6" t="str">
            <v>F2005 Slate Total (excl. Star Wars)</v>
          </cell>
          <cell r="FQ6" t="str">
            <v>F2002 Slate Average (excl. Star Wars)</v>
          </cell>
          <cell r="FR6" t="str">
            <v>F2003 Slate Average</v>
          </cell>
          <cell r="FS6" t="str">
            <v>F2004 Slate Average</v>
          </cell>
          <cell r="FT6" t="str">
            <v>F2005 Slate Average  (excl. Star Wars)</v>
          </cell>
          <cell r="FU6" t="str">
            <v>F2006 Slate Average</v>
          </cell>
          <cell r="FW6" t="str">
            <v>Epic Movie</v>
          </cell>
          <cell r="FX6" t="str">
            <v>Reno 911: Miami</v>
          </cell>
          <cell r="FY6" t="str">
            <v>Firehouse Dog</v>
          </cell>
          <cell r="FZ6" t="str">
            <v>Pathfinder</v>
          </cell>
          <cell r="GA6" t="str">
            <v>Fantastic Four: Rise of the Silver Surfer</v>
          </cell>
          <cell r="GB6" t="str">
            <v>Live Free or Die Hard</v>
          </cell>
          <cell r="GC6" t="str">
            <v>The Simpsons Movie</v>
          </cell>
        </row>
        <row r="7">
          <cell r="A7" t="str">
            <v>Partner</v>
          </cell>
          <cell r="C7" t="str">
            <v>Lucas Films</v>
          </cell>
          <cell r="I7" t="str">
            <v>New Regency</v>
          </cell>
          <cell r="N7" t="str">
            <v>New Regency</v>
          </cell>
          <cell r="W7" t="str">
            <v>New Regency</v>
          </cell>
          <cell r="X7" t="str">
            <v>Dreamworks</v>
          </cell>
          <cell r="AN7" t="str">
            <v>Searchlight</v>
          </cell>
          <cell r="AO7" t="str">
            <v>Regency</v>
          </cell>
          <cell r="AP7" t="str">
            <v>Searchlight</v>
          </cell>
          <cell r="AQ7" t="str">
            <v>Searchlight</v>
          </cell>
          <cell r="AU7" t="str">
            <v>Searchlight</v>
          </cell>
          <cell r="AV7" t="str">
            <v>Regency</v>
          </cell>
          <cell r="AW7" t="str">
            <v>Searchlight</v>
          </cell>
          <cell r="AZ7" t="str">
            <v>Searchlight</v>
          </cell>
          <cell r="BH7" t="str">
            <v>JV, "Shared Pot'</v>
          </cell>
          <cell r="BJ7" t="str">
            <v>Fox Searchlight</v>
          </cell>
          <cell r="BK7" t="str">
            <v>FOX</v>
          </cell>
          <cell r="BL7" t="str">
            <v>Distribution</v>
          </cell>
          <cell r="BM7" t="str">
            <v>JV, "Shared Pot'</v>
          </cell>
          <cell r="BN7" t="str">
            <v>FOX</v>
          </cell>
          <cell r="BO7" t="str">
            <v>FOX</v>
          </cell>
          <cell r="BP7" t="str">
            <v>FOX</v>
          </cell>
          <cell r="BQ7" t="str">
            <v>FOX</v>
          </cell>
          <cell r="BR7" t="str">
            <v>Fox Searchlight</v>
          </cell>
          <cell r="BS7" t="str">
            <v>FOX</v>
          </cell>
          <cell r="BT7" t="str">
            <v>Fox Searchlight</v>
          </cell>
          <cell r="BU7" t="str">
            <v>Fox Searchlight</v>
          </cell>
          <cell r="BW7" t="str">
            <v>Distribution</v>
          </cell>
          <cell r="CA7" t="str">
            <v>Fox Searchlight</v>
          </cell>
          <cell r="CJ7" t="str">
            <v>Fox Searchlight</v>
          </cell>
          <cell r="CL7" t="str">
            <v>JV: Miramax</v>
          </cell>
          <cell r="CY7" t="str">
            <v>Fox Searchlight</v>
          </cell>
          <cell r="DA7" t="str">
            <v>Fox Searchlight</v>
          </cell>
          <cell r="DC7" t="str">
            <v>JV</v>
          </cell>
          <cell r="DE7" t="str">
            <v>Distr.: Lucas Films</v>
          </cell>
          <cell r="DF7" t="str">
            <v>Distribution</v>
          </cell>
        </row>
        <row r="8">
          <cell r="A8" t="str">
            <v>Theatrical</v>
          </cell>
        </row>
        <row r="9">
          <cell r="A9" t="str">
            <v>Days in release</v>
          </cell>
        </row>
        <row r="10">
          <cell r="A10" t="str">
            <v>Domestic Release Date</v>
          </cell>
          <cell r="C10">
            <v>37392</v>
          </cell>
          <cell r="D10">
            <v>37440</v>
          </cell>
          <cell r="E10">
            <v>37078</v>
          </cell>
          <cell r="F10">
            <v>37099</v>
          </cell>
          <cell r="G10">
            <v>37113</v>
          </cell>
          <cell r="H10">
            <v>37155</v>
          </cell>
          <cell r="I10">
            <v>37162</v>
          </cell>
          <cell r="J10">
            <v>37169</v>
          </cell>
          <cell r="K10">
            <v>37183</v>
          </cell>
          <cell r="L10">
            <v>37183</v>
          </cell>
          <cell r="M10">
            <v>37204</v>
          </cell>
          <cell r="N10">
            <v>37216</v>
          </cell>
          <cell r="O10">
            <v>37225</v>
          </cell>
          <cell r="P10">
            <v>37246</v>
          </cell>
          <cell r="Q10">
            <v>37281</v>
          </cell>
          <cell r="R10">
            <v>37302</v>
          </cell>
          <cell r="S10">
            <v>37328</v>
          </cell>
          <cell r="T10">
            <v>37330</v>
          </cell>
          <cell r="U10">
            <v>37351</v>
          </cell>
          <cell r="V10">
            <v>37372</v>
          </cell>
          <cell r="W10">
            <v>37386</v>
          </cell>
          <cell r="X10">
            <v>37428</v>
          </cell>
          <cell r="AE10">
            <v>37475</v>
          </cell>
          <cell r="AF10">
            <v>37489</v>
          </cell>
          <cell r="AG10">
            <v>37505</v>
          </cell>
          <cell r="AH10">
            <v>37519</v>
          </cell>
          <cell r="AI10">
            <v>37540</v>
          </cell>
          <cell r="AJ10">
            <v>37540</v>
          </cell>
          <cell r="AK10">
            <v>37587</v>
          </cell>
          <cell r="AL10">
            <v>37603</v>
          </cell>
          <cell r="AM10">
            <v>37631</v>
          </cell>
          <cell r="AN10">
            <v>37631</v>
          </cell>
          <cell r="AO10">
            <v>37666</v>
          </cell>
          <cell r="AP10">
            <v>37692</v>
          </cell>
          <cell r="AQ10">
            <v>37713</v>
          </cell>
          <cell r="AR10">
            <v>37715</v>
          </cell>
          <cell r="AS10">
            <v>37727</v>
          </cell>
          <cell r="AT10">
            <v>37743</v>
          </cell>
          <cell r="AU10">
            <v>37743</v>
          </cell>
          <cell r="AV10">
            <v>37750</v>
          </cell>
          <cell r="AW10">
            <v>37757</v>
          </cell>
          <cell r="AX10">
            <v>37771</v>
          </cell>
          <cell r="AY10">
            <v>37792</v>
          </cell>
          <cell r="AZ10">
            <v>37799</v>
          </cell>
          <cell r="BH10">
            <v>37813</v>
          </cell>
          <cell r="BI10">
            <v>37841</v>
          </cell>
          <cell r="BJ10">
            <v>37853</v>
          </cell>
          <cell r="BK10">
            <v>37869</v>
          </cell>
          <cell r="BL10">
            <v>37911</v>
          </cell>
          <cell r="BM10">
            <v>37939</v>
          </cell>
          <cell r="BN10">
            <v>37951</v>
          </cell>
          <cell r="BO10">
            <v>37967</v>
          </cell>
          <cell r="BP10">
            <v>37980</v>
          </cell>
          <cell r="BQ10">
            <v>38023</v>
          </cell>
          <cell r="BR10">
            <v>38023</v>
          </cell>
          <cell r="BS10">
            <v>38037</v>
          </cell>
          <cell r="BT10">
            <v>38044</v>
          </cell>
          <cell r="BU10">
            <v>38072</v>
          </cell>
          <cell r="BV10">
            <v>38084</v>
          </cell>
          <cell r="BW10">
            <v>38086</v>
          </cell>
          <cell r="BX10">
            <v>38098</v>
          </cell>
          <cell r="BY10">
            <v>38135</v>
          </cell>
          <cell r="BZ10">
            <v>38149</v>
          </cell>
          <cell r="CA10">
            <v>38149</v>
          </cell>
          <cell r="CB10">
            <v>38156</v>
          </cell>
          <cell r="CJ10">
            <v>38170</v>
          </cell>
          <cell r="CK10">
            <v>38184</v>
          </cell>
          <cell r="CL10">
            <v>38196</v>
          </cell>
          <cell r="CM10">
            <v>38212</v>
          </cell>
          <cell r="CN10">
            <v>38233</v>
          </cell>
          <cell r="CO10">
            <v>38254</v>
          </cell>
          <cell r="CP10">
            <v>38261</v>
          </cell>
          <cell r="CQ10">
            <v>38266</v>
          </cell>
          <cell r="CR10">
            <v>38282</v>
          </cell>
          <cell r="CS10">
            <v>38303</v>
          </cell>
          <cell r="CT10">
            <v>38338</v>
          </cell>
          <cell r="CU10">
            <v>38346</v>
          </cell>
          <cell r="CV10">
            <v>38366</v>
          </cell>
          <cell r="CW10">
            <v>38380</v>
          </cell>
          <cell r="CX10">
            <v>38401</v>
          </cell>
          <cell r="CY10">
            <v>38422</v>
          </cell>
          <cell r="CZ10">
            <v>38422</v>
          </cell>
          <cell r="DA10">
            <v>38429</v>
          </cell>
          <cell r="DB10">
            <v>38450</v>
          </cell>
          <cell r="DC10">
            <v>38478</v>
          </cell>
          <cell r="DE10">
            <v>38491</v>
          </cell>
          <cell r="DF10">
            <v>38513</v>
          </cell>
          <cell r="DQ10">
            <v>38534</v>
          </cell>
          <cell r="DR10">
            <v>38541</v>
          </cell>
          <cell r="DS10">
            <v>38583</v>
          </cell>
          <cell r="DT10">
            <v>38597</v>
          </cell>
          <cell r="DU10">
            <v>38618</v>
          </cell>
          <cell r="DV10">
            <v>38625</v>
          </cell>
          <cell r="DW10">
            <v>38632</v>
          </cell>
          <cell r="DX10">
            <v>38646</v>
          </cell>
          <cell r="DY10">
            <v>38674</v>
          </cell>
          <cell r="DZ10">
            <v>38702</v>
          </cell>
          <cell r="EA10">
            <v>38707</v>
          </cell>
          <cell r="EB10">
            <v>38723</v>
          </cell>
          <cell r="EC10">
            <v>38730</v>
          </cell>
          <cell r="ED10">
            <v>38744</v>
          </cell>
          <cell r="EE10">
            <v>38751</v>
          </cell>
          <cell r="EF10">
            <v>38758</v>
          </cell>
          <cell r="EG10">
            <v>38758</v>
          </cell>
          <cell r="EH10">
            <v>38765</v>
          </cell>
          <cell r="EI10">
            <v>38807</v>
          </cell>
          <cell r="EJ10">
            <v>38828</v>
          </cell>
          <cell r="EK10">
            <v>38849</v>
          </cell>
          <cell r="EL10">
            <v>38863</v>
          </cell>
          <cell r="EM10">
            <v>39094</v>
          </cell>
          <cell r="EN10">
            <v>38891</v>
          </cell>
          <cell r="EO10">
            <v>38898</v>
          </cell>
          <cell r="EW10">
            <v>38899</v>
          </cell>
          <cell r="EX10">
            <v>38926</v>
          </cell>
          <cell r="EY10">
            <v>39003</v>
          </cell>
          <cell r="EZ10">
            <v>39010</v>
          </cell>
          <cell r="FA10">
            <v>39024</v>
          </cell>
          <cell r="FB10">
            <v>39031</v>
          </cell>
          <cell r="FC10">
            <v>39043</v>
          </cell>
          <cell r="FD10">
            <v>39066</v>
          </cell>
          <cell r="FE10">
            <v>39073</v>
          </cell>
          <cell r="FG10">
            <v>38975</v>
          </cell>
          <cell r="FW10">
            <v>39108</v>
          </cell>
          <cell r="FX10">
            <v>39136</v>
          </cell>
          <cell r="FY10">
            <v>39176</v>
          </cell>
          <cell r="FZ10">
            <v>39192</v>
          </cell>
          <cell r="GA10">
            <v>39248</v>
          </cell>
          <cell r="GB10">
            <v>39262</v>
          </cell>
          <cell r="GC10">
            <v>39290</v>
          </cell>
        </row>
        <row r="11">
          <cell r="A11" t="str">
            <v>Current Domestic Box Office</v>
          </cell>
          <cell r="DW11">
            <v>87.428571428571431</v>
          </cell>
          <cell r="DX11">
            <v>85.428571428571431</v>
          </cell>
          <cell r="DY11">
            <v>81.428571428571431</v>
          </cell>
          <cell r="DZ11">
            <v>77.428571428571431</v>
          </cell>
          <cell r="EA11">
            <v>76.714285714285708</v>
          </cell>
          <cell r="EB11">
            <v>74.428571428571431</v>
          </cell>
          <cell r="EC11">
            <v>73.428571428571431</v>
          </cell>
          <cell r="ED11">
            <v>71.428571428571431</v>
          </cell>
          <cell r="EE11">
            <v>70.428571428571431</v>
          </cell>
          <cell r="EF11">
            <v>69.428571428571431</v>
          </cell>
          <cell r="EG11">
            <v>69.428571428571431</v>
          </cell>
          <cell r="EH11">
            <v>68.428571428571431</v>
          </cell>
          <cell r="EI11">
            <v>62.428571428571431</v>
          </cell>
          <cell r="EJ11">
            <v>59.428571428571431</v>
          </cell>
          <cell r="EK11">
            <v>56.428571428571431</v>
          </cell>
          <cell r="EL11">
            <v>54.428571428571431</v>
          </cell>
          <cell r="EN11">
            <v>50.428571428571431</v>
          </cell>
          <cell r="EO11">
            <v>49.428571428571431</v>
          </cell>
          <cell r="EW11">
            <v>49.285714285714285</v>
          </cell>
          <cell r="EX11">
            <v>45.428571428571431</v>
          </cell>
          <cell r="EY11">
            <v>34.428571428571431</v>
          </cell>
          <cell r="EZ11">
            <v>33.428571428571431</v>
          </cell>
          <cell r="FA11">
            <v>31.428571428571427</v>
          </cell>
          <cell r="FB11">
            <v>30.428571428571427</v>
          </cell>
          <cell r="FC11">
            <v>28.714285714285715</v>
          </cell>
          <cell r="FD11">
            <v>25.428571428571427</v>
          </cell>
          <cell r="FE11">
            <v>24.428571428571427</v>
          </cell>
          <cell r="FG11">
            <v>38.428571428571431</v>
          </cell>
        </row>
        <row r="12">
          <cell r="A12" t="str">
            <v>Current International Box Office</v>
          </cell>
        </row>
        <row r="13">
          <cell r="A13" t="str">
            <v>Final Domestic Box Office</v>
          </cell>
          <cell r="C13">
            <v>310.60000000000002</v>
          </cell>
          <cell r="D13">
            <v>51.4</v>
          </cell>
          <cell r="E13">
            <v>36.799999999999997</v>
          </cell>
          <cell r="F13">
            <v>180</v>
          </cell>
          <cell r="G13">
            <v>8.8000000000000007</v>
          </cell>
          <cell r="H13">
            <v>4.3</v>
          </cell>
          <cell r="I13">
            <v>55</v>
          </cell>
          <cell r="J13">
            <v>22</v>
          </cell>
          <cell r="K13">
            <v>31.6</v>
          </cell>
          <cell r="L13">
            <v>2.9</v>
          </cell>
          <cell r="M13">
            <v>70.8</v>
          </cell>
          <cell r="N13">
            <v>33.4</v>
          </cell>
          <cell r="O13">
            <v>58.9</v>
          </cell>
          <cell r="P13">
            <v>22.8</v>
          </cell>
          <cell r="Q13">
            <v>16</v>
          </cell>
          <cell r="R13">
            <v>18.5</v>
          </cell>
          <cell r="S13">
            <v>7</v>
          </cell>
          <cell r="T13">
            <v>176.4</v>
          </cell>
          <cell r="U13">
            <v>41.5</v>
          </cell>
          <cell r="V13">
            <v>14.5</v>
          </cell>
          <cell r="W13">
            <v>52.8</v>
          </cell>
          <cell r="X13">
            <v>132</v>
          </cell>
          <cell r="Y13">
            <v>49.399999999999991</v>
          </cell>
          <cell r="Z13">
            <v>1037.3999999999999</v>
          </cell>
          <cell r="AE13">
            <v>14</v>
          </cell>
          <cell r="AF13">
            <v>31.6</v>
          </cell>
          <cell r="AG13">
            <v>28.6</v>
          </cell>
          <cell r="AH13">
            <v>30.3</v>
          </cell>
          <cell r="AI13">
            <v>25.3</v>
          </cell>
          <cell r="AJ13">
            <v>27.4</v>
          </cell>
          <cell r="AK13">
            <v>15</v>
          </cell>
          <cell r="AL13">
            <v>56.4</v>
          </cell>
          <cell r="AM13">
            <v>56.1</v>
          </cell>
          <cell r="AN13">
            <v>21.1</v>
          </cell>
          <cell r="AO13">
            <v>102.5</v>
          </cell>
          <cell r="AP13">
            <v>32.5</v>
          </cell>
          <cell r="AQ13">
            <v>3.5</v>
          </cell>
          <cell r="AR13">
            <v>46.6</v>
          </cell>
          <cell r="AS13">
            <v>6.1</v>
          </cell>
          <cell r="AT13">
            <v>215</v>
          </cell>
          <cell r="AU13">
            <v>2.4</v>
          </cell>
          <cell r="AV13">
            <v>20.3</v>
          </cell>
          <cell r="AW13">
            <v>3.9</v>
          </cell>
          <cell r="AX13">
            <v>15.4</v>
          </cell>
          <cell r="AY13">
            <v>4.9000000000000004</v>
          </cell>
          <cell r="AZ13">
            <v>45.1</v>
          </cell>
          <cell r="BA13">
            <v>36.545454545454547</v>
          </cell>
          <cell r="BB13">
            <v>804</v>
          </cell>
          <cell r="BH13">
            <v>66.5</v>
          </cell>
          <cell r="BI13">
            <v>9.1</v>
          </cell>
          <cell r="BJ13">
            <v>4.5999999999999996</v>
          </cell>
          <cell r="BK13">
            <v>7.7</v>
          </cell>
          <cell r="BL13">
            <v>49.4</v>
          </cell>
          <cell r="BM13">
            <v>93.9</v>
          </cell>
          <cell r="BN13">
            <v>15.5</v>
          </cell>
          <cell r="BO13">
            <v>33.799999999999997</v>
          </cell>
          <cell r="BP13">
            <v>138.6</v>
          </cell>
          <cell r="BQ13">
            <v>16.7</v>
          </cell>
          <cell r="BR13">
            <v>2.5</v>
          </cell>
          <cell r="BS13">
            <v>14.5</v>
          </cell>
          <cell r="BT13">
            <v>5</v>
          </cell>
          <cell r="BU13">
            <v>5.6</v>
          </cell>
          <cell r="BV13">
            <v>31.1</v>
          </cell>
          <cell r="BW13">
            <v>14.6</v>
          </cell>
          <cell r="BX13">
            <v>77.599999999999994</v>
          </cell>
          <cell r="BY13">
            <v>185</v>
          </cell>
          <cell r="BZ13">
            <v>74</v>
          </cell>
          <cell r="CA13">
            <v>44</v>
          </cell>
          <cell r="CB13">
            <v>114</v>
          </cell>
          <cell r="CC13">
            <v>47.795238095238098</v>
          </cell>
          <cell r="CD13">
            <v>1003.7</v>
          </cell>
          <cell r="CJ13">
            <v>5.7</v>
          </cell>
          <cell r="CK13">
            <v>144.80000000000001</v>
          </cell>
          <cell r="CL13">
            <v>26.8</v>
          </cell>
          <cell r="CM13">
            <v>80.3</v>
          </cell>
          <cell r="CN13">
            <v>15.7</v>
          </cell>
          <cell r="CO13">
            <v>9.1</v>
          </cell>
          <cell r="CP13">
            <v>12.8</v>
          </cell>
          <cell r="CQ13">
            <v>36.6</v>
          </cell>
          <cell r="CR13">
            <v>71.5</v>
          </cell>
          <cell r="CS13">
            <v>10.199999999999999</v>
          </cell>
          <cell r="CT13">
            <v>21</v>
          </cell>
          <cell r="CU13">
            <v>48</v>
          </cell>
          <cell r="CV13">
            <v>24</v>
          </cell>
          <cell r="CW13">
            <v>51.1</v>
          </cell>
          <cell r="CX13">
            <v>32.200000000000003</v>
          </cell>
          <cell r="CY13">
            <v>6.6</v>
          </cell>
          <cell r="CZ13">
            <v>128.19999999999999</v>
          </cell>
          <cell r="DA13">
            <v>3.8</v>
          </cell>
          <cell r="DB13">
            <v>42.1</v>
          </cell>
          <cell r="DC13">
            <v>47.4</v>
          </cell>
          <cell r="DE13">
            <v>380</v>
          </cell>
          <cell r="DF13">
            <v>185.1</v>
          </cell>
          <cell r="DH13">
            <v>40.895000000000003</v>
          </cell>
          <cell r="DI13">
            <v>817.90000000000009</v>
          </cell>
          <cell r="DQ13">
            <v>16.8</v>
          </cell>
          <cell r="DR13">
            <v>154.69999999999999</v>
          </cell>
          <cell r="DS13">
            <v>3.1</v>
          </cell>
          <cell r="DT13">
            <v>43.1</v>
          </cell>
          <cell r="DU13">
            <v>17.399999999999999</v>
          </cell>
          <cell r="DV13">
            <v>0.4</v>
          </cell>
          <cell r="DW13">
            <v>32.799999999999997</v>
          </cell>
          <cell r="DX13">
            <v>3.6</v>
          </cell>
          <cell r="DY13">
            <v>119</v>
          </cell>
          <cell r="DZ13">
            <v>60.1</v>
          </cell>
          <cell r="EA13">
            <v>82.3</v>
          </cell>
          <cell r="EB13">
            <v>6.1</v>
          </cell>
          <cell r="EC13">
            <v>14.7</v>
          </cell>
          <cell r="ED13">
            <v>69</v>
          </cell>
          <cell r="EE13">
            <v>19</v>
          </cell>
          <cell r="EF13">
            <v>49</v>
          </cell>
          <cell r="EG13">
            <v>37</v>
          </cell>
          <cell r="EH13">
            <v>2</v>
          </cell>
          <cell r="EI13">
            <v>200</v>
          </cell>
          <cell r="EJ13">
            <v>36.28</v>
          </cell>
          <cell r="EK13">
            <v>17.326000000000001</v>
          </cell>
          <cell r="EL13">
            <v>234.351</v>
          </cell>
          <cell r="EM13">
            <v>40.895000000000003</v>
          </cell>
          <cell r="EN13">
            <v>28.425999999999998</v>
          </cell>
          <cell r="EO13">
            <v>123.322</v>
          </cell>
          <cell r="EQ13">
            <v>56.428000000000011</v>
          </cell>
          <cell r="ER13">
            <v>1410.7000000000003</v>
          </cell>
          <cell r="EW13">
            <v>22.53</v>
          </cell>
          <cell r="EX13">
            <v>40.975000000000001</v>
          </cell>
          <cell r="EY13">
            <v>18.512</v>
          </cell>
          <cell r="EZ13">
            <v>21</v>
          </cell>
          <cell r="FA13">
            <v>128.48500000000001</v>
          </cell>
          <cell r="FB13">
            <v>7.4329999999999998</v>
          </cell>
          <cell r="FC13">
            <v>35.093000000000004</v>
          </cell>
          <cell r="FD13">
            <v>74.721999999999994</v>
          </cell>
          <cell r="FE13">
            <v>243.607</v>
          </cell>
          <cell r="FG13">
            <v>14.523</v>
          </cell>
          <cell r="FL13">
            <v>1037.3999999999999</v>
          </cell>
          <cell r="FM13">
            <v>804</v>
          </cell>
          <cell r="FN13">
            <v>1003.7</v>
          </cell>
          <cell r="FO13">
            <v>817.90000000000009</v>
          </cell>
          <cell r="FQ13">
            <v>49.399999999999991</v>
          </cell>
          <cell r="FR13">
            <v>36.545454545454547</v>
          </cell>
          <cell r="FS13">
            <v>47.795238095238098</v>
          </cell>
          <cell r="FT13">
            <v>40.895000000000003</v>
          </cell>
          <cell r="FW13">
            <v>39.219000000000001</v>
          </cell>
          <cell r="FX13">
            <v>19.680372999999999</v>
          </cell>
        </row>
        <row r="14">
          <cell r="A14" t="str">
            <v>Final International Box Office</v>
          </cell>
          <cell r="C14">
            <v>338.8</v>
          </cell>
          <cell r="D14">
            <v>10.8</v>
          </cell>
          <cell r="E14">
            <v>27.6</v>
          </cell>
          <cell r="F14">
            <v>182.2</v>
          </cell>
          <cell r="G14">
            <v>1.2</v>
          </cell>
          <cell r="H14">
            <v>1</v>
          </cell>
          <cell r="I14">
            <v>45</v>
          </cell>
          <cell r="J14">
            <v>14.7</v>
          </cell>
          <cell r="K14">
            <v>43</v>
          </cell>
          <cell r="L14">
            <v>0.3</v>
          </cell>
          <cell r="M14">
            <v>70.2</v>
          </cell>
          <cell r="N14">
            <v>6.5</v>
          </cell>
          <cell r="O14">
            <v>32.9</v>
          </cell>
          <cell r="P14">
            <v>1.7</v>
          </cell>
          <cell r="Q14">
            <v>1</v>
          </cell>
          <cell r="R14">
            <v>4.7</v>
          </cell>
          <cell r="S14">
            <v>3</v>
          </cell>
          <cell r="T14">
            <v>206.3</v>
          </cell>
          <cell r="U14">
            <v>22.2</v>
          </cell>
          <cell r="V14">
            <v>2.4</v>
          </cell>
          <cell r="W14">
            <v>66.400000000000006</v>
          </cell>
          <cell r="X14">
            <v>226.3</v>
          </cell>
          <cell r="Y14">
            <v>46.161904761904758</v>
          </cell>
          <cell r="Z14">
            <v>969.39999999999986</v>
          </cell>
          <cell r="AE14">
            <v>2.8</v>
          </cell>
          <cell r="AF14">
            <v>20.6</v>
          </cell>
          <cell r="AG14">
            <v>5.8</v>
          </cell>
          <cell r="AH14">
            <v>7.8</v>
          </cell>
          <cell r="AI14">
            <v>18.600000000000001</v>
          </cell>
          <cell r="AJ14">
            <v>0.95</v>
          </cell>
          <cell r="AK14">
            <v>15</v>
          </cell>
          <cell r="AL14">
            <v>1.2</v>
          </cell>
          <cell r="AM14">
            <v>45.4</v>
          </cell>
          <cell r="AN14">
            <v>2.2999999999999998</v>
          </cell>
          <cell r="AO14">
            <v>76.599999999999994</v>
          </cell>
          <cell r="AP14">
            <v>44</v>
          </cell>
          <cell r="AQ14">
            <v>2.1</v>
          </cell>
          <cell r="AR14">
            <v>51.3</v>
          </cell>
          <cell r="AS14">
            <v>6.5</v>
          </cell>
          <cell r="AT14">
            <v>191.5</v>
          </cell>
          <cell r="AU14">
            <v>2.2000000000000002</v>
          </cell>
          <cell r="AV14">
            <v>19.2</v>
          </cell>
          <cell r="AW14">
            <v>3.6</v>
          </cell>
          <cell r="AX14">
            <v>12.9</v>
          </cell>
          <cell r="AY14">
            <v>0</v>
          </cell>
          <cell r="AZ14">
            <v>37.6</v>
          </cell>
          <cell r="BA14">
            <v>25.815909090909091</v>
          </cell>
          <cell r="BB14">
            <v>567.95000000000005</v>
          </cell>
          <cell r="BH14">
            <v>112.8</v>
          </cell>
          <cell r="BI14">
            <v>3.9</v>
          </cell>
          <cell r="BJ14">
            <v>5.5</v>
          </cell>
          <cell r="BK14">
            <v>3.9</v>
          </cell>
          <cell r="BL14">
            <v>30.7</v>
          </cell>
          <cell r="BM14">
            <v>116.6</v>
          </cell>
          <cell r="BN14">
            <v>9.8000000000000007</v>
          </cell>
          <cell r="BO14">
            <v>32</v>
          </cell>
          <cell r="BP14">
            <v>51.6</v>
          </cell>
          <cell r="BQ14">
            <v>1.6E-2</v>
          </cell>
          <cell r="BR14">
            <v>11.3</v>
          </cell>
          <cell r="BS14">
            <v>0.08</v>
          </cell>
          <cell r="BT14">
            <v>2.4</v>
          </cell>
          <cell r="BU14">
            <v>0</v>
          </cell>
          <cell r="BV14">
            <v>7.0000000000000007E-2</v>
          </cell>
          <cell r="BW14">
            <v>6</v>
          </cell>
          <cell r="BX14">
            <v>40</v>
          </cell>
          <cell r="BY14">
            <v>356</v>
          </cell>
          <cell r="BZ14">
            <v>120</v>
          </cell>
          <cell r="CA14">
            <v>0</v>
          </cell>
          <cell r="CB14">
            <v>54</v>
          </cell>
          <cell r="CC14">
            <v>45.555523809523805</v>
          </cell>
          <cell r="CD14">
            <v>956.66599999999994</v>
          </cell>
          <cell r="CJ14">
            <v>6.7</v>
          </cell>
          <cell r="CK14">
            <v>202.4</v>
          </cell>
          <cell r="CL14">
            <v>9</v>
          </cell>
          <cell r="CM14">
            <v>90.9</v>
          </cell>
          <cell r="CN14">
            <v>0.3</v>
          </cell>
          <cell r="CO14">
            <v>1.4</v>
          </cell>
          <cell r="CP14">
            <v>2.8</v>
          </cell>
          <cell r="CQ14">
            <v>31.6</v>
          </cell>
          <cell r="CR14">
            <v>37.299999999999997</v>
          </cell>
          <cell r="CS14">
            <v>4.5</v>
          </cell>
          <cell r="CT14">
            <v>7.9</v>
          </cell>
          <cell r="CU14">
            <v>0.4</v>
          </cell>
          <cell r="CV14">
            <v>32</v>
          </cell>
          <cell r="CW14">
            <v>71.5</v>
          </cell>
          <cell r="CX14">
            <v>0.02</v>
          </cell>
          <cell r="CY14">
            <v>4.9000000000000004</v>
          </cell>
          <cell r="CZ14">
            <v>132.30000000000001</v>
          </cell>
          <cell r="DA14">
            <v>16.100000000000001</v>
          </cell>
          <cell r="DB14">
            <v>1.2</v>
          </cell>
          <cell r="DC14">
            <v>162</v>
          </cell>
          <cell r="DE14">
            <v>463</v>
          </cell>
          <cell r="DF14">
            <v>238.3</v>
          </cell>
          <cell r="DH14">
            <v>40.761000000000003</v>
          </cell>
          <cell r="DI14">
            <v>815.22</v>
          </cell>
          <cell r="DQ14">
            <v>0.7</v>
          </cell>
          <cell r="DR14">
            <v>174.8</v>
          </cell>
          <cell r="DS14">
            <v>0.1</v>
          </cell>
          <cell r="DT14">
            <v>36.9</v>
          </cell>
          <cell r="DU14">
            <v>0.1</v>
          </cell>
          <cell r="DV14">
            <v>0.7</v>
          </cell>
          <cell r="DW14">
            <v>50.2</v>
          </cell>
          <cell r="DX14">
            <v>2.5</v>
          </cell>
          <cell r="DY14">
            <v>58.4</v>
          </cell>
          <cell r="DZ14">
            <v>31.5</v>
          </cell>
          <cell r="EA14">
            <v>45.7</v>
          </cell>
          <cell r="EB14">
            <v>0.1</v>
          </cell>
          <cell r="EC14">
            <v>2.2000000000000002</v>
          </cell>
          <cell r="ED14">
            <v>58</v>
          </cell>
          <cell r="EE14">
            <v>5.7</v>
          </cell>
          <cell r="EF14">
            <v>29.4</v>
          </cell>
          <cell r="EG14">
            <v>22.2</v>
          </cell>
          <cell r="EH14">
            <v>0.6</v>
          </cell>
          <cell r="EI14">
            <v>350</v>
          </cell>
          <cell r="EJ14">
            <v>35.561999999999998</v>
          </cell>
          <cell r="EK14">
            <v>19.591999999999999</v>
          </cell>
          <cell r="EL14">
            <v>216.96199999999999</v>
          </cell>
          <cell r="EM14">
            <v>40.761000000000003</v>
          </cell>
          <cell r="EN14">
            <v>104.879</v>
          </cell>
          <cell r="EO14">
            <v>3.06</v>
          </cell>
          <cell r="EQ14">
            <v>51.624639999999992</v>
          </cell>
          <cell r="ER14">
            <v>1290.6159999999998</v>
          </cell>
          <cell r="EW14">
            <v>30.065999999999999</v>
          </cell>
          <cell r="EX14">
            <v>13.481</v>
          </cell>
          <cell r="EY14">
            <v>0.85599999999999998</v>
          </cell>
          <cell r="EZ14">
            <v>0.82</v>
          </cell>
          <cell r="FA14">
            <v>121.669</v>
          </cell>
          <cell r="FB14">
            <v>31.849</v>
          </cell>
          <cell r="FC14">
            <v>11.882</v>
          </cell>
          <cell r="FD14">
            <v>167.685</v>
          </cell>
          <cell r="FE14">
            <v>270.161</v>
          </cell>
          <cell r="FG14">
            <v>0.72899999999999998</v>
          </cell>
          <cell r="FL14">
            <v>969.39999999999986</v>
          </cell>
          <cell r="FM14">
            <v>567.95000000000005</v>
          </cell>
          <cell r="FN14">
            <v>956.66599999999994</v>
          </cell>
          <cell r="FO14">
            <v>815.22</v>
          </cell>
          <cell r="FQ14">
            <v>46.161904761904758</v>
          </cell>
          <cell r="FR14">
            <v>25.815909090909091</v>
          </cell>
          <cell r="FS14">
            <v>45.555523809523805</v>
          </cell>
          <cell r="FT14">
            <v>40.761000000000003</v>
          </cell>
          <cell r="FW14">
            <v>16.914999999999999</v>
          </cell>
          <cell r="FX14">
            <v>0</v>
          </cell>
        </row>
        <row r="15">
          <cell r="A15" t="str">
            <v>Final Global Box Office</v>
          </cell>
          <cell r="C15">
            <v>649.40000000000009</v>
          </cell>
          <cell r="D15">
            <v>62.2</v>
          </cell>
          <cell r="E15">
            <v>64.400000000000006</v>
          </cell>
          <cell r="F15">
            <v>362.2</v>
          </cell>
          <cell r="G15">
            <v>10</v>
          </cell>
          <cell r="H15">
            <v>5.3</v>
          </cell>
          <cell r="I15">
            <v>100</v>
          </cell>
          <cell r="J15">
            <v>36.700000000000003</v>
          </cell>
          <cell r="K15">
            <v>74.599999999999994</v>
          </cell>
          <cell r="L15">
            <v>3.1999999999999997</v>
          </cell>
          <cell r="M15">
            <v>141</v>
          </cell>
          <cell r="N15">
            <v>39.9</v>
          </cell>
          <cell r="O15">
            <v>91.8</v>
          </cell>
          <cell r="P15">
            <v>24.5</v>
          </cell>
          <cell r="Q15">
            <v>17</v>
          </cell>
          <cell r="R15">
            <v>23.2</v>
          </cell>
          <cell r="S15">
            <v>10</v>
          </cell>
          <cell r="T15">
            <v>382.70000000000005</v>
          </cell>
          <cell r="U15">
            <v>63.7</v>
          </cell>
          <cell r="V15">
            <v>16.899999999999999</v>
          </cell>
          <cell r="W15">
            <v>119.2</v>
          </cell>
          <cell r="X15">
            <v>358.3</v>
          </cell>
          <cell r="Y15">
            <v>95.561904761904785</v>
          </cell>
          <cell r="Z15">
            <v>2006.8000000000004</v>
          </cell>
          <cell r="AC15">
            <v>1974.9816000000003</v>
          </cell>
          <cell r="AE15">
            <v>16.8</v>
          </cell>
          <cell r="AF15">
            <v>52.2</v>
          </cell>
          <cell r="AG15">
            <v>34.4</v>
          </cell>
          <cell r="AH15">
            <v>38.1</v>
          </cell>
          <cell r="AI15">
            <v>43.900000000000006</v>
          </cell>
          <cell r="AJ15">
            <v>28.349999999999998</v>
          </cell>
          <cell r="AK15">
            <v>30</v>
          </cell>
          <cell r="AL15">
            <v>57.6</v>
          </cell>
          <cell r="AM15">
            <v>101.5</v>
          </cell>
          <cell r="AN15">
            <v>23.400000000000002</v>
          </cell>
          <cell r="AO15">
            <v>179.1</v>
          </cell>
          <cell r="AP15">
            <v>76.5</v>
          </cell>
          <cell r="AQ15">
            <v>5.6</v>
          </cell>
          <cell r="AR15">
            <v>97.9</v>
          </cell>
          <cell r="AS15">
            <v>12.6</v>
          </cell>
          <cell r="AT15">
            <v>406.5</v>
          </cell>
          <cell r="AU15">
            <v>4.5999999999999996</v>
          </cell>
          <cell r="AV15">
            <v>39.5</v>
          </cell>
          <cell r="AW15">
            <v>7.5</v>
          </cell>
          <cell r="AX15">
            <v>28.3</v>
          </cell>
          <cell r="AY15">
            <v>4.9000000000000004</v>
          </cell>
          <cell r="AZ15">
            <v>82.7</v>
          </cell>
          <cell r="BA15">
            <v>62.361363636363642</v>
          </cell>
          <cell r="BB15">
            <v>1371.95</v>
          </cell>
          <cell r="BE15">
            <v>1711.0454</v>
          </cell>
          <cell r="BH15">
            <v>179.3</v>
          </cell>
          <cell r="BI15">
            <v>13</v>
          </cell>
          <cell r="BJ15">
            <v>10.1</v>
          </cell>
          <cell r="BK15">
            <v>11.6</v>
          </cell>
          <cell r="BL15">
            <v>80.099999999999994</v>
          </cell>
          <cell r="BM15">
            <v>210.5</v>
          </cell>
          <cell r="BN15">
            <v>25.3</v>
          </cell>
          <cell r="BO15">
            <v>65.8</v>
          </cell>
          <cell r="BP15">
            <v>190.2</v>
          </cell>
          <cell r="BQ15">
            <v>16.715999999999998</v>
          </cell>
          <cell r="BR15">
            <v>13.8</v>
          </cell>
          <cell r="BS15">
            <v>14.58</v>
          </cell>
          <cell r="BT15">
            <v>7.4</v>
          </cell>
          <cell r="BU15">
            <v>5.6</v>
          </cell>
          <cell r="BV15">
            <v>31.17</v>
          </cell>
          <cell r="BW15">
            <v>20.6</v>
          </cell>
          <cell r="BX15">
            <v>117.6</v>
          </cell>
          <cell r="BY15">
            <v>541</v>
          </cell>
          <cell r="BZ15">
            <v>194</v>
          </cell>
          <cell r="CA15">
            <v>44</v>
          </cell>
          <cell r="CB15">
            <v>168</v>
          </cell>
          <cell r="CC15">
            <v>93.35076190476191</v>
          </cell>
          <cell r="CD15">
            <v>1960.366</v>
          </cell>
          <cell r="CG15">
            <v>1961.0409999999999</v>
          </cell>
          <cell r="CJ15">
            <v>12.4</v>
          </cell>
          <cell r="CK15">
            <v>347.20000000000005</v>
          </cell>
          <cell r="CL15">
            <v>35.799999999999997</v>
          </cell>
          <cell r="CM15">
            <v>171.2</v>
          </cell>
          <cell r="CN15">
            <v>16</v>
          </cell>
          <cell r="CO15">
            <v>10.5</v>
          </cell>
          <cell r="CP15">
            <v>15.600000000000001</v>
          </cell>
          <cell r="CQ15">
            <v>68.2</v>
          </cell>
          <cell r="CR15">
            <v>108.8</v>
          </cell>
          <cell r="CS15">
            <v>14.7</v>
          </cell>
          <cell r="CT15">
            <v>28.9</v>
          </cell>
          <cell r="CU15">
            <v>48.4</v>
          </cell>
          <cell r="CV15">
            <v>56</v>
          </cell>
          <cell r="CW15">
            <v>122.6</v>
          </cell>
          <cell r="CX15">
            <v>32.220000000000006</v>
          </cell>
          <cell r="CY15">
            <v>11.5</v>
          </cell>
          <cell r="CZ15">
            <v>260.5</v>
          </cell>
          <cell r="DA15">
            <v>19.900000000000002</v>
          </cell>
          <cell r="DB15">
            <v>43.300000000000004</v>
          </cell>
          <cell r="DC15">
            <v>209.4</v>
          </cell>
          <cell r="DE15">
            <v>843</v>
          </cell>
          <cell r="DF15">
            <v>423.4</v>
          </cell>
          <cell r="DH15">
            <v>81.656000000000006</v>
          </cell>
          <cell r="DI15">
            <v>1633.1200000000001</v>
          </cell>
          <cell r="DL15">
            <v>1660.3200000000002</v>
          </cell>
          <cell r="DQ15">
            <v>17.5</v>
          </cell>
          <cell r="DR15">
            <v>329.5</v>
          </cell>
          <cell r="DS15">
            <v>3.2</v>
          </cell>
          <cell r="DT15">
            <v>80</v>
          </cell>
          <cell r="DU15">
            <v>17.5</v>
          </cell>
          <cell r="DV15">
            <v>1.1000000000000001</v>
          </cell>
          <cell r="DW15">
            <v>83</v>
          </cell>
          <cell r="DX15">
            <v>6.1</v>
          </cell>
          <cell r="DY15">
            <v>177.4</v>
          </cell>
          <cell r="DZ15">
            <v>91.6</v>
          </cell>
          <cell r="EA15">
            <v>128</v>
          </cell>
          <cell r="EB15">
            <v>6.1999999999999993</v>
          </cell>
          <cell r="EC15">
            <v>16.899999999999999</v>
          </cell>
          <cell r="ED15">
            <v>127</v>
          </cell>
          <cell r="EE15">
            <v>24.7</v>
          </cell>
          <cell r="EF15">
            <v>78.400000000000006</v>
          </cell>
          <cell r="EG15">
            <v>59.2</v>
          </cell>
          <cell r="EH15">
            <v>2.6</v>
          </cell>
          <cell r="EI15">
            <v>550</v>
          </cell>
          <cell r="EJ15">
            <v>71.841999999999999</v>
          </cell>
          <cell r="EK15">
            <v>36.917999999999999</v>
          </cell>
          <cell r="EL15">
            <v>451.31299999999999</v>
          </cell>
          <cell r="EM15">
            <v>81.656000000000006</v>
          </cell>
          <cell r="EN15">
            <v>133.30500000000001</v>
          </cell>
          <cell r="EO15">
            <v>126.38200000000001</v>
          </cell>
          <cell r="EQ15">
            <v>108.05264</v>
          </cell>
          <cell r="ER15">
            <v>2701.3159999999998</v>
          </cell>
          <cell r="EU15">
            <v>2548.6719999999996</v>
          </cell>
          <cell r="EW15">
            <v>52.596000000000004</v>
          </cell>
          <cell r="EX15">
            <v>54.456000000000003</v>
          </cell>
          <cell r="EY15">
            <v>19.368000000000002</v>
          </cell>
          <cell r="EZ15">
            <v>21.82</v>
          </cell>
          <cell r="FA15">
            <v>250.154</v>
          </cell>
          <cell r="FB15">
            <v>39.281999999999996</v>
          </cell>
          <cell r="FC15">
            <v>46.975000000000001</v>
          </cell>
          <cell r="FD15">
            <v>242.40699999999998</v>
          </cell>
          <cell r="FE15">
            <v>513.76800000000003</v>
          </cell>
          <cell r="FG15">
            <v>15.251999999999999</v>
          </cell>
          <cell r="FL15">
            <v>2006.8000000000004</v>
          </cell>
          <cell r="FM15">
            <v>1371.95</v>
          </cell>
          <cell r="FN15">
            <v>1960.366</v>
          </cell>
          <cell r="FO15">
            <v>1633.1200000000001</v>
          </cell>
          <cell r="FQ15">
            <v>95.561904761904785</v>
          </cell>
          <cell r="FR15">
            <v>62.361363636363642</v>
          </cell>
          <cell r="FS15">
            <v>93.35076190476191</v>
          </cell>
          <cell r="FT15">
            <v>81.656000000000006</v>
          </cell>
          <cell r="FW15">
            <v>56.134</v>
          </cell>
          <cell r="FX15">
            <v>19.680372999999999</v>
          </cell>
          <cell r="FY15">
            <v>0</v>
          </cell>
          <cell r="FZ15">
            <v>0</v>
          </cell>
          <cell r="GA15">
            <v>0</v>
          </cell>
          <cell r="GB15">
            <v>0</v>
          </cell>
          <cell r="GC15">
            <v>0</v>
          </cell>
        </row>
        <row r="16">
          <cell r="A16" t="str">
            <v>Studio Revenue</v>
          </cell>
          <cell r="C16">
            <v>122.57599999999999</v>
          </cell>
          <cell r="D16">
            <v>31.1</v>
          </cell>
          <cell r="E16">
            <v>32.200000000000003</v>
          </cell>
          <cell r="F16">
            <v>181.1</v>
          </cell>
          <cell r="G16">
            <v>5</v>
          </cell>
          <cell r="H16">
            <v>2.65</v>
          </cell>
          <cell r="I16">
            <v>50</v>
          </cell>
          <cell r="J16">
            <v>18.350000000000001</v>
          </cell>
          <cell r="K16">
            <v>37.299999999999997</v>
          </cell>
          <cell r="L16">
            <v>1.5999999999999999</v>
          </cell>
          <cell r="M16">
            <v>70.5</v>
          </cell>
          <cell r="N16">
            <v>19.95</v>
          </cell>
          <cell r="O16">
            <v>45.9</v>
          </cell>
          <cell r="P16">
            <v>12.25</v>
          </cell>
          <cell r="Q16">
            <v>8.5</v>
          </cell>
          <cell r="R16">
            <v>11.6</v>
          </cell>
          <cell r="S16">
            <v>5</v>
          </cell>
          <cell r="T16">
            <v>191.35000000000002</v>
          </cell>
          <cell r="U16">
            <v>31.85</v>
          </cell>
          <cell r="V16">
            <v>8.4499999999999993</v>
          </cell>
          <cell r="W16">
            <v>59.6</v>
          </cell>
          <cell r="X16">
            <v>179.15</v>
          </cell>
          <cell r="Y16">
            <v>47.780952380952392</v>
          </cell>
          <cell r="Z16">
            <v>1003.4000000000002</v>
          </cell>
          <cell r="AA16">
            <v>65</v>
          </cell>
          <cell r="AB16">
            <v>-203.48519999999999</v>
          </cell>
          <cell r="AC16">
            <v>987.49080000000015</v>
          </cell>
          <cell r="AE16">
            <v>8.4</v>
          </cell>
          <cell r="AF16">
            <v>26.1</v>
          </cell>
          <cell r="AG16">
            <v>17.2</v>
          </cell>
          <cell r="AH16">
            <v>19.05</v>
          </cell>
          <cell r="AI16">
            <v>21.950000000000003</v>
          </cell>
          <cell r="AJ16">
            <v>14.174999999999999</v>
          </cell>
          <cell r="AK16">
            <v>15</v>
          </cell>
          <cell r="AL16">
            <v>28.8</v>
          </cell>
          <cell r="AM16">
            <v>50.75</v>
          </cell>
          <cell r="AN16">
            <v>11.700000000000001</v>
          </cell>
          <cell r="AO16">
            <v>89.55</v>
          </cell>
          <cell r="AP16">
            <v>38.25</v>
          </cell>
          <cell r="AQ16">
            <v>2.8</v>
          </cell>
          <cell r="AR16">
            <v>48.95</v>
          </cell>
          <cell r="AS16">
            <v>6.3</v>
          </cell>
          <cell r="AT16">
            <v>203.25</v>
          </cell>
          <cell r="AU16">
            <v>2.2999999999999998</v>
          </cell>
          <cell r="AV16">
            <v>19.75</v>
          </cell>
          <cell r="AW16">
            <v>3.75</v>
          </cell>
          <cell r="AX16">
            <v>14.15</v>
          </cell>
          <cell r="AY16">
            <v>2.4500000000000002</v>
          </cell>
          <cell r="AZ16">
            <v>41.35</v>
          </cell>
          <cell r="BA16">
            <v>31.180681818181821</v>
          </cell>
          <cell r="BB16">
            <v>685.97500000000002</v>
          </cell>
          <cell r="BC16">
            <v>203.48519999999999</v>
          </cell>
          <cell r="BD16">
            <v>-33.937500000000007</v>
          </cell>
          <cell r="BE16">
            <v>855.52269999999999</v>
          </cell>
          <cell r="BH16">
            <v>89.65</v>
          </cell>
          <cell r="BI16">
            <v>6.5</v>
          </cell>
          <cell r="BJ16">
            <v>5.05</v>
          </cell>
          <cell r="BK16">
            <v>5.8</v>
          </cell>
          <cell r="BL16">
            <v>40.049999999999997</v>
          </cell>
          <cell r="BM16">
            <v>105.25</v>
          </cell>
          <cell r="BN16">
            <v>12.65</v>
          </cell>
          <cell r="BO16">
            <v>32.9</v>
          </cell>
          <cell r="BP16">
            <v>95.1</v>
          </cell>
          <cell r="BQ16">
            <v>8.3579999999999988</v>
          </cell>
          <cell r="BR16">
            <v>6.9</v>
          </cell>
          <cell r="BS16">
            <v>7.29</v>
          </cell>
          <cell r="BT16">
            <v>3.7</v>
          </cell>
          <cell r="BU16">
            <v>2.8</v>
          </cell>
          <cell r="BV16">
            <v>15.585000000000001</v>
          </cell>
          <cell r="BW16">
            <v>10.3</v>
          </cell>
          <cell r="BX16">
            <v>58.8</v>
          </cell>
          <cell r="BY16">
            <v>270.5</v>
          </cell>
          <cell r="BZ16">
            <v>97</v>
          </cell>
          <cell r="CA16">
            <v>22</v>
          </cell>
          <cell r="CB16">
            <v>84</v>
          </cell>
          <cell r="CC16">
            <v>46.675380952380955</v>
          </cell>
          <cell r="CD16">
            <v>980.18299999999999</v>
          </cell>
          <cell r="CE16">
            <v>33.937500000000007</v>
          </cell>
          <cell r="CF16">
            <v>-33.6</v>
          </cell>
          <cell r="CG16">
            <v>980.52049999999997</v>
          </cell>
          <cell r="CJ16">
            <v>6.2</v>
          </cell>
          <cell r="CK16">
            <v>173.60000000000002</v>
          </cell>
          <cell r="CL16">
            <v>17.899999999999999</v>
          </cell>
          <cell r="CM16">
            <v>85.6</v>
          </cell>
          <cell r="CN16">
            <v>8</v>
          </cell>
          <cell r="CO16">
            <v>5.25</v>
          </cell>
          <cell r="CP16">
            <v>7.8000000000000007</v>
          </cell>
          <cell r="CQ16">
            <v>34.1</v>
          </cell>
          <cell r="CR16">
            <v>54.4</v>
          </cell>
          <cell r="CS16">
            <v>7.35</v>
          </cell>
          <cell r="CT16">
            <v>14.45</v>
          </cell>
          <cell r="CU16">
            <v>24.2</v>
          </cell>
          <cell r="CV16">
            <v>28</v>
          </cell>
          <cell r="CW16">
            <v>61.3</v>
          </cell>
          <cell r="CX16">
            <v>16.110000000000003</v>
          </cell>
          <cell r="CY16">
            <v>5.75</v>
          </cell>
          <cell r="CZ16">
            <v>130.25</v>
          </cell>
          <cell r="DA16">
            <v>9.9500000000000011</v>
          </cell>
          <cell r="DB16">
            <v>21.650000000000002</v>
          </cell>
          <cell r="DC16">
            <v>104.7</v>
          </cell>
          <cell r="DE16">
            <v>421.5</v>
          </cell>
          <cell r="DF16">
            <v>211.7</v>
          </cell>
          <cell r="DH16">
            <v>40.828000000000003</v>
          </cell>
          <cell r="DI16">
            <v>816.56000000000006</v>
          </cell>
          <cell r="DJ16">
            <v>33.6</v>
          </cell>
          <cell r="DK16">
            <v>-20</v>
          </cell>
          <cell r="DL16">
            <v>830.16000000000008</v>
          </cell>
          <cell r="DN16">
            <v>885.06900000000007</v>
          </cell>
          <cell r="DO16">
            <v>-20</v>
          </cell>
          <cell r="DQ16">
            <v>8.75</v>
          </cell>
          <cell r="DR16">
            <v>164.75</v>
          </cell>
          <cell r="DS16">
            <v>1.6</v>
          </cell>
          <cell r="DT16">
            <v>40</v>
          </cell>
          <cell r="DU16">
            <v>8.75</v>
          </cell>
          <cell r="DV16">
            <v>0.55000000000000004</v>
          </cell>
          <cell r="DW16">
            <v>41.5</v>
          </cell>
          <cell r="DX16">
            <v>3.05</v>
          </cell>
          <cell r="DY16">
            <v>88.7</v>
          </cell>
          <cell r="DZ16">
            <v>45.8</v>
          </cell>
          <cell r="EA16">
            <v>64</v>
          </cell>
          <cell r="EB16">
            <v>3.0999999999999996</v>
          </cell>
          <cell r="EC16">
            <v>8.4499999999999993</v>
          </cell>
          <cell r="ED16">
            <v>63.5</v>
          </cell>
          <cell r="EE16">
            <v>12.35</v>
          </cell>
          <cell r="EF16">
            <v>39.200000000000003</v>
          </cell>
          <cell r="EG16">
            <v>29.6</v>
          </cell>
          <cell r="EH16">
            <v>1.3</v>
          </cell>
          <cell r="EI16">
            <v>275</v>
          </cell>
          <cell r="EJ16">
            <v>35.920999999999999</v>
          </cell>
          <cell r="EK16">
            <v>18.459</v>
          </cell>
          <cell r="EL16">
            <v>225.65649999999999</v>
          </cell>
          <cell r="EM16">
            <v>40.828000000000003</v>
          </cell>
          <cell r="EN16">
            <v>66.652500000000003</v>
          </cell>
          <cell r="EO16">
            <v>63.191000000000003</v>
          </cell>
          <cell r="EQ16">
            <v>54.026319999999998</v>
          </cell>
          <cell r="ER16">
            <v>1350.6579999999999</v>
          </cell>
          <cell r="ES16">
            <v>20</v>
          </cell>
          <cell r="ET16">
            <v>-96.322000000000003</v>
          </cell>
          <cell r="EU16">
            <v>1274.3359999999998</v>
          </cell>
          <cell r="EW16">
            <v>26.298000000000002</v>
          </cell>
          <cell r="EX16">
            <v>27.228000000000002</v>
          </cell>
          <cell r="EY16">
            <v>9.6840000000000011</v>
          </cell>
          <cell r="EZ16">
            <v>10.91</v>
          </cell>
          <cell r="FA16">
            <v>125.077</v>
          </cell>
          <cell r="FB16">
            <v>19.640999999999998</v>
          </cell>
          <cell r="FC16">
            <v>23.487500000000001</v>
          </cell>
          <cell r="FD16">
            <v>121.20349999999999</v>
          </cell>
          <cell r="FE16">
            <v>256.88400000000001</v>
          </cell>
          <cell r="FG16">
            <v>7.6259999999999994</v>
          </cell>
          <cell r="FI16">
            <v>1274.3359999999998</v>
          </cell>
          <cell r="FJ16">
            <v>-96.322000000000003</v>
          </cell>
          <cell r="FL16">
            <v>1003.4000000000002</v>
          </cell>
          <cell r="FM16">
            <v>685.97500000000002</v>
          </cell>
          <cell r="FN16">
            <v>980.18299999999999</v>
          </cell>
          <cell r="FO16">
            <v>816.56000000000006</v>
          </cell>
          <cell r="FQ16">
            <v>47.780952380952392</v>
          </cell>
          <cell r="FR16">
            <v>31.180681818181821</v>
          </cell>
          <cell r="FS16">
            <v>46.675380952380955</v>
          </cell>
          <cell r="FT16">
            <v>40.828000000000003</v>
          </cell>
          <cell r="FW16">
            <v>28.067</v>
          </cell>
          <cell r="FX16">
            <v>9.8401864999999997</v>
          </cell>
          <cell r="FY16">
            <v>0</v>
          </cell>
          <cell r="FZ16">
            <v>0</v>
          </cell>
          <cell r="GA16">
            <v>0</v>
          </cell>
          <cell r="GB16">
            <v>0</v>
          </cell>
          <cell r="GC16">
            <v>0</v>
          </cell>
        </row>
        <row r="18">
          <cell r="A18" t="str">
            <v>Home Video Releases</v>
          </cell>
          <cell r="C18">
            <v>180</v>
          </cell>
          <cell r="D18">
            <v>160</v>
          </cell>
          <cell r="E18">
            <v>200</v>
          </cell>
          <cell r="F18">
            <v>221</v>
          </cell>
          <cell r="G18">
            <v>249</v>
          </cell>
          <cell r="H18" t="str">
            <v>NA</v>
          </cell>
          <cell r="I18">
            <v>144</v>
          </cell>
          <cell r="J18">
            <v>158</v>
          </cell>
          <cell r="K18">
            <v>207</v>
          </cell>
          <cell r="L18">
            <v>200</v>
          </cell>
          <cell r="M18">
            <v>235</v>
          </cell>
          <cell r="N18">
            <v>146</v>
          </cell>
          <cell r="O18">
            <v>144</v>
          </cell>
          <cell r="P18">
            <v>242</v>
          </cell>
          <cell r="Q18">
            <v>179</v>
          </cell>
          <cell r="R18">
            <v>182</v>
          </cell>
          <cell r="S18">
            <v>188</v>
          </cell>
          <cell r="T18">
            <v>256</v>
          </cell>
          <cell r="U18">
            <v>144</v>
          </cell>
          <cell r="V18">
            <v>172</v>
          </cell>
          <cell r="W18">
            <v>221</v>
          </cell>
          <cell r="X18">
            <v>179</v>
          </cell>
          <cell r="AE18">
            <v>153</v>
          </cell>
          <cell r="AF18">
            <v>160</v>
          </cell>
          <cell r="AG18">
            <v>186</v>
          </cell>
          <cell r="AH18">
            <v>130</v>
          </cell>
          <cell r="AI18">
            <v>186</v>
          </cell>
          <cell r="AJ18">
            <v>123</v>
          </cell>
          <cell r="AK18">
            <v>244</v>
          </cell>
          <cell r="AL18">
            <v>123</v>
          </cell>
          <cell r="AM18">
            <v>158</v>
          </cell>
          <cell r="AN18">
            <v>130</v>
          </cell>
          <cell r="AO18">
            <v>165</v>
          </cell>
          <cell r="AP18">
            <v>202</v>
          </cell>
          <cell r="AQ18">
            <v>139</v>
          </cell>
          <cell r="AR18">
            <v>95</v>
          </cell>
          <cell r="AS18">
            <v>132</v>
          </cell>
          <cell r="AT18">
            <v>207</v>
          </cell>
          <cell r="AU18">
            <v>144</v>
          </cell>
          <cell r="AV18">
            <v>151</v>
          </cell>
          <cell r="AW18">
            <v>180</v>
          </cell>
          <cell r="AX18">
            <v>137</v>
          </cell>
          <cell r="AY18">
            <v>67</v>
          </cell>
          <cell r="AZ18">
            <v>116</v>
          </cell>
          <cell r="BH18">
            <v>158</v>
          </cell>
          <cell r="BK18">
            <v>116</v>
          </cell>
          <cell r="BM18">
            <v>158</v>
          </cell>
          <cell r="BN18">
            <v>167</v>
          </cell>
          <cell r="BO18">
            <v>137</v>
          </cell>
          <cell r="BP18">
            <v>103</v>
          </cell>
          <cell r="BQ18">
            <v>116</v>
          </cell>
          <cell r="BR18">
            <v>158</v>
          </cell>
          <cell r="BS18">
            <v>95</v>
          </cell>
          <cell r="BT18">
            <v>88</v>
          </cell>
          <cell r="BU18">
            <v>109</v>
          </cell>
          <cell r="BV18">
            <v>125</v>
          </cell>
          <cell r="BW18">
            <v>137</v>
          </cell>
          <cell r="BX18">
            <v>146</v>
          </cell>
          <cell r="BY18">
            <v>137</v>
          </cell>
          <cell r="BZ18">
            <v>130</v>
          </cell>
          <cell r="CA18">
            <v>193</v>
          </cell>
          <cell r="CB18">
            <v>172</v>
          </cell>
          <cell r="CJ18">
            <v>130</v>
          </cell>
          <cell r="CK18">
            <v>151</v>
          </cell>
          <cell r="CL18">
            <v>153</v>
          </cell>
          <cell r="CM18">
            <v>165</v>
          </cell>
          <cell r="CN18">
            <v>130</v>
          </cell>
          <cell r="CO18">
            <v>123</v>
          </cell>
          <cell r="CP18">
            <v>144</v>
          </cell>
          <cell r="CQ18">
            <v>132</v>
          </cell>
          <cell r="CR18">
            <v>165</v>
          </cell>
          <cell r="CS18">
            <v>186</v>
          </cell>
          <cell r="CT18">
            <v>74</v>
          </cell>
          <cell r="CU18">
            <v>87</v>
          </cell>
          <cell r="CV18">
            <v>81</v>
          </cell>
          <cell r="CW18">
            <v>158</v>
          </cell>
          <cell r="CX18">
            <v>172</v>
          </cell>
          <cell r="CY18">
            <v>235</v>
          </cell>
          <cell r="CZ18">
            <v>200</v>
          </cell>
          <cell r="DA18">
            <v>221</v>
          </cell>
          <cell r="DB18">
            <v>158</v>
          </cell>
          <cell r="DC18">
            <v>158</v>
          </cell>
          <cell r="DE18">
            <v>166</v>
          </cell>
          <cell r="DF18">
            <v>172</v>
          </cell>
          <cell r="DQ18">
            <v>172</v>
          </cell>
          <cell r="DR18">
            <v>151</v>
          </cell>
          <cell r="DS18">
            <v>165</v>
          </cell>
          <cell r="DT18">
            <v>130</v>
          </cell>
          <cell r="DU18">
            <v>81</v>
          </cell>
          <cell r="DV18">
            <v>186</v>
          </cell>
          <cell r="DW18">
            <v>116</v>
          </cell>
          <cell r="DX18">
            <v>158</v>
          </cell>
          <cell r="DY18">
            <v>102</v>
          </cell>
          <cell r="DZ18">
            <v>137</v>
          </cell>
          <cell r="EA18">
            <v>153</v>
          </cell>
          <cell r="EB18">
            <v>123</v>
          </cell>
          <cell r="EC18">
            <v>102</v>
          </cell>
          <cell r="ED18">
            <v>102</v>
          </cell>
          <cell r="EE18">
            <v>130</v>
          </cell>
          <cell r="EF18">
            <v>150</v>
          </cell>
          <cell r="EG18">
            <v>150</v>
          </cell>
          <cell r="EH18">
            <v>150</v>
          </cell>
          <cell r="EI18">
            <v>235</v>
          </cell>
          <cell r="EJ18">
            <v>150</v>
          </cell>
          <cell r="EK18">
            <v>150</v>
          </cell>
          <cell r="EL18">
            <v>130</v>
          </cell>
          <cell r="EM18">
            <v>150</v>
          </cell>
          <cell r="EN18">
            <v>109</v>
          </cell>
          <cell r="EO18">
            <v>165</v>
          </cell>
          <cell r="EW18">
            <v>171</v>
          </cell>
          <cell r="EX18">
            <v>109</v>
          </cell>
          <cell r="EY18">
            <v>109</v>
          </cell>
          <cell r="EZ18">
            <v>109</v>
          </cell>
          <cell r="FA18">
            <v>123</v>
          </cell>
          <cell r="FB18">
            <v>109</v>
          </cell>
          <cell r="FC18">
            <v>150</v>
          </cell>
          <cell r="FD18">
            <v>150</v>
          </cell>
          <cell r="FE18">
            <v>150</v>
          </cell>
          <cell r="FG18">
            <v>150</v>
          </cell>
          <cell r="FW18">
            <v>32</v>
          </cell>
          <cell r="FX18">
            <v>4</v>
          </cell>
          <cell r="FY18">
            <v>-36</v>
          </cell>
          <cell r="FZ18">
            <v>-52</v>
          </cell>
          <cell r="GA18">
            <v>-108</v>
          </cell>
          <cell r="GB18">
            <v>-122</v>
          </cell>
          <cell r="GC18">
            <v>-150</v>
          </cell>
        </row>
        <row r="19">
          <cell r="A19" t="str">
            <v>Release Date (Calendar)</v>
          </cell>
          <cell r="C19">
            <v>37572</v>
          </cell>
          <cell r="D19">
            <v>37600</v>
          </cell>
          <cell r="E19">
            <v>37278</v>
          </cell>
          <cell r="F19">
            <v>37320</v>
          </cell>
          <cell r="G19">
            <v>37362</v>
          </cell>
          <cell r="H19" t="str">
            <v>NA</v>
          </cell>
          <cell r="I19">
            <v>37306</v>
          </cell>
          <cell r="J19">
            <v>37327</v>
          </cell>
          <cell r="K19">
            <v>37390</v>
          </cell>
          <cell r="L19">
            <v>37383</v>
          </cell>
          <cell r="M19">
            <v>37439</v>
          </cell>
          <cell r="N19">
            <v>37362</v>
          </cell>
          <cell r="O19">
            <v>37369</v>
          </cell>
          <cell r="P19">
            <v>37488</v>
          </cell>
          <cell r="Q19">
            <v>37460</v>
          </cell>
          <cell r="R19">
            <v>37484</v>
          </cell>
          <cell r="S19">
            <v>37516</v>
          </cell>
          <cell r="T19">
            <v>37586</v>
          </cell>
          <cell r="U19">
            <v>37495</v>
          </cell>
          <cell r="V19">
            <v>37544</v>
          </cell>
          <cell r="W19">
            <v>37607</v>
          </cell>
          <cell r="X19">
            <v>37607</v>
          </cell>
          <cell r="AE19">
            <v>37628</v>
          </cell>
          <cell r="AF19">
            <v>37649</v>
          </cell>
          <cell r="AG19">
            <v>37691</v>
          </cell>
          <cell r="AH19">
            <v>37649</v>
          </cell>
          <cell r="AI19">
            <v>37726</v>
          </cell>
          <cell r="AJ19">
            <v>37663</v>
          </cell>
          <cell r="AK19">
            <v>37831</v>
          </cell>
          <cell r="AL19">
            <v>37726</v>
          </cell>
          <cell r="AM19">
            <v>37789</v>
          </cell>
          <cell r="AN19">
            <v>37761</v>
          </cell>
          <cell r="AO19">
            <v>37831</v>
          </cell>
          <cell r="AP19">
            <v>37894</v>
          </cell>
          <cell r="AQ19">
            <v>37852</v>
          </cell>
          <cell r="AR19">
            <v>37810</v>
          </cell>
          <cell r="AS19">
            <v>37859</v>
          </cell>
          <cell r="AT19">
            <v>37950</v>
          </cell>
          <cell r="AU19">
            <v>37887</v>
          </cell>
          <cell r="AV19">
            <v>37901</v>
          </cell>
          <cell r="AW19">
            <v>37937</v>
          </cell>
          <cell r="AX19">
            <v>37908</v>
          </cell>
          <cell r="AY19">
            <v>37859</v>
          </cell>
          <cell r="AZ19">
            <v>37915</v>
          </cell>
          <cell r="BH19">
            <v>37971</v>
          </cell>
          <cell r="BI19" t="str">
            <v>F3Q04</v>
          </cell>
          <cell r="BJ19" t="str">
            <v>F3Q04</v>
          </cell>
          <cell r="BK19">
            <v>37985</v>
          </cell>
          <cell r="BL19" t="str">
            <v>F3Q04</v>
          </cell>
          <cell r="BM19">
            <v>38097</v>
          </cell>
          <cell r="BN19">
            <v>38118</v>
          </cell>
          <cell r="BO19">
            <v>38104</v>
          </cell>
          <cell r="BP19">
            <v>38083</v>
          </cell>
          <cell r="BQ19">
            <v>38139</v>
          </cell>
          <cell r="BR19">
            <v>38181</v>
          </cell>
          <cell r="BS19">
            <v>38132</v>
          </cell>
          <cell r="BT19">
            <v>38132</v>
          </cell>
          <cell r="BU19">
            <v>38181</v>
          </cell>
          <cell r="BV19">
            <v>38209</v>
          </cell>
          <cell r="BW19">
            <v>38223</v>
          </cell>
          <cell r="BX19">
            <v>38244</v>
          </cell>
          <cell r="BY19">
            <v>38272</v>
          </cell>
          <cell r="BZ19">
            <v>38279</v>
          </cell>
          <cell r="CA19">
            <v>38342</v>
          </cell>
          <cell r="CB19">
            <v>38328</v>
          </cell>
          <cell r="CJ19">
            <v>38300</v>
          </cell>
          <cell r="CK19">
            <v>38335</v>
          </cell>
          <cell r="CL19">
            <v>38349</v>
          </cell>
          <cell r="CM19">
            <v>38377</v>
          </cell>
          <cell r="CN19">
            <v>38363</v>
          </cell>
          <cell r="CO19">
            <v>38377</v>
          </cell>
          <cell r="CP19">
            <v>38405</v>
          </cell>
          <cell r="CQ19">
            <v>38398</v>
          </cell>
          <cell r="CR19">
            <v>38447</v>
          </cell>
          <cell r="CS19">
            <v>38489</v>
          </cell>
          <cell r="CT19">
            <v>38412</v>
          </cell>
          <cell r="CU19">
            <v>38433</v>
          </cell>
          <cell r="CV19">
            <v>38447</v>
          </cell>
          <cell r="CW19">
            <v>38538</v>
          </cell>
          <cell r="CX19">
            <v>38573</v>
          </cell>
          <cell r="CY19">
            <v>38657</v>
          </cell>
          <cell r="CZ19">
            <v>38622</v>
          </cell>
          <cell r="DA19">
            <v>38650</v>
          </cell>
          <cell r="DB19">
            <v>38608</v>
          </cell>
          <cell r="DC19">
            <v>38636</v>
          </cell>
          <cell r="DE19">
            <v>38657</v>
          </cell>
          <cell r="DF19">
            <v>38685</v>
          </cell>
          <cell r="DQ19">
            <v>38706</v>
          </cell>
          <cell r="DR19">
            <v>38692</v>
          </cell>
          <cell r="DS19">
            <v>38748</v>
          </cell>
          <cell r="DT19">
            <v>38727</v>
          </cell>
          <cell r="DU19">
            <v>38699</v>
          </cell>
          <cell r="DV19">
            <v>38811</v>
          </cell>
          <cell r="DW19">
            <v>38748</v>
          </cell>
          <cell r="DX19">
            <v>38804</v>
          </cell>
          <cell r="DY19">
            <v>38776</v>
          </cell>
          <cell r="DZ19">
            <v>38839</v>
          </cell>
          <cell r="EA19">
            <v>38860</v>
          </cell>
          <cell r="EB19">
            <v>38846</v>
          </cell>
          <cell r="EC19">
            <v>38832</v>
          </cell>
          <cell r="ED19">
            <v>38846</v>
          </cell>
          <cell r="EE19">
            <v>38881</v>
          </cell>
          <cell r="EF19">
            <v>38908</v>
          </cell>
          <cell r="EG19">
            <v>38908</v>
          </cell>
          <cell r="EH19">
            <v>38915</v>
          </cell>
          <cell r="EI19">
            <v>39042</v>
          </cell>
          <cell r="EJ19">
            <v>38978</v>
          </cell>
          <cell r="EK19">
            <v>38999</v>
          </cell>
          <cell r="EL19">
            <v>38993</v>
          </cell>
          <cell r="EM19">
            <v>39244</v>
          </cell>
          <cell r="EN19">
            <v>39000</v>
          </cell>
          <cell r="EO19">
            <v>39063</v>
          </cell>
          <cell r="EW19">
            <v>39070</v>
          </cell>
          <cell r="EX19">
            <v>39035</v>
          </cell>
          <cell r="EY19">
            <v>39112</v>
          </cell>
          <cell r="EZ19">
            <v>39119</v>
          </cell>
          <cell r="FA19">
            <v>39147</v>
          </cell>
          <cell r="FB19">
            <v>39140</v>
          </cell>
          <cell r="FC19">
            <v>39193</v>
          </cell>
          <cell r="FD19">
            <v>39216</v>
          </cell>
          <cell r="FE19">
            <v>39223</v>
          </cell>
          <cell r="FG19">
            <v>39125</v>
          </cell>
          <cell r="FW19">
            <v>39140</v>
          </cell>
          <cell r="FX19">
            <v>39140</v>
          </cell>
          <cell r="FY19">
            <v>39140</v>
          </cell>
          <cell r="FZ19">
            <v>39140</v>
          </cell>
          <cell r="GA19">
            <v>39140</v>
          </cell>
          <cell r="GB19">
            <v>39140</v>
          </cell>
          <cell r="GC19">
            <v>39140</v>
          </cell>
        </row>
        <row r="20">
          <cell r="A20" t="str">
            <v>Rental Units/Release</v>
          </cell>
          <cell r="C20">
            <v>1.5</v>
          </cell>
          <cell r="D20">
            <v>0.25</v>
          </cell>
          <cell r="E20">
            <v>0.25</v>
          </cell>
          <cell r="F20">
            <v>0.5</v>
          </cell>
          <cell r="G20">
            <v>0.1</v>
          </cell>
          <cell r="H20">
            <v>0.1</v>
          </cell>
          <cell r="I20">
            <v>0.25</v>
          </cell>
          <cell r="J20">
            <v>0.1</v>
          </cell>
          <cell r="K20">
            <v>0.25</v>
          </cell>
          <cell r="L20">
            <v>0.1</v>
          </cell>
          <cell r="M20">
            <v>0.25</v>
          </cell>
          <cell r="N20">
            <v>0.25</v>
          </cell>
          <cell r="O20">
            <v>0.25</v>
          </cell>
          <cell r="P20">
            <v>0.1</v>
          </cell>
          <cell r="Q20">
            <v>0.1</v>
          </cell>
          <cell r="R20">
            <v>0.1</v>
          </cell>
          <cell r="S20">
            <v>0.1</v>
          </cell>
          <cell r="T20">
            <v>1</v>
          </cell>
          <cell r="U20">
            <v>0.1</v>
          </cell>
          <cell r="V20">
            <v>0.1</v>
          </cell>
          <cell r="W20">
            <v>0.25</v>
          </cell>
          <cell r="X20">
            <v>0.5</v>
          </cell>
          <cell r="Y20">
            <v>0.23809523809523808</v>
          </cell>
          <cell r="Z20">
            <v>5</v>
          </cell>
          <cell r="AA20">
            <v>1.7721301750864615</v>
          </cell>
          <cell r="AB20">
            <v>-2.85</v>
          </cell>
          <cell r="AE20">
            <v>0.1</v>
          </cell>
          <cell r="AF20">
            <v>0.1</v>
          </cell>
          <cell r="AG20">
            <v>0.1</v>
          </cell>
          <cell r="AH20">
            <v>0.1</v>
          </cell>
          <cell r="AI20">
            <v>0.1</v>
          </cell>
          <cell r="AJ20">
            <v>0.1</v>
          </cell>
          <cell r="AK20">
            <v>0.1</v>
          </cell>
          <cell r="AL20">
            <v>0.1</v>
          </cell>
          <cell r="AM20">
            <v>0.25</v>
          </cell>
          <cell r="AN20">
            <v>0.1</v>
          </cell>
          <cell r="AO20">
            <v>0.25</v>
          </cell>
          <cell r="AP20">
            <v>0.25</v>
          </cell>
          <cell r="AQ20">
            <v>0.1</v>
          </cell>
          <cell r="AR20">
            <v>0.25</v>
          </cell>
          <cell r="AS20">
            <v>0.1</v>
          </cell>
          <cell r="AT20">
            <v>0.5</v>
          </cell>
          <cell r="AU20">
            <v>0.1</v>
          </cell>
          <cell r="AV20">
            <v>0.1</v>
          </cell>
          <cell r="AW20">
            <v>0.1</v>
          </cell>
          <cell r="AX20">
            <v>0.1</v>
          </cell>
          <cell r="AY20">
            <v>0.1</v>
          </cell>
          <cell r="AZ20">
            <v>0.25</v>
          </cell>
          <cell r="BA20">
            <v>0.15227272727272731</v>
          </cell>
          <cell r="BB20">
            <v>3.3500000000000005</v>
          </cell>
          <cell r="BC20">
            <v>2.85</v>
          </cell>
          <cell r="BD20">
            <v>-2.3000000000000003</v>
          </cell>
          <cell r="BH20">
            <v>0.25</v>
          </cell>
          <cell r="BI20">
            <v>0.1</v>
          </cell>
          <cell r="BJ20">
            <v>0.1</v>
          </cell>
          <cell r="BK20">
            <v>0.1</v>
          </cell>
          <cell r="BL20">
            <v>0.1</v>
          </cell>
          <cell r="BM20">
            <v>0.25</v>
          </cell>
          <cell r="BN20">
            <v>0.1</v>
          </cell>
          <cell r="BO20">
            <v>0.1</v>
          </cell>
          <cell r="BP20">
            <v>0.25</v>
          </cell>
          <cell r="BQ20">
            <v>0.1</v>
          </cell>
          <cell r="BR20">
            <v>0.1</v>
          </cell>
          <cell r="BS20">
            <v>0.1</v>
          </cell>
          <cell r="BT20">
            <v>0.1</v>
          </cell>
          <cell r="BU20">
            <v>0.1</v>
          </cell>
          <cell r="BV20">
            <v>0.1</v>
          </cell>
          <cell r="BW20">
            <v>0.1</v>
          </cell>
          <cell r="BX20">
            <v>0.25</v>
          </cell>
          <cell r="BY20">
            <v>0.25</v>
          </cell>
          <cell r="BZ20">
            <v>0.25</v>
          </cell>
          <cell r="CA20">
            <v>0.1</v>
          </cell>
          <cell r="CB20">
            <v>0.25</v>
          </cell>
          <cell r="CC20">
            <v>0.15000000000000002</v>
          </cell>
          <cell r="CD20">
            <v>3.1500000000000004</v>
          </cell>
          <cell r="CE20">
            <v>2.3000000000000003</v>
          </cell>
          <cell r="CF20">
            <v>-1.5000000000000002</v>
          </cell>
          <cell r="CJ20">
            <v>0.1</v>
          </cell>
          <cell r="CK20">
            <v>0.25</v>
          </cell>
          <cell r="CL20">
            <v>0.1</v>
          </cell>
          <cell r="CM20">
            <v>0.1</v>
          </cell>
          <cell r="CN20">
            <v>0.1</v>
          </cell>
          <cell r="CO20">
            <v>0.1</v>
          </cell>
          <cell r="CP20">
            <v>0.1</v>
          </cell>
          <cell r="CQ20">
            <v>0.1</v>
          </cell>
          <cell r="CR20">
            <v>0.1</v>
          </cell>
          <cell r="CS20">
            <v>0.1</v>
          </cell>
          <cell r="CT20">
            <v>0.1</v>
          </cell>
          <cell r="CU20">
            <v>0.1</v>
          </cell>
          <cell r="CV20">
            <v>0.1</v>
          </cell>
          <cell r="CW20">
            <v>0.1</v>
          </cell>
          <cell r="CX20">
            <v>0.1</v>
          </cell>
          <cell r="CY20">
            <v>0.1</v>
          </cell>
          <cell r="CZ20">
            <v>0.1</v>
          </cell>
          <cell r="DA20">
            <v>0.1</v>
          </cell>
          <cell r="DB20">
            <v>0.1</v>
          </cell>
          <cell r="DC20">
            <v>0.1</v>
          </cell>
          <cell r="DE20">
            <v>0.1</v>
          </cell>
          <cell r="DF20">
            <v>0.1</v>
          </cell>
          <cell r="DH20">
            <v>0.10750000000000004</v>
          </cell>
          <cell r="DI20">
            <v>2.1500000000000008</v>
          </cell>
          <cell r="DJ20">
            <v>1.5000000000000002</v>
          </cell>
          <cell r="DK20">
            <v>-0.7</v>
          </cell>
          <cell r="DQ20">
            <v>0.1</v>
          </cell>
          <cell r="DR20">
            <v>0.1</v>
          </cell>
          <cell r="DS20">
            <v>0.1</v>
          </cell>
          <cell r="DT20">
            <v>0.1</v>
          </cell>
          <cell r="DU20">
            <v>0.1</v>
          </cell>
          <cell r="DV20">
            <v>0.1</v>
          </cell>
          <cell r="DW20">
            <v>0.1</v>
          </cell>
          <cell r="DX20">
            <v>0.1</v>
          </cell>
          <cell r="DY20">
            <v>0.1</v>
          </cell>
          <cell r="DZ20">
            <v>0.1</v>
          </cell>
          <cell r="EA20">
            <v>0.1</v>
          </cell>
          <cell r="EB20">
            <v>0.1</v>
          </cell>
          <cell r="EC20">
            <v>0.1</v>
          </cell>
          <cell r="ED20">
            <v>0.1</v>
          </cell>
          <cell r="EE20">
            <v>0.1</v>
          </cell>
          <cell r="EF20">
            <v>0.1</v>
          </cell>
          <cell r="EG20">
            <v>0.1</v>
          </cell>
          <cell r="EH20">
            <v>0.1</v>
          </cell>
          <cell r="EI20">
            <v>0.1</v>
          </cell>
          <cell r="EJ20">
            <v>0.1</v>
          </cell>
          <cell r="EK20">
            <v>0.1</v>
          </cell>
          <cell r="EL20">
            <v>0.1</v>
          </cell>
          <cell r="EM20">
            <v>0.1</v>
          </cell>
          <cell r="EN20">
            <v>0.1</v>
          </cell>
          <cell r="EO20">
            <v>0.1</v>
          </cell>
          <cell r="EQ20">
            <v>0.10000000000000003</v>
          </cell>
          <cell r="ER20">
            <v>2.5000000000000009</v>
          </cell>
          <cell r="ES20">
            <v>0.7</v>
          </cell>
          <cell r="ET20">
            <v>0.99999999999999989</v>
          </cell>
          <cell r="EW20">
            <v>0.1</v>
          </cell>
          <cell r="EX20">
            <v>0.1</v>
          </cell>
          <cell r="EY20">
            <v>0.1</v>
          </cell>
          <cell r="EZ20">
            <v>0.1</v>
          </cell>
          <cell r="FA20">
            <v>0.1</v>
          </cell>
          <cell r="FB20">
            <v>0.1</v>
          </cell>
          <cell r="FC20">
            <v>0.1</v>
          </cell>
          <cell r="FD20">
            <v>0.1</v>
          </cell>
          <cell r="FE20">
            <v>0.1</v>
          </cell>
          <cell r="FG20">
            <v>0.1</v>
          </cell>
          <cell r="FL20">
            <v>5</v>
          </cell>
          <cell r="FM20">
            <v>3.3500000000000005</v>
          </cell>
          <cell r="FN20">
            <v>3.1500000000000004</v>
          </cell>
          <cell r="FO20">
            <v>2.1500000000000008</v>
          </cell>
          <cell r="FQ20">
            <v>0.23809523809523808</v>
          </cell>
          <cell r="FR20">
            <v>0.15227272727272731</v>
          </cell>
          <cell r="FS20">
            <v>0.15000000000000002</v>
          </cell>
          <cell r="FT20">
            <v>0.10750000000000004</v>
          </cell>
          <cell r="FW20">
            <v>0.1</v>
          </cell>
          <cell r="FX20">
            <v>0.1</v>
          </cell>
          <cell r="FY20">
            <v>0.1</v>
          </cell>
          <cell r="FZ20">
            <v>0.1</v>
          </cell>
          <cell r="GA20">
            <v>0.1</v>
          </cell>
          <cell r="GB20">
            <v>0.1</v>
          </cell>
          <cell r="GC20">
            <v>0.1</v>
          </cell>
        </row>
        <row r="21">
          <cell r="A21" t="str">
            <v>Rental Revenue/unit</v>
          </cell>
          <cell r="C21">
            <v>15</v>
          </cell>
          <cell r="D21">
            <v>15</v>
          </cell>
          <cell r="E21">
            <v>60</v>
          </cell>
          <cell r="F21">
            <v>60</v>
          </cell>
          <cell r="G21">
            <v>60</v>
          </cell>
          <cell r="H21">
            <v>60</v>
          </cell>
          <cell r="I21">
            <v>60</v>
          </cell>
          <cell r="J21">
            <v>60</v>
          </cell>
          <cell r="K21">
            <v>60</v>
          </cell>
          <cell r="L21">
            <v>60</v>
          </cell>
          <cell r="M21">
            <v>60</v>
          </cell>
          <cell r="N21">
            <v>60</v>
          </cell>
          <cell r="O21">
            <v>60</v>
          </cell>
          <cell r="P21">
            <v>60</v>
          </cell>
          <cell r="Q21">
            <v>60</v>
          </cell>
          <cell r="R21">
            <v>60</v>
          </cell>
          <cell r="S21">
            <v>60</v>
          </cell>
          <cell r="T21">
            <v>15</v>
          </cell>
          <cell r="U21">
            <v>60</v>
          </cell>
          <cell r="V21">
            <v>60</v>
          </cell>
          <cell r="W21">
            <v>60</v>
          </cell>
          <cell r="X21">
            <v>60</v>
          </cell>
          <cell r="Y21">
            <v>48.750000000000007</v>
          </cell>
          <cell r="Z21">
            <v>48.75</v>
          </cell>
          <cell r="AA21">
            <v>48.75</v>
          </cell>
          <cell r="AB21">
            <v>40.263157894736842</v>
          </cell>
          <cell r="AE21">
            <v>50</v>
          </cell>
          <cell r="AF21">
            <v>50</v>
          </cell>
          <cell r="AG21">
            <v>50</v>
          </cell>
          <cell r="AH21">
            <v>50</v>
          </cell>
          <cell r="AI21">
            <v>50</v>
          </cell>
          <cell r="AJ21">
            <v>50</v>
          </cell>
          <cell r="AK21">
            <v>50</v>
          </cell>
          <cell r="AL21">
            <v>50</v>
          </cell>
          <cell r="AM21">
            <v>50</v>
          </cell>
          <cell r="AN21">
            <v>50</v>
          </cell>
          <cell r="AO21">
            <v>50</v>
          </cell>
          <cell r="AP21">
            <v>50</v>
          </cell>
          <cell r="AQ21">
            <v>50</v>
          </cell>
          <cell r="AR21">
            <v>50</v>
          </cell>
          <cell r="AS21">
            <v>50</v>
          </cell>
          <cell r="AT21">
            <v>50</v>
          </cell>
          <cell r="AU21">
            <v>50</v>
          </cell>
          <cell r="AV21">
            <v>50</v>
          </cell>
          <cell r="AW21">
            <v>50</v>
          </cell>
          <cell r="AX21">
            <v>50</v>
          </cell>
          <cell r="AY21">
            <v>50</v>
          </cell>
          <cell r="AZ21">
            <v>50</v>
          </cell>
          <cell r="BA21">
            <v>49.999999999999986</v>
          </cell>
          <cell r="BB21">
            <v>49.999999999999993</v>
          </cell>
          <cell r="BC21">
            <v>40.263157894736842</v>
          </cell>
          <cell r="BD21">
            <v>49.999999999999993</v>
          </cell>
          <cell r="BH21">
            <v>40</v>
          </cell>
          <cell r="BI21">
            <v>40</v>
          </cell>
          <cell r="BJ21">
            <v>40</v>
          </cell>
          <cell r="BK21">
            <v>40</v>
          </cell>
          <cell r="BL21">
            <v>40</v>
          </cell>
          <cell r="BM21">
            <v>40</v>
          </cell>
          <cell r="BN21">
            <v>40</v>
          </cell>
          <cell r="BO21">
            <v>40</v>
          </cell>
          <cell r="BP21">
            <v>40</v>
          </cell>
          <cell r="BQ21">
            <v>40</v>
          </cell>
          <cell r="BR21">
            <v>40</v>
          </cell>
          <cell r="BS21">
            <v>40</v>
          </cell>
          <cell r="BT21">
            <v>40</v>
          </cell>
          <cell r="BU21">
            <v>40</v>
          </cell>
          <cell r="BV21">
            <v>40</v>
          </cell>
          <cell r="BW21">
            <v>40</v>
          </cell>
          <cell r="BX21">
            <v>40</v>
          </cell>
          <cell r="BY21">
            <v>40</v>
          </cell>
          <cell r="BZ21">
            <v>40</v>
          </cell>
          <cell r="CA21">
            <v>40</v>
          </cell>
          <cell r="CB21">
            <v>40</v>
          </cell>
          <cell r="CC21">
            <v>39.999999999999993</v>
          </cell>
          <cell r="CD21">
            <v>39.999999999999993</v>
          </cell>
          <cell r="CE21">
            <v>49.999999999999993</v>
          </cell>
          <cell r="CJ21">
            <v>40</v>
          </cell>
          <cell r="CK21">
            <v>40</v>
          </cell>
          <cell r="CL21">
            <v>40</v>
          </cell>
          <cell r="CM21">
            <v>40</v>
          </cell>
          <cell r="CN21">
            <v>40</v>
          </cell>
          <cell r="CO21">
            <v>40</v>
          </cell>
          <cell r="CP21">
            <v>40</v>
          </cell>
          <cell r="CQ21">
            <v>40</v>
          </cell>
          <cell r="CR21">
            <v>40</v>
          </cell>
          <cell r="CS21">
            <v>40</v>
          </cell>
          <cell r="CT21">
            <v>40</v>
          </cell>
          <cell r="CU21">
            <v>40</v>
          </cell>
          <cell r="CV21">
            <v>40</v>
          </cell>
          <cell r="CW21">
            <v>40</v>
          </cell>
          <cell r="CX21">
            <v>40</v>
          </cell>
          <cell r="CY21">
            <v>40</v>
          </cell>
          <cell r="CZ21">
            <v>40</v>
          </cell>
          <cell r="DA21">
            <v>40</v>
          </cell>
          <cell r="DB21">
            <v>40</v>
          </cell>
          <cell r="DC21">
            <v>40</v>
          </cell>
          <cell r="DE21">
            <v>40</v>
          </cell>
          <cell r="DF21">
            <v>40</v>
          </cell>
          <cell r="DH21">
            <v>39.999999999999986</v>
          </cell>
          <cell r="DI21">
            <v>39.999999999999986</v>
          </cell>
          <cell r="DJ21">
            <v>39.999999999999993</v>
          </cell>
          <cell r="DQ21">
            <v>40</v>
          </cell>
          <cell r="DR21">
            <v>40</v>
          </cell>
          <cell r="DS21">
            <v>40</v>
          </cell>
          <cell r="DT21">
            <v>40</v>
          </cell>
          <cell r="DU21">
            <v>40</v>
          </cell>
          <cell r="DV21">
            <v>40</v>
          </cell>
          <cell r="DW21">
            <v>40</v>
          </cell>
          <cell r="DX21">
            <v>40</v>
          </cell>
          <cell r="DY21">
            <v>40</v>
          </cell>
          <cell r="DZ21">
            <v>40</v>
          </cell>
          <cell r="EA21">
            <v>40</v>
          </cell>
          <cell r="EB21">
            <v>40</v>
          </cell>
          <cell r="EC21">
            <v>40</v>
          </cell>
          <cell r="ED21">
            <v>40</v>
          </cell>
          <cell r="EE21">
            <v>40</v>
          </cell>
          <cell r="EF21">
            <v>40</v>
          </cell>
          <cell r="EG21">
            <v>40</v>
          </cell>
          <cell r="EH21">
            <v>40</v>
          </cell>
          <cell r="EI21">
            <v>40</v>
          </cell>
          <cell r="EJ21">
            <v>40</v>
          </cell>
          <cell r="EK21">
            <v>40</v>
          </cell>
          <cell r="EL21">
            <v>40</v>
          </cell>
          <cell r="EM21">
            <v>40</v>
          </cell>
          <cell r="EN21">
            <v>40</v>
          </cell>
          <cell r="EO21">
            <v>40</v>
          </cell>
          <cell r="EQ21">
            <v>39.999999999999986</v>
          </cell>
          <cell r="ER21">
            <v>39.999999999999986</v>
          </cell>
          <cell r="ES21">
            <v>51.428571428571431</v>
          </cell>
          <cell r="EW21">
            <v>40</v>
          </cell>
          <cell r="EX21">
            <v>40</v>
          </cell>
          <cell r="EY21">
            <v>40</v>
          </cell>
          <cell r="EZ21">
            <v>40</v>
          </cell>
          <cell r="FA21">
            <v>40</v>
          </cell>
          <cell r="FB21">
            <v>40</v>
          </cell>
          <cell r="FC21">
            <v>40</v>
          </cell>
          <cell r="FD21">
            <v>40</v>
          </cell>
          <cell r="FE21">
            <v>40</v>
          </cell>
          <cell r="FG21">
            <v>40</v>
          </cell>
          <cell r="FW21">
            <v>40</v>
          </cell>
          <cell r="FX21">
            <v>40</v>
          </cell>
          <cell r="FY21">
            <v>40</v>
          </cell>
          <cell r="FZ21">
            <v>40</v>
          </cell>
          <cell r="GA21">
            <v>40</v>
          </cell>
          <cell r="GB21">
            <v>40</v>
          </cell>
          <cell r="GC21">
            <v>40</v>
          </cell>
        </row>
        <row r="22">
          <cell r="A22" t="str">
            <v>Rental Revenue</v>
          </cell>
          <cell r="C22">
            <v>22.5</v>
          </cell>
          <cell r="D22">
            <v>3.75</v>
          </cell>
          <cell r="E22">
            <v>15</v>
          </cell>
          <cell r="F22">
            <v>30</v>
          </cell>
          <cell r="G22">
            <v>6</v>
          </cell>
          <cell r="H22">
            <v>6</v>
          </cell>
          <cell r="I22">
            <v>15</v>
          </cell>
          <cell r="J22">
            <v>6</v>
          </cell>
          <cell r="K22">
            <v>15</v>
          </cell>
          <cell r="L22">
            <v>6</v>
          </cell>
          <cell r="M22">
            <v>15</v>
          </cell>
          <cell r="N22">
            <v>15</v>
          </cell>
          <cell r="O22">
            <v>15</v>
          </cell>
          <cell r="P22">
            <v>6</v>
          </cell>
          <cell r="Q22">
            <v>6</v>
          </cell>
          <cell r="R22">
            <v>6</v>
          </cell>
          <cell r="S22">
            <v>6</v>
          </cell>
          <cell r="T22">
            <v>15</v>
          </cell>
          <cell r="U22">
            <v>6</v>
          </cell>
          <cell r="V22">
            <v>6</v>
          </cell>
          <cell r="W22">
            <v>15</v>
          </cell>
          <cell r="X22">
            <v>30</v>
          </cell>
          <cell r="Y22">
            <v>11.607142857142858</v>
          </cell>
          <cell r="Z22">
            <v>243.75</v>
          </cell>
          <cell r="AA22">
            <v>86.391346035465006</v>
          </cell>
          <cell r="AB22">
            <v>-114.75</v>
          </cell>
          <cell r="AE22">
            <v>5</v>
          </cell>
          <cell r="AF22">
            <v>5</v>
          </cell>
          <cell r="AG22">
            <v>5</v>
          </cell>
          <cell r="AH22">
            <v>5</v>
          </cell>
          <cell r="AI22">
            <v>5</v>
          </cell>
          <cell r="AJ22">
            <v>5</v>
          </cell>
          <cell r="AK22">
            <v>5</v>
          </cell>
          <cell r="AL22">
            <v>5</v>
          </cell>
          <cell r="AM22">
            <v>12.5</v>
          </cell>
          <cell r="AN22">
            <v>5</v>
          </cell>
          <cell r="AO22">
            <v>12.5</v>
          </cell>
          <cell r="AP22">
            <v>12.5</v>
          </cell>
          <cell r="AQ22">
            <v>5</v>
          </cell>
          <cell r="AR22">
            <v>12.5</v>
          </cell>
          <cell r="AS22">
            <v>5</v>
          </cell>
          <cell r="AT22">
            <v>25</v>
          </cell>
          <cell r="AU22">
            <v>5</v>
          </cell>
          <cell r="AV22">
            <v>5</v>
          </cell>
          <cell r="AW22">
            <v>5</v>
          </cell>
          <cell r="AX22">
            <v>5</v>
          </cell>
          <cell r="AY22">
            <v>5</v>
          </cell>
          <cell r="AZ22">
            <v>12.5</v>
          </cell>
          <cell r="BA22">
            <v>7.6136363636363633</v>
          </cell>
          <cell r="BB22">
            <v>167.5</v>
          </cell>
          <cell r="BC22">
            <v>114.75</v>
          </cell>
          <cell r="BD22">
            <v>-115</v>
          </cell>
          <cell r="BH22">
            <v>10</v>
          </cell>
          <cell r="BI22">
            <v>4</v>
          </cell>
          <cell r="BJ22">
            <v>4</v>
          </cell>
          <cell r="BK22">
            <v>4</v>
          </cell>
          <cell r="BL22">
            <v>4</v>
          </cell>
          <cell r="BM22">
            <v>10</v>
          </cell>
          <cell r="BN22">
            <v>4</v>
          </cell>
          <cell r="BO22">
            <v>4</v>
          </cell>
          <cell r="BP22">
            <v>10</v>
          </cell>
          <cell r="BQ22">
            <v>4</v>
          </cell>
          <cell r="BR22">
            <v>4</v>
          </cell>
          <cell r="BS22">
            <v>4</v>
          </cell>
          <cell r="BT22">
            <v>4</v>
          </cell>
          <cell r="BU22">
            <v>4</v>
          </cell>
          <cell r="BV22">
            <v>4</v>
          </cell>
          <cell r="BW22">
            <v>4</v>
          </cell>
          <cell r="BX22">
            <v>10</v>
          </cell>
          <cell r="BY22">
            <v>10</v>
          </cell>
          <cell r="BZ22">
            <v>10</v>
          </cell>
          <cell r="CA22">
            <v>4</v>
          </cell>
          <cell r="CB22">
            <v>10</v>
          </cell>
          <cell r="CC22">
            <v>6</v>
          </cell>
          <cell r="CD22">
            <v>126</v>
          </cell>
          <cell r="CE22">
            <v>115</v>
          </cell>
          <cell r="CF22">
            <v>-60</v>
          </cell>
          <cell r="CJ22">
            <v>4</v>
          </cell>
          <cell r="CK22">
            <v>10</v>
          </cell>
          <cell r="CL22">
            <v>4</v>
          </cell>
          <cell r="CM22">
            <v>4</v>
          </cell>
          <cell r="CN22">
            <v>4</v>
          </cell>
          <cell r="CO22">
            <v>4</v>
          </cell>
          <cell r="CP22">
            <v>4</v>
          </cell>
          <cell r="CQ22">
            <v>4</v>
          </cell>
          <cell r="CR22">
            <v>4</v>
          </cell>
          <cell r="CS22">
            <v>4</v>
          </cell>
          <cell r="CT22">
            <v>4</v>
          </cell>
          <cell r="CU22">
            <v>4</v>
          </cell>
          <cell r="CV22">
            <v>4</v>
          </cell>
          <cell r="CW22">
            <v>4</v>
          </cell>
          <cell r="CX22">
            <v>4</v>
          </cell>
          <cell r="CY22">
            <v>4</v>
          </cell>
          <cell r="CZ22">
            <v>4</v>
          </cell>
          <cell r="DA22">
            <v>4</v>
          </cell>
          <cell r="DB22">
            <v>4</v>
          </cell>
          <cell r="DC22">
            <v>4</v>
          </cell>
          <cell r="DE22">
            <v>4</v>
          </cell>
          <cell r="DF22">
            <v>4</v>
          </cell>
          <cell r="DH22">
            <v>4.3</v>
          </cell>
          <cell r="DI22">
            <v>86</v>
          </cell>
          <cell r="DJ22">
            <v>60</v>
          </cell>
          <cell r="DK22">
            <v>-36</v>
          </cell>
          <cell r="DQ22">
            <v>4</v>
          </cell>
          <cell r="DR22">
            <v>4</v>
          </cell>
          <cell r="DS22">
            <v>4</v>
          </cell>
          <cell r="DT22">
            <v>4</v>
          </cell>
          <cell r="DU22">
            <v>4</v>
          </cell>
          <cell r="DV22">
            <v>4</v>
          </cell>
          <cell r="DW22">
            <v>4</v>
          </cell>
          <cell r="DX22">
            <v>4</v>
          </cell>
          <cell r="DY22">
            <v>4</v>
          </cell>
          <cell r="DZ22">
            <v>4</v>
          </cell>
          <cell r="EA22">
            <v>4</v>
          </cell>
          <cell r="EB22">
            <v>4</v>
          </cell>
          <cell r="EC22">
            <v>4</v>
          </cell>
          <cell r="ED22">
            <v>4</v>
          </cell>
          <cell r="EE22">
            <v>4</v>
          </cell>
          <cell r="EF22">
            <v>4</v>
          </cell>
          <cell r="EG22">
            <v>4</v>
          </cell>
          <cell r="EH22">
            <v>4</v>
          </cell>
          <cell r="EI22">
            <v>4</v>
          </cell>
          <cell r="EJ22">
            <v>4</v>
          </cell>
          <cell r="EK22">
            <v>4</v>
          </cell>
          <cell r="EL22">
            <v>4</v>
          </cell>
          <cell r="EM22">
            <v>4</v>
          </cell>
          <cell r="EN22">
            <v>4</v>
          </cell>
          <cell r="EO22">
            <v>4</v>
          </cell>
          <cell r="EQ22">
            <v>4</v>
          </cell>
          <cell r="ER22">
            <v>100</v>
          </cell>
          <cell r="ES22">
            <v>36</v>
          </cell>
          <cell r="ET22">
            <v>40</v>
          </cell>
          <cell r="EW22">
            <v>4</v>
          </cell>
          <cell r="EX22">
            <v>4</v>
          </cell>
          <cell r="EY22">
            <v>4</v>
          </cell>
          <cell r="EZ22">
            <v>4</v>
          </cell>
          <cell r="FA22">
            <v>4</v>
          </cell>
          <cell r="FB22">
            <v>4</v>
          </cell>
          <cell r="FC22">
            <v>4</v>
          </cell>
          <cell r="FD22">
            <v>4</v>
          </cell>
          <cell r="FE22">
            <v>4</v>
          </cell>
          <cell r="FG22">
            <v>4</v>
          </cell>
          <cell r="FL22">
            <v>243.75</v>
          </cell>
          <cell r="FM22">
            <v>167.5</v>
          </cell>
          <cell r="FN22">
            <v>126</v>
          </cell>
          <cell r="FO22">
            <v>86</v>
          </cell>
          <cell r="FQ22">
            <v>11.607142857142858</v>
          </cell>
          <cell r="FR22">
            <v>7.6136363636363633</v>
          </cell>
          <cell r="FS22">
            <v>6</v>
          </cell>
          <cell r="FT22">
            <v>4.3</v>
          </cell>
          <cell r="FW22">
            <v>4</v>
          </cell>
          <cell r="FX22">
            <v>4</v>
          </cell>
          <cell r="FY22">
            <v>4</v>
          </cell>
          <cell r="FZ22">
            <v>4</v>
          </cell>
          <cell r="GA22">
            <v>4</v>
          </cell>
          <cell r="GB22">
            <v>4</v>
          </cell>
          <cell r="GC22">
            <v>4</v>
          </cell>
        </row>
        <row r="23">
          <cell r="A23" t="str">
            <v>Sell Through Units/Release</v>
          </cell>
          <cell r="C23">
            <v>18</v>
          </cell>
          <cell r="D23">
            <v>5.5</v>
          </cell>
          <cell r="E23">
            <v>0.9</v>
          </cell>
          <cell r="F23">
            <v>10</v>
          </cell>
          <cell r="G23">
            <v>0.7</v>
          </cell>
          <cell r="H23">
            <v>0</v>
          </cell>
          <cell r="I23">
            <v>0.9</v>
          </cell>
          <cell r="J23">
            <v>0.55000000000000004</v>
          </cell>
          <cell r="K23">
            <v>0.9</v>
          </cell>
          <cell r="L23">
            <v>0.4</v>
          </cell>
          <cell r="M23">
            <v>0.7</v>
          </cell>
          <cell r="N23">
            <v>0.7</v>
          </cell>
          <cell r="O23">
            <v>1</v>
          </cell>
          <cell r="P23">
            <v>0.7</v>
          </cell>
          <cell r="Q23">
            <v>0.3</v>
          </cell>
          <cell r="R23">
            <v>0.4</v>
          </cell>
          <cell r="S23">
            <v>0.5</v>
          </cell>
          <cell r="T23">
            <v>10.6</v>
          </cell>
          <cell r="U23">
            <v>1.4</v>
          </cell>
          <cell r="V23">
            <v>1.35</v>
          </cell>
          <cell r="W23">
            <v>1.9</v>
          </cell>
          <cell r="X23">
            <v>6.5</v>
          </cell>
          <cell r="Y23">
            <v>2.1857142857142855</v>
          </cell>
          <cell r="Z23">
            <v>45.899999999999991</v>
          </cell>
          <cell r="AA23">
            <v>18.560731833800308</v>
          </cell>
          <cell r="AB23">
            <v>-29.849999999999998</v>
          </cell>
          <cell r="AE23">
            <v>0.84</v>
          </cell>
          <cell r="AF23">
            <v>1.5</v>
          </cell>
          <cell r="AG23">
            <v>2.4</v>
          </cell>
          <cell r="AH23">
            <v>0.9</v>
          </cell>
          <cell r="AI23">
            <v>1</v>
          </cell>
          <cell r="AJ23">
            <v>1.6</v>
          </cell>
          <cell r="AK23">
            <v>0.7</v>
          </cell>
          <cell r="AL23">
            <v>3.3</v>
          </cell>
          <cell r="AM23">
            <v>2.8</v>
          </cell>
          <cell r="AN23">
            <v>1.3</v>
          </cell>
          <cell r="AO23">
            <v>6.6</v>
          </cell>
          <cell r="AP23">
            <v>2</v>
          </cell>
          <cell r="AQ23">
            <v>0.17</v>
          </cell>
          <cell r="AR23">
            <v>2.2999999999999998</v>
          </cell>
          <cell r="AS23">
            <v>0.4</v>
          </cell>
          <cell r="AT23">
            <v>11</v>
          </cell>
          <cell r="AU23">
            <v>0.14000000000000001</v>
          </cell>
          <cell r="AV23">
            <v>1.1000000000000001</v>
          </cell>
          <cell r="AW23">
            <v>0.1</v>
          </cell>
          <cell r="AX23">
            <v>0.8</v>
          </cell>
          <cell r="AY23">
            <v>0.3</v>
          </cell>
          <cell r="AZ23">
            <v>2.4</v>
          </cell>
          <cell r="BA23">
            <v>1.9840909090909091</v>
          </cell>
          <cell r="BB23">
            <v>43.65</v>
          </cell>
          <cell r="BC23">
            <v>29.849999999999998</v>
          </cell>
          <cell r="BD23">
            <v>-28.01</v>
          </cell>
          <cell r="BH23">
            <v>3.8</v>
          </cell>
          <cell r="BI23">
            <v>0.5</v>
          </cell>
          <cell r="BJ23">
            <v>0.25</v>
          </cell>
          <cell r="BK23">
            <v>0.5</v>
          </cell>
          <cell r="BL23">
            <v>2.7</v>
          </cell>
          <cell r="BM23">
            <v>6</v>
          </cell>
          <cell r="BN23">
            <v>0.8</v>
          </cell>
          <cell r="BO23">
            <v>1.85</v>
          </cell>
          <cell r="BP23">
            <v>8.8000000000000007</v>
          </cell>
          <cell r="BQ23">
            <v>1.1000000000000001</v>
          </cell>
          <cell r="BR23">
            <v>0.2</v>
          </cell>
          <cell r="BS23">
            <v>0.78500000000000003</v>
          </cell>
          <cell r="BT23">
            <v>0.3</v>
          </cell>
          <cell r="BU23">
            <v>0.4</v>
          </cell>
          <cell r="BV23">
            <v>2</v>
          </cell>
          <cell r="BW23">
            <v>1</v>
          </cell>
          <cell r="BX23">
            <v>5</v>
          </cell>
          <cell r="BY23">
            <v>9</v>
          </cell>
          <cell r="BZ23">
            <v>5</v>
          </cell>
          <cell r="CA23">
            <v>2.5</v>
          </cell>
          <cell r="CB23">
            <v>6</v>
          </cell>
          <cell r="CC23">
            <v>2.7850000000000001</v>
          </cell>
          <cell r="CD23">
            <v>58.484999999999999</v>
          </cell>
          <cell r="CE23">
            <v>28.01</v>
          </cell>
          <cell r="CF23">
            <v>-31.099999999999998</v>
          </cell>
          <cell r="CJ23">
            <v>0.4</v>
          </cell>
          <cell r="CK23">
            <v>7.5</v>
          </cell>
          <cell r="CL23">
            <v>2.5</v>
          </cell>
          <cell r="CM23">
            <v>5.35</v>
          </cell>
          <cell r="CN23">
            <v>1.1000000000000001</v>
          </cell>
          <cell r="CO23">
            <v>0.6</v>
          </cell>
          <cell r="CP23">
            <v>0.85</v>
          </cell>
          <cell r="CQ23">
            <v>2.5</v>
          </cell>
          <cell r="CR23">
            <v>4.2</v>
          </cell>
          <cell r="CS23">
            <v>2</v>
          </cell>
          <cell r="CT23">
            <v>1.425</v>
          </cell>
          <cell r="CU23">
            <v>3.1</v>
          </cell>
          <cell r="CV23">
            <v>1.7</v>
          </cell>
          <cell r="CW23">
            <v>3</v>
          </cell>
          <cell r="CX23">
            <v>2</v>
          </cell>
          <cell r="CY23">
            <v>0.5</v>
          </cell>
          <cell r="CZ23">
            <v>8</v>
          </cell>
          <cell r="DA23">
            <v>1</v>
          </cell>
          <cell r="DB23">
            <v>3</v>
          </cell>
          <cell r="DC23">
            <v>4</v>
          </cell>
          <cell r="DE23">
            <v>20</v>
          </cell>
          <cell r="DF23">
            <v>9</v>
          </cell>
          <cell r="DH23">
            <v>2.7362500000000005</v>
          </cell>
          <cell r="DI23">
            <v>54.725000000000009</v>
          </cell>
          <cell r="DJ23">
            <v>31.099999999999998</v>
          </cell>
          <cell r="DK23">
            <v>-21.5</v>
          </cell>
          <cell r="DQ23">
            <v>0.37330800000000003</v>
          </cell>
          <cell r="DR23">
            <v>6.4319444999999993</v>
          </cell>
          <cell r="DS23">
            <v>0</v>
          </cell>
          <cell r="DT23">
            <v>1.5287985000000002</v>
          </cell>
          <cell r="DU23">
            <v>0.39966899999999994</v>
          </cell>
          <cell r="DV23">
            <v>0</v>
          </cell>
          <cell r="DW23">
            <v>1.076268</v>
          </cell>
          <cell r="DX23">
            <v>0</v>
          </cell>
          <cell r="DY23">
            <v>4.8634649999999997</v>
          </cell>
          <cell r="DZ23">
            <v>2.2756935</v>
          </cell>
          <cell r="EA23">
            <v>3.2510504999999998</v>
          </cell>
          <cell r="EB23">
            <v>0</v>
          </cell>
          <cell r="EC23">
            <v>0.28104450000000003</v>
          </cell>
          <cell r="ED23">
            <v>2.6667149999999999</v>
          </cell>
          <cell r="EE23">
            <v>0.46996500000000008</v>
          </cell>
          <cell r="EF23">
            <v>1.7880150000000001</v>
          </cell>
          <cell r="EG23">
            <v>1.2607950000000001</v>
          </cell>
          <cell r="EH23">
            <v>0</v>
          </cell>
          <cell r="EI23">
            <v>12.6333</v>
          </cell>
          <cell r="EJ23">
            <v>1.2291618000000002</v>
          </cell>
          <cell r="EK23">
            <v>0.39641781000000009</v>
          </cell>
          <cell r="EL23">
            <v>9.931411185</v>
          </cell>
          <cell r="EM23">
            <v>1.4319218250000003</v>
          </cell>
          <cell r="EN23">
            <v>0.88409631000000011</v>
          </cell>
          <cell r="EO23">
            <v>5.0533520699999999</v>
          </cell>
          <cell r="EQ23">
            <v>2.3290557000000001</v>
          </cell>
          <cell r="ER23">
            <v>58.226392500000003</v>
          </cell>
          <cell r="ES23">
            <v>21.5</v>
          </cell>
          <cell r="ET23">
            <v>34.608471000000002</v>
          </cell>
          <cell r="EW23">
            <v>0.62505555000000002</v>
          </cell>
          <cell r="EX23">
            <v>1.4354366250000004</v>
          </cell>
          <cell r="EY23">
            <v>0.44852472000000004</v>
          </cell>
          <cell r="EZ23">
            <v>0.55783500000000008</v>
          </cell>
          <cell r="FA23">
            <v>5.280188475000001</v>
          </cell>
          <cell r="FB23">
            <v>0</v>
          </cell>
          <cell r="FC23">
            <v>1.1770109550000003</v>
          </cell>
          <cell r="FD23">
            <v>2.9181110700000001</v>
          </cell>
          <cell r="FE23">
            <v>10.338073545</v>
          </cell>
          <cell r="FG23">
            <v>0.27326800499999998</v>
          </cell>
          <cell r="FL23">
            <v>45.899999999999991</v>
          </cell>
          <cell r="FM23">
            <v>43.65</v>
          </cell>
          <cell r="FN23">
            <v>58.484999999999999</v>
          </cell>
          <cell r="FO23">
            <v>54.725000000000009</v>
          </cell>
          <cell r="FQ23">
            <v>2.1857142857142855</v>
          </cell>
          <cell r="FR23">
            <v>1.9840909090909091</v>
          </cell>
          <cell r="FS23">
            <v>2.7850000000000001</v>
          </cell>
          <cell r="FT23">
            <v>2.7362500000000005</v>
          </cell>
          <cell r="FW23">
            <v>1.3582867650000003</v>
          </cell>
          <cell r="FX23">
            <v>0.49985718775499999</v>
          </cell>
          <cell r="FY23">
            <v>0</v>
          </cell>
          <cell r="FZ23">
            <v>0</v>
          </cell>
          <cell r="GA23">
            <v>0</v>
          </cell>
          <cell r="GB23">
            <v>0</v>
          </cell>
          <cell r="GC23">
            <v>0</v>
          </cell>
        </row>
        <row r="24">
          <cell r="A24" t="str">
            <v>Wholesale Revenue/unit</v>
          </cell>
          <cell r="C24">
            <v>12</v>
          </cell>
          <cell r="D24">
            <v>12</v>
          </cell>
          <cell r="E24">
            <v>12</v>
          </cell>
          <cell r="F24">
            <v>12</v>
          </cell>
          <cell r="G24">
            <v>12</v>
          </cell>
          <cell r="H24">
            <v>12</v>
          </cell>
          <cell r="I24">
            <v>12</v>
          </cell>
          <cell r="J24">
            <v>12</v>
          </cell>
          <cell r="K24">
            <v>12</v>
          </cell>
          <cell r="L24">
            <v>12</v>
          </cell>
          <cell r="M24">
            <v>12</v>
          </cell>
          <cell r="N24">
            <v>12</v>
          </cell>
          <cell r="O24">
            <v>12</v>
          </cell>
          <cell r="P24">
            <v>12</v>
          </cell>
          <cell r="Q24">
            <v>12</v>
          </cell>
          <cell r="R24">
            <v>12</v>
          </cell>
          <cell r="S24">
            <v>12</v>
          </cell>
          <cell r="T24">
            <v>12</v>
          </cell>
          <cell r="U24">
            <v>12</v>
          </cell>
          <cell r="V24">
            <v>12</v>
          </cell>
          <cell r="W24">
            <v>12</v>
          </cell>
          <cell r="X24">
            <v>12</v>
          </cell>
          <cell r="Y24">
            <v>12.000000000000002</v>
          </cell>
          <cell r="Z24">
            <v>12.000000000000004</v>
          </cell>
          <cell r="AA24">
            <v>13.086633165829145</v>
          </cell>
          <cell r="AB24">
            <v>13.086633165829145</v>
          </cell>
          <cell r="AE24">
            <v>12</v>
          </cell>
          <cell r="AF24">
            <v>12</v>
          </cell>
          <cell r="AG24">
            <v>12</v>
          </cell>
          <cell r="AH24">
            <v>12</v>
          </cell>
          <cell r="AI24">
            <v>12</v>
          </cell>
          <cell r="AJ24">
            <v>12</v>
          </cell>
          <cell r="AK24">
            <v>12</v>
          </cell>
          <cell r="AL24">
            <v>12</v>
          </cell>
          <cell r="AM24">
            <v>12</v>
          </cell>
          <cell r="AN24">
            <v>12</v>
          </cell>
          <cell r="AO24">
            <v>12</v>
          </cell>
          <cell r="AP24">
            <v>12</v>
          </cell>
          <cell r="AQ24">
            <v>12</v>
          </cell>
          <cell r="AR24">
            <v>12</v>
          </cell>
          <cell r="AS24">
            <v>12</v>
          </cell>
          <cell r="AT24">
            <v>12</v>
          </cell>
          <cell r="AU24">
            <v>12</v>
          </cell>
          <cell r="AV24">
            <v>12</v>
          </cell>
          <cell r="AW24">
            <v>12</v>
          </cell>
          <cell r="AX24">
            <v>12</v>
          </cell>
          <cell r="AY24">
            <v>12</v>
          </cell>
          <cell r="AZ24">
            <v>12</v>
          </cell>
          <cell r="BA24">
            <v>12.000000000000002</v>
          </cell>
          <cell r="BB24">
            <v>12.000000000000002</v>
          </cell>
          <cell r="BC24">
            <v>13.086633165829145</v>
          </cell>
          <cell r="BD24">
            <v>12</v>
          </cell>
          <cell r="BH24">
            <v>12</v>
          </cell>
          <cell r="BI24">
            <v>12</v>
          </cell>
          <cell r="BJ24">
            <v>12</v>
          </cell>
          <cell r="BK24">
            <v>12</v>
          </cell>
          <cell r="BL24">
            <v>12</v>
          </cell>
          <cell r="BM24">
            <v>12</v>
          </cell>
          <cell r="BN24">
            <v>12</v>
          </cell>
          <cell r="BO24">
            <v>12</v>
          </cell>
          <cell r="BP24">
            <v>12</v>
          </cell>
          <cell r="BQ24">
            <v>12</v>
          </cell>
          <cell r="BR24">
            <v>12</v>
          </cell>
          <cell r="BS24">
            <v>12</v>
          </cell>
          <cell r="BT24">
            <v>12</v>
          </cell>
          <cell r="BU24">
            <v>12</v>
          </cell>
          <cell r="BV24">
            <v>12</v>
          </cell>
          <cell r="BW24">
            <v>12</v>
          </cell>
          <cell r="BX24">
            <v>12</v>
          </cell>
          <cell r="BY24">
            <v>12</v>
          </cell>
          <cell r="BZ24">
            <v>12</v>
          </cell>
          <cell r="CA24">
            <v>12</v>
          </cell>
          <cell r="CB24">
            <v>12</v>
          </cell>
          <cell r="CC24">
            <v>12</v>
          </cell>
          <cell r="CD24">
            <v>12.000000000000002</v>
          </cell>
          <cell r="CE24">
            <v>12</v>
          </cell>
          <cell r="CF24">
            <v>12</v>
          </cell>
          <cell r="CJ24">
            <v>12</v>
          </cell>
          <cell r="CK24">
            <v>12</v>
          </cell>
          <cell r="CL24">
            <v>12</v>
          </cell>
          <cell r="CM24">
            <v>12</v>
          </cell>
          <cell r="CN24">
            <v>12</v>
          </cell>
          <cell r="CO24">
            <v>12</v>
          </cell>
          <cell r="CP24">
            <v>12</v>
          </cell>
          <cell r="CQ24">
            <v>12</v>
          </cell>
          <cell r="CR24">
            <v>12</v>
          </cell>
          <cell r="CS24">
            <v>12</v>
          </cell>
          <cell r="CT24">
            <v>12</v>
          </cell>
          <cell r="CU24">
            <v>12</v>
          </cell>
          <cell r="CV24">
            <v>12</v>
          </cell>
          <cell r="CW24">
            <v>12</v>
          </cell>
          <cell r="CX24">
            <v>12</v>
          </cell>
          <cell r="CY24">
            <v>12</v>
          </cell>
          <cell r="CZ24">
            <v>12</v>
          </cell>
          <cell r="DA24">
            <v>12</v>
          </cell>
          <cell r="DB24">
            <v>12</v>
          </cell>
          <cell r="DC24">
            <v>12</v>
          </cell>
          <cell r="DE24">
            <v>12</v>
          </cell>
          <cell r="DF24">
            <v>12</v>
          </cell>
          <cell r="DH24">
            <v>11.999999999999998</v>
          </cell>
          <cell r="DI24">
            <v>11.999999999999998</v>
          </cell>
          <cell r="DJ24">
            <v>12</v>
          </cell>
          <cell r="DK24">
            <v>12</v>
          </cell>
          <cell r="DQ24">
            <v>12</v>
          </cell>
          <cell r="DR24">
            <v>12</v>
          </cell>
          <cell r="DS24">
            <v>12</v>
          </cell>
          <cell r="DT24">
            <v>12</v>
          </cell>
          <cell r="DU24">
            <v>12</v>
          </cell>
          <cell r="DV24">
            <v>12</v>
          </cell>
          <cell r="DW24">
            <v>12</v>
          </cell>
          <cell r="DX24">
            <v>12</v>
          </cell>
          <cell r="DY24">
            <v>12</v>
          </cell>
          <cell r="DZ24">
            <v>12</v>
          </cell>
          <cell r="EA24">
            <v>12</v>
          </cell>
          <cell r="EB24">
            <v>12</v>
          </cell>
          <cell r="EC24">
            <v>12</v>
          </cell>
          <cell r="ED24">
            <v>12</v>
          </cell>
          <cell r="EE24">
            <v>12</v>
          </cell>
          <cell r="EF24">
            <v>12</v>
          </cell>
          <cell r="EG24">
            <v>12</v>
          </cell>
          <cell r="EH24">
            <v>12</v>
          </cell>
          <cell r="EI24">
            <v>12</v>
          </cell>
          <cell r="EJ24">
            <v>12</v>
          </cell>
          <cell r="EK24">
            <v>12</v>
          </cell>
          <cell r="EL24">
            <v>12</v>
          </cell>
          <cell r="EM24">
            <v>12</v>
          </cell>
          <cell r="EN24">
            <v>12</v>
          </cell>
          <cell r="EO24">
            <v>12</v>
          </cell>
          <cell r="EQ24">
            <v>12</v>
          </cell>
          <cell r="ER24">
            <v>12</v>
          </cell>
          <cell r="ES24">
            <v>12</v>
          </cell>
          <cell r="ET24">
            <v>12</v>
          </cell>
          <cell r="EW24">
            <v>12</v>
          </cell>
          <cell r="EX24">
            <v>12</v>
          </cell>
          <cell r="EY24">
            <v>12</v>
          </cell>
          <cell r="EZ24">
            <v>12</v>
          </cell>
          <cell r="FA24">
            <v>12</v>
          </cell>
          <cell r="FB24">
            <v>12</v>
          </cell>
          <cell r="FC24">
            <v>12</v>
          </cell>
          <cell r="FD24">
            <v>12</v>
          </cell>
          <cell r="FE24">
            <v>12</v>
          </cell>
          <cell r="FG24">
            <v>12</v>
          </cell>
          <cell r="FW24">
            <v>12</v>
          </cell>
          <cell r="FX24">
            <v>12</v>
          </cell>
          <cell r="FY24">
            <v>12</v>
          </cell>
          <cell r="FZ24">
            <v>12</v>
          </cell>
          <cell r="GA24">
            <v>12</v>
          </cell>
          <cell r="GB24">
            <v>12</v>
          </cell>
          <cell r="GC24">
            <v>12</v>
          </cell>
        </row>
        <row r="25">
          <cell r="A25" t="str">
            <v>Wholesale Revenue</v>
          </cell>
          <cell r="C25">
            <v>216</v>
          </cell>
          <cell r="D25">
            <v>66</v>
          </cell>
          <cell r="E25">
            <v>10.8</v>
          </cell>
          <cell r="F25">
            <v>120</v>
          </cell>
          <cell r="G25">
            <v>8.3999999999999986</v>
          </cell>
          <cell r="H25">
            <v>0</v>
          </cell>
          <cell r="I25">
            <v>10.8</v>
          </cell>
          <cell r="J25">
            <v>6.6000000000000005</v>
          </cell>
          <cell r="K25">
            <v>10.8</v>
          </cell>
          <cell r="L25">
            <v>4.8000000000000007</v>
          </cell>
          <cell r="M25">
            <v>8.3999999999999986</v>
          </cell>
          <cell r="N25">
            <v>8.3999999999999986</v>
          </cell>
          <cell r="O25">
            <v>12</v>
          </cell>
          <cell r="P25">
            <v>8.3999999999999986</v>
          </cell>
          <cell r="Q25">
            <v>3.5999999999999996</v>
          </cell>
          <cell r="R25">
            <v>4.8000000000000007</v>
          </cell>
          <cell r="S25">
            <v>6</v>
          </cell>
          <cell r="T25">
            <v>127.19999999999999</v>
          </cell>
          <cell r="U25">
            <v>16.799999999999997</v>
          </cell>
          <cell r="V25">
            <v>16.200000000000003</v>
          </cell>
          <cell r="W25">
            <v>22.799999999999997</v>
          </cell>
          <cell r="X25">
            <v>78</v>
          </cell>
          <cell r="Y25">
            <v>26.228571428571431</v>
          </cell>
          <cell r="Z25">
            <v>550.80000000000007</v>
          </cell>
          <cell r="AA25">
            <v>242.89748879827189</v>
          </cell>
          <cell r="AB25">
            <v>-390.63599999999997</v>
          </cell>
          <cell r="AE25">
            <v>10.08</v>
          </cell>
          <cell r="AF25">
            <v>18</v>
          </cell>
          <cell r="AG25">
            <v>28.799999999999997</v>
          </cell>
          <cell r="AH25">
            <v>10.8</v>
          </cell>
          <cell r="AI25">
            <v>12</v>
          </cell>
          <cell r="AJ25">
            <v>19.200000000000003</v>
          </cell>
          <cell r="AK25">
            <v>8.3999999999999986</v>
          </cell>
          <cell r="AL25">
            <v>39.599999999999994</v>
          </cell>
          <cell r="AM25">
            <v>33.599999999999994</v>
          </cell>
          <cell r="AN25">
            <v>15.600000000000001</v>
          </cell>
          <cell r="AO25">
            <v>79.199999999999989</v>
          </cell>
          <cell r="AP25">
            <v>24</v>
          </cell>
          <cell r="AQ25">
            <v>2.04</v>
          </cell>
          <cell r="AR25">
            <v>27.599999999999998</v>
          </cell>
          <cell r="AS25">
            <v>4.8000000000000007</v>
          </cell>
          <cell r="AT25">
            <v>132</v>
          </cell>
          <cell r="AU25">
            <v>1.6800000000000002</v>
          </cell>
          <cell r="AV25">
            <v>13.200000000000001</v>
          </cell>
          <cell r="AW25">
            <v>1.2000000000000002</v>
          </cell>
          <cell r="AX25">
            <v>9.6000000000000014</v>
          </cell>
          <cell r="AY25">
            <v>3.5999999999999996</v>
          </cell>
          <cell r="AZ25">
            <v>28.799999999999997</v>
          </cell>
          <cell r="BA25">
            <v>23.809090909090912</v>
          </cell>
          <cell r="BB25">
            <v>523.80000000000007</v>
          </cell>
          <cell r="BC25">
            <v>390.63599999999997</v>
          </cell>
          <cell r="BD25">
            <v>-336.12</v>
          </cell>
          <cell r="BH25">
            <v>45.599999999999994</v>
          </cell>
          <cell r="BI25">
            <v>6</v>
          </cell>
          <cell r="BJ25">
            <v>3</v>
          </cell>
          <cell r="BK25">
            <v>6</v>
          </cell>
          <cell r="BL25">
            <v>32.400000000000006</v>
          </cell>
          <cell r="BM25">
            <v>72</v>
          </cell>
          <cell r="BN25">
            <v>9.6000000000000014</v>
          </cell>
          <cell r="BO25">
            <v>22.200000000000003</v>
          </cell>
          <cell r="BP25">
            <v>105.60000000000001</v>
          </cell>
          <cell r="BQ25">
            <v>13.200000000000001</v>
          </cell>
          <cell r="BR25">
            <v>2.4000000000000004</v>
          </cell>
          <cell r="BS25">
            <v>9.42</v>
          </cell>
          <cell r="BT25">
            <v>3.5999999999999996</v>
          </cell>
          <cell r="BU25">
            <v>4.8000000000000007</v>
          </cell>
          <cell r="BV25">
            <v>24</v>
          </cell>
          <cell r="BW25">
            <v>12</v>
          </cell>
          <cell r="BX25">
            <v>60</v>
          </cell>
          <cell r="BY25">
            <v>108</v>
          </cell>
          <cell r="BZ25">
            <v>60</v>
          </cell>
          <cell r="CA25">
            <v>30</v>
          </cell>
          <cell r="CB25">
            <v>72</v>
          </cell>
          <cell r="CC25">
            <v>33.42</v>
          </cell>
          <cell r="CD25">
            <v>701.82</v>
          </cell>
          <cell r="CE25">
            <v>336.12</v>
          </cell>
          <cell r="CF25">
            <v>-373.2</v>
          </cell>
          <cell r="CJ25">
            <v>4.8000000000000007</v>
          </cell>
          <cell r="CK25">
            <v>90</v>
          </cell>
          <cell r="CL25">
            <v>30</v>
          </cell>
          <cell r="CM25">
            <v>64.199999999999989</v>
          </cell>
          <cell r="CN25">
            <v>13.200000000000001</v>
          </cell>
          <cell r="CO25">
            <v>7.1999999999999993</v>
          </cell>
          <cell r="CP25">
            <v>10.199999999999999</v>
          </cell>
          <cell r="CQ25">
            <v>30</v>
          </cell>
          <cell r="CR25">
            <v>50.400000000000006</v>
          </cell>
          <cell r="CS25">
            <v>24</v>
          </cell>
          <cell r="CT25">
            <v>17.100000000000001</v>
          </cell>
          <cell r="CU25">
            <v>37.200000000000003</v>
          </cell>
          <cell r="CV25">
            <v>20.399999999999999</v>
          </cell>
          <cell r="CW25">
            <v>36</v>
          </cell>
          <cell r="CX25">
            <v>24</v>
          </cell>
          <cell r="CY25">
            <v>6</v>
          </cell>
          <cell r="CZ25">
            <v>96</v>
          </cell>
          <cell r="DA25">
            <v>12</v>
          </cell>
          <cell r="DB25">
            <v>36</v>
          </cell>
          <cell r="DC25">
            <v>48</v>
          </cell>
          <cell r="DE25">
            <v>240</v>
          </cell>
          <cell r="DF25">
            <v>108</v>
          </cell>
          <cell r="DH25">
            <v>32.835000000000001</v>
          </cell>
          <cell r="DI25">
            <v>656.7</v>
          </cell>
          <cell r="DJ25">
            <v>373.2</v>
          </cell>
          <cell r="DK25">
            <v>-258</v>
          </cell>
          <cell r="DQ25">
            <v>4.4796960000000006</v>
          </cell>
          <cell r="DR25">
            <v>77.183333999999988</v>
          </cell>
          <cell r="DS25">
            <v>0</v>
          </cell>
          <cell r="DT25">
            <v>18.345582</v>
          </cell>
          <cell r="DU25">
            <v>4.7960279999999997</v>
          </cell>
          <cell r="DV25">
            <v>0</v>
          </cell>
          <cell r="DW25">
            <v>12.915216000000001</v>
          </cell>
          <cell r="DX25">
            <v>0</v>
          </cell>
          <cell r="DY25">
            <v>58.361579999999996</v>
          </cell>
          <cell r="DZ25">
            <v>27.308322</v>
          </cell>
          <cell r="EA25">
            <v>39.012605999999998</v>
          </cell>
          <cell r="EB25">
            <v>0</v>
          </cell>
          <cell r="EC25">
            <v>3.3725340000000004</v>
          </cell>
          <cell r="ED25">
            <v>32.000579999999999</v>
          </cell>
          <cell r="EE25">
            <v>5.6395800000000005</v>
          </cell>
          <cell r="EF25">
            <v>21.456180000000003</v>
          </cell>
          <cell r="EG25">
            <v>15.129540000000002</v>
          </cell>
          <cell r="EH25">
            <v>0</v>
          </cell>
          <cell r="EI25">
            <v>151.59960000000001</v>
          </cell>
          <cell r="EJ25">
            <v>14.749941600000003</v>
          </cell>
          <cell r="EK25">
            <v>4.7570137200000016</v>
          </cell>
          <cell r="EL25">
            <v>119.17693421999999</v>
          </cell>
          <cell r="EM25">
            <v>17.183061900000006</v>
          </cell>
          <cell r="EN25">
            <v>10.60915572</v>
          </cell>
          <cell r="EO25">
            <v>60.640224840000002</v>
          </cell>
          <cell r="EQ25">
            <v>27.948668400000003</v>
          </cell>
          <cell r="ER25">
            <v>698.71671000000003</v>
          </cell>
          <cell r="ES25">
            <v>258</v>
          </cell>
          <cell r="ET25">
            <v>415.30165199999999</v>
          </cell>
          <cell r="EW25">
            <v>7.5006666000000006</v>
          </cell>
          <cell r="EX25">
            <v>17.225239500000004</v>
          </cell>
          <cell r="EY25">
            <v>5.3822966400000007</v>
          </cell>
          <cell r="EZ25">
            <v>6.694020000000001</v>
          </cell>
          <cell r="FA25">
            <v>63.362261700000012</v>
          </cell>
          <cell r="FB25">
            <v>0</v>
          </cell>
          <cell r="FC25">
            <v>14.124131460000005</v>
          </cell>
          <cell r="FD25">
            <v>35.017332840000002</v>
          </cell>
          <cell r="FE25">
            <v>124.05688254</v>
          </cell>
          <cell r="FG25">
            <v>3.2792160599999995</v>
          </cell>
          <cell r="FL25">
            <v>550.80000000000007</v>
          </cell>
          <cell r="FM25">
            <v>523.80000000000007</v>
          </cell>
          <cell r="FN25">
            <v>701.82</v>
          </cell>
          <cell r="FO25">
            <v>656.7</v>
          </cell>
          <cell r="FQ25">
            <v>26.228571428571431</v>
          </cell>
          <cell r="FR25">
            <v>23.809090909090912</v>
          </cell>
          <cell r="FS25">
            <v>33.42</v>
          </cell>
          <cell r="FT25">
            <v>32.835000000000001</v>
          </cell>
          <cell r="FW25">
            <v>16.299441180000002</v>
          </cell>
          <cell r="FX25">
            <v>5.9982862530599999</v>
          </cell>
          <cell r="FY25">
            <v>0</v>
          </cell>
          <cell r="FZ25">
            <v>0</v>
          </cell>
          <cell r="GA25">
            <v>0</v>
          </cell>
          <cell r="GB25">
            <v>0</v>
          </cell>
          <cell r="GC25">
            <v>0</v>
          </cell>
        </row>
        <row r="26">
          <cell r="A26" t="str">
            <v>International Home Video Revenue</v>
          </cell>
          <cell r="C26">
            <v>166.95</v>
          </cell>
          <cell r="D26">
            <v>20.925000000000001</v>
          </cell>
          <cell r="E26">
            <v>12.9</v>
          </cell>
          <cell r="F26">
            <v>105</v>
          </cell>
          <cell r="G26">
            <v>0</v>
          </cell>
          <cell r="H26">
            <v>0</v>
          </cell>
          <cell r="I26">
            <v>12.9</v>
          </cell>
          <cell r="J26">
            <v>3.7800000000000002</v>
          </cell>
          <cell r="K26">
            <v>18.059999999999999</v>
          </cell>
          <cell r="L26">
            <v>0</v>
          </cell>
          <cell r="M26">
            <v>16.38</v>
          </cell>
          <cell r="N26">
            <v>7.02</v>
          </cell>
          <cell r="O26">
            <v>13.5</v>
          </cell>
          <cell r="P26">
            <v>4.3199999999999994</v>
          </cell>
          <cell r="Q26">
            <v>0</v>
          </cell>
          <cell r="R26">
            <v>3.24</v>
          </cell>
          <cell r="S26">
            <v>3.5999999999999996</v>
          </cell>
          <cell r="T26">
            <v>106.64999999999999</v>
          </cell>
          <cell r="U26">
            <v>9.1199999999999992</v>
          </cell>
          <cell r="V26">
            <v>0</v>
          </cell>
          <cell r="W26">
            <v>26.459999999999997</v>
          </cell>
          <cell r="X26">
            <v>75.599999999999994</v>
          </cell>
          <cell r="Y26">
            <v>20.926428571428566</v>
          </cell>
          <cell r="Z26">
            <v>439.45499999999993</v>
          </cell>
          <cell r="AA26">
            <v>170.71116516626313</v>
          </cell>
          <cell r="AB26">
            <v>-266.29499999999996</v>
          </cell>
          <cell r="AE26">
            <v>4.524</v>
          </cell>
          <cell r="AF26">
            <v>11.5</v>
          </cell>
          <cell r="AG26">
            <v>10.139999999999999</v>
          </cell>
          <cell r="AH26">
            <v>4.74</v>
          </cell>
          <cell r="AI26">
            <v>6.8000000000000007</v>
          </cell>
          <cell r="AJ26">
            <v>7.2600000000000007</v>
          </cell>
          <cell r="AK26">
            <v>6.6999999999999993</v>
          </cell>
          <cell r="AL26">
            <v>8.92</v>
          </cell>
          <cell r="AM26">
            <v>23.049999999999997</v>
          </cell>
          <cell r="AN26">
            <v>6.1800000000000006</v>
          </cell>
          <cell r="AO26">
            <v>64.189999999999984</v>
          </cell>
          <cell r="AP26">
            <v>29.200000000000003</v>
          </cell>
          <cell r="AQ26">
            <v>2.1120000000000001</v>
          </cell>
          <cell r="AR26">
            <v>28.069999999999993</v>
          </cell>
          <cell r="AS26">
            <v>2.94</v>
          </cell>
          <cell r="AT26">
            <v>109.89999999999999</v>
          </cell>
          <cell r="AU26">
            <v>2.004</v>
          </cell>
          <cell r="AV26">
            <v>9.1000000000000014</v>
          </cell>
          <cell r="AW26">
            <v>1.8599999999999999</v>
          </cell>
          <cell r="AX26">
            <v>4.38</v>
          </cell>
          <cell r="AY26">
            <v>0</v>
          </cell>
          <cell r="AZ26">
            <v>16.52</v>
          </cell>
          <cell r="BA26">
            <v>16.367727272727276</v>
          </cell>
          <cell r="BB26">
            <v>360.09000000000003</v>
          </cell>
          <cell r="BC26">
            <v>266.29499999999996</v>
          </cell>
          <cell r="BD26">
            <v>-276.97599999999994</v>
          </cell>
          <cell r="BH26">
            <v>38.919999999999995</v>
          </cell>
          <cell r="BI26">
            <v>3</v>
          </cell>
          <cell r="BJ26">
            <v>2.1</v>
          </cell>
          <cell r="BK26">
            <v>3</v>
          </cell>
          <cell r="BL26">
            <v>21.840000000000003</v>
          </cell>
          <cell r="BM26">
            <v>57.4</v>
          </cell>
          <cell r="BN26">
            <v>4.08</v>
          </cell>
          <cell r="BO26">
            <v>15.72</v>
          </cell>
          <cell r="BP26">
            <v>46.240000000000009</v>
          </cell>
          <cell r="BQ26">
            <v>0</v>
          </cell>
          <cell r="BR26">
            <v>3.2</v>
          </cell>
          <cell r="BS26">
            <v>0</v>
          </cell>
          <cell r="BT26">
            <v>2.2799999999999998</v>
          </cell>
          <cell r="BU26">
            <v>0</v>
          </cell>
          <cell r="BV26">
            <v>8.4</v>
          </cell>
          <cell r="BW26">
            <v>8</v>
          </cell>
          <cell r="BX26">
            <v>49</v>
          </cell>
          <cell r="BY26">
            <v>82.6</v>
          </cell>
          <cell r="BZ26">
            <v>35</v>
          </cell>
          <cell r="CA26">
            <v>0</v>
          </cell>
          <cell r="CB26">
            <v>49.199999999999996</v>
          </cell>
          <cell r="CC26">
            <v>20.475238095238094</v>
          </cell>
          <cell r="CD26">
            <v>429.97999999999996</v>
          </cell>
          <cell r="CE26">
            <v>276.97599999999994</v>
          </cell>
          <cell r="CF26">
            <v>-235.39999999999998</v>
          </cell>
          <cell r="CJ26">
            <v>2.64</v>
          </cell>
          <cell r="CK26">
            <v>75</v>
          </cell>
          <cell r="CL26">
            <v>10.199999999999999</v>
          </cell>
          <cell r="CM26">
            <v>40.919999999999995</v>
          </cell>
          <cell r="CN26">
            <v>5.160000000000001</v>
          </cell>
          <cell r="CO26">
            <v>1.1199999999999999</v>
          </cell>
          <cell r="CP26">
            <v>0</v>
          </cell>
          <cell r="CQ26">
            <v>17</v>
          </cell>
          <cell r="CR26">
            <v>27.200000000000003</v>
          </cell>
          <cell r="CS26">
            <v>8.4</v>
          </cell>
          <cell r="CT26">
            <v>6.33</v>
          </cell>
          <cell r="CU26">
            <v>12.360000000000001</v>
          </cell>
          <cell r="CV26">
            <v>14.639999999999999</v>
          </cell>
          <cell r="CW26">
            <v>20</v>
          </cell>
          <cell r="CX26">
            <v>8.4</v>
          </cell>
          <cell r="CY26">
            <v>3</v>
          </cell>
          <cell r="CZ26">
            <v>60</v>
          </cell>
          <cell r="DA26">
            <v>4.8</v>
          </cell>
          <cell r="DB26">
            <v>8</v>
          </cell>
          <cell r="DC26">
            <v>57.2</v>
          </cell>
          <cell r="DE26">
            <v>146.4</v>
          </cell>
          <cell r="DF26">
            <v>56</v>
          </cell>
          <cell r="DH26">
            <v>19.118500000000001</v>
          </cell>
          <cell r="DI26">
            <v>382.37</v>
          </cell>
          <cell r="DJ26">
            <v>235.39999999999998</v>
          </cell>
          <cell r="DK26">
            <v>-161.4</v>
          </cell>
          <cell r="DQ26">
            <v>0.8479696000000001</v>
          </cell>
          <cell r="DR26">
            <v>56.828333799999989</v>
          </cell>
          <cell r="DS26">
            <v>0</v>
          </cell>
          <cell r="DT26">
            <v>6.7036746000000003</v>
          </cell>
          <cell r="DU26">
            <v>2.6388083999999998</v>
          </cell>
          <cell r="DV26">
            <v>1.2</v>
          </cell>
          <cell r="DW26">
            <v>5.0745648000000001</v>
          </cell>
          <cell r="DX26">
            <v>1.2</v>
          </cell>
          <cell r="DY26">
            <v>18.708473999999999</v>
          </cell>
          <cell r="DZ26">
            <v>9.3924965999999994</v>
          </cell>
          <cell r="EA26">
            <v>12.903781799999999</v>
          </cell>
          <cell r="EB26">
            <v>1.2</v>
          </cell>
          <cell r="EC26">
            <v>2.2117602000000001</v>
          </cell>
          <cell r="ED26">
            <v>10.800174</v>
          </cell>
          <cell r="EE26">
            <v>2.8918740000000001</v>
          </cell>
          <cell r="EF26">
            <v>7.6368540000000005</v>
          </cell>
          <cell r="EG26">
            <v>5.7388620000000001</v>
          </cell>
          <cell r="EH26">
            <v>1.2</v>
          </cell>
          <cell r="EI26">
            <v>108.91972</v>
          </cell>
          <cell r="EJ26">
            <v>5.6249824800000008</v>
          </cell>
          <cell r="EK26">
            <v>2.6271041160000004</v>
          </cell>
          <cell r="EL26">
            <v>36.953080265999994</v>
          </cell>
          <cell r="EM26">
            <v>6.3549185700000015</v>
          </cell>
          <cell r="EN26">
            <v>4.3827467159999998</v>
          </cell>
          <cell r="EO26">
            <v>19.392067451999999</v>
          </cell>
          <cell r="EQ26">
            <v>13.257289896</v>
          </cell>
          <cell r="ER26">
            <v>331.43224739999999</v>
          </cell>
          <cell r="ES26">
            <v>161.4</v>
          </cell>
          <cell r="ET26">
            <v>198.83033560000001</v>
          </cell>
          <cell r="EW26">
            <v>3.4501999800000003</v>
          </cell>
          <cell r="EX26">
            <v>6.3675718500000009</v>
          </cell>
          <cell r="EY26">
            <v>2.8146889919999998</v>
          </cell>
          <cell r="EZ26">
            <v>3.2082060000000006</v>
          </cell>
          <cell r="FA26">
            <v>20.208678510000002</v>
          </cell>
          <cell r="FB26">
            <v>1.2</v>
          </cell>
          <cell r="FC26">
            <v>5.4372394380000015</v>
          </cell>
          <cell r="FD26">
            <v>11.705199852</v>
          </cell>
          <cell r="FE26">
            <v>38.417064762000003</v>
          </cell>
          <cell r="FG26">
            <v>2.1837648179999998</v>
          </cell>
          <cell r="FL26">
            <v>439.45499999999993</v>
          </cell>
          <cell r="FM26">
            <v>360.09000000000003</v>
          </cell>
          <cell r="FN26">
            <v>429.97999999999996</v>
          </cell>
          <cell r="FO26">
            <v>382.37</v>
          </cell>
          <cell r="FQ26">
            <v>20.926428571428566</v>
          </cell>
          <cell r="FR26">
            <v>16.367727272727276</v>
          </cell>
          <cell r="FS26">
            <v>20.475238095238094</v>
          </cell>
          <cell r="FT26">
            <v>19.118500000000001</v>
          </cell>
          <cell r="FW26">
            <v>6.0898323540000003</v>
          </cell>
          <cell r="FX26">
            <v>2.9994858759179999</v>
          </cell>
          <cell r="FY26">
            <v>1.2</v>
          </cell>
          <cell r="FZ26">
            <v>1.2</v>
          </cell>
          <cell r="GA26">
            <v>1.2</v>
          </cell>
          <cell r="GB26">
            <v>1.2</v>
          </cell>
          <cell r="GC26">
            <v>1.2</v>
          </cell>
        </row>
        <row r="27">
          <cell r="A27" t="str">
            <v>Home Video Revenue</v>
          </cell>
          <cell r="C27">
            <v>32.436</v>
          </cell>
          <cell r="D27">
            <v>90.674999999999997</v>
          </cell>
          <cell r="E27">
            <v>38.700000000000003</v>
          </cell>
          <cell r="F27">
            <v>255</v>
          </cell>
          <cell r="G27">
            <v>14.399999999999999</v>
          </cell>
          <cell r="H27">
            <v>6</v>
          </cell>
          <cell r="I27">
            <v>38.700000000000003</v>
          </cell>
          <cell r="J27">
            <v>16.380000000000003</v>
          </cell>
          <cell r="K27">
            <v>43.86</v>
          </cell>
          <cell r="L27">
            <v>10.8</v>
          </cell>
          <cell r="M27">
            <v>39.78</v>
          </cell>
          <cell r="N27">
            <v>30.419999999999998</v>
          </cell>
          <cell r="O27">
            <v>40.5</v>
          </cell>
          <cell r="P27">
            <v>18.72</v>
          </cell>
          <cell r="Q27">
            <v>9.6</v>
          </cell>
          <cell r="R27">
            <v>14.040000000000001</v>
          </cell>
          <cell r="S27">
            <v>15.6</v>
          </cell>
          <cell r="T27">
            <v>248.84999999999997</v>
          </cell>
          <cell r="U27">
            <v>31.919999999999995</v>
          </cell>
          <cell r="V27">
            <v>22.200000000000003</v>
          </cell>
          <cell r="W27">
            <v>64.259999999999991</v>
          </cell>
          <cell r="X27">
            <v>183.6</v>
          </cell>
          <cell r="Y27">
            <v>58.762142857142841</v>
          </cell>
          <cell r="Z27">
            <v>1234.0049999999997</v>
          </cell>
          <cell r="AA27">
            <v>500</v>
          </cell>
          <cell r="AB27">
            <v>-771.68099999999993</v>
          </cell>
          <cell r="AC27">
            <v>962.32399999999973</v>
          </cell>
          <cell r="AE27">
            <v>19.603999999999999</v>
          </cell>
          <cell r="AF27">
            <v>34.5</v>
          </cell>
          <cell r="AG27">
            <v>43.94</v>
          </cell>
          <cell r="AH27">
            <v>20.54</v>
          </cell>
          <cell r="AI27">
            <v>23.8</v>
          </cell>
          <cell r="AJ27">
            <v>31.460000000000004</v>
          </cell>
          <cell r="AK27">
            <v>20.099999999999998</v>
          </cell>
          <cell r="AL27">
            <v>53.519999999999996</v>
          </cell>
          <cell r="AM27">
            <v>69.149999999999991</v>
          </cell>
          <cell r="AN27">
            <v>26.78</v>
          </cell>
          <cell r="AO27">
            <v>155.88999999999999</v>
          </cell>
          <cell r="AP27">
            <v>65.7</v>
          </cell>
          <cell r="AQ27">
            <v>9.152000000000001</v>
          </cell>
          <cell r="AR27">
            <v>68.169999999999987</v>
          </cell>
          <cell r="AS27">
            <v>12.74</v>
          </cell>
          <cell r="AT27">
            <v>266.89999999999998</v>
          </cell>
          <cell r="AU27">
            <v>8.6840000000000011</v>
          </cell>
          <cell r="AV27">
            <v>27.300000000000004</v>
          </cell>
          <cell r="AW27">
            <v>8.06</v>
          </cell>
          <cell r="AX27">
            <v>18.98</v>
          </cell>
          <cell r="AY27">
            <v>8.6</v>
          </cell>
          <cell r="AZ27">
            <v>57.819999999999993</v>
          </cell>
          <cell r="BA27">
            <v>47.790454545454551</v>
          </cell>
          <cell r="BB27">
            <v>1051.3899999999999</v>
          </cell>
          <cell r="BC27">
            <v>771.68099999999993</v>
          </cell>
          <cell r="BD27">
            <v>-728.096</v>
          </cell>
          <cell r="BE27">
            <v>1094.9749999999999</v>
          </cell>
          <cell r="BH27">
            <v>94.519999999999982</v>
          </cell>
          <cell r="BI27">
            <v>13</v>
          </cell>
          <cell r="BJ27">
            <v>9.1</v>
          </cell>
          <cell r="BK27">
            <v>13</v>
          </cell>
          <cell r="BL27">
            <v>58.240000000000009</v>
          </cell>
          <cell r="BM27">
            <v>139.4</v>
          </cell>
          <cell r="BN27">
            <v>17.68</v>
          </cell>
          <cell r="BO27">
            <v>41.92</v>
          </cell>
          <cell r="BP27">
            <v>161.84000000000003</v>
          </cell>
          <cell r="BQ27">
            <v>17.200000000000003</v>
          </cell>
          <cell r="BR27">
            <v>9.6000000000000014</v>
          </cell>
          <cell r="BS27">
            <v>13.42</v>
          </cell>
          <cell r="BT27">
            <v>9.879999999999999</v>
          </cell>
          <cell r="BU27">
            <v>8.8000000000000007</v>
          </cell>
          <cell r="BV27">
            <v>36.4</v>
          </cell>
          <cell r="BW27">
            <v>24</v>
          </cell>
          <cell r="BX27">
            <v>119</v>
          </cell>
          <cell r="BY27">
            <v>200.6</v>
          </cell>
          <cell r="BZ27">
            <v>105</v>
          </cell>
          <cell r="CA27">
            <v>34</v>
          </cell>
          <cell r="CB27">
            <v>131.19999999999999</v>
          </cell>
          <cell r="CC27">
            <v>59.895238095238099</v>
          </cell>
          <cell r="CD27">
            <v>1257.8</v>
          </cell>
          <cell r="CE27">
            <v>728.096</v>
          </cell>
          <cell r="CF27">
            <v>-668.59999999999991</v>
          </cell>
          <cell r="CG27">
            <v>1317.296</v>
          </cell>
          <cell r="CJ27">
            <v>11.440000000000001</v>
          </cell>
          <cell r="CK27">
            <v>175</v>
          </cell>
          <cell r="CL27">
            <v>44.2</v>
          </cell>
          <cell r="CM27">
            <v>109.11999999999998</v>
          </cell>
          <cell r="CN27">
            <v>22.360000000000003</v>
          </cell>
          <cell r="CO27">
            <v>12.319999999999999</v>
          </cell>
          <cell r="CP27">
            <v>14.2</v>
          </cell>
          <cell r="CQ27">
            <v>51</v>
          </cell>
          <cell r="CR27">
            <v>81.600000000000009</v>
          </cell>
          <cell r="CS27">
            <v>36.4</v>
          </cell>
          <cell r="CT27">
            <v>27.43</v>
          </cell>
          <cell r="CU27">
            <v>53.56</v>
          </cell>
          <cell r="CV27">
            <v>39.04</v>
          </cell>
          <cell r="CW27">
            <v>60</v>
          </cell>
          <cell r="CX27">
            <v>36.4</v>
          </cell>
          <cell r="CY27">
            <v>13</v>
          </cell>
          <cell r="CZ27">
            <v>160</v>
          </cell>
          <cell r="DA27">
            <v>20.8</v>
          </cell>
          <cell r="DB27">
            <v>48</v>
          </cell>
          <cell r="DC27">
            <v>109.2</v>
          </cell>
          <cell r="DE27">
            <v>390.4</v>
          </cell>
          <cell r="DF27">
            <v>168</v>
          </cell>
          <cell r="DH27">
            <v>56.253500000000003</v>
          </cell>
          <cell r="DI27">
            <v>1125.0700000000002</v>
          </cell>
          <cell r="DJ27">
            <v>668.59999999999991</v>
          </cell>
          <cell r="DK27">
            <v>-455.4</v>
          </cell>
          <cell r="DL27">
            <v>1338.27</v>
          </cell>
          <cell r="DN27">
            <v>1338.27</v>
          </cell>
          <cell r="DO27">
            <v>-502.88799999999998</v>
          </cell>
          <cell r="DQ27">
            <v>9.3276655999999996</v>
          </cell>
          <cell r="DR27">
            <v>138.01166779999997</v>
          </cell>
          <cell r="DS27">
            <v>4</v>
          </cell>
          <cell r="DT27">
            <v>29.0492566</v>
          </cell>
          <cell r="DU27">
            <v>11.4348364</v>
          </cell>
          <cell r="DV27">
            <v>5.2</v>
          </cell>
          <cell r="DW27">
            <v>21.989780800000002</v>
          </cell>
          <cell r="DX27">
            <v>5.2</v>
          </cell>
          <cell r="DY27">
            <v>81.070053999999999</v>
          </cell>
          <cell r="DZ27">
            <v>40.700818599999998</v>
          </cell>
          <cell r="EA27">
            <v>55.916387799999995</v>
          </cell>
          <cell r="EB27">
            <v>5.2</v>
          </cell>
          <cell r="EC27">
            <v>9.5842942000000004</v>
          </cell>
          <cell r="ED27">
            <v>46.800753999999998</v>
          </cell>
          <cell r="EE27">
            <v>12.531454</v>
          </cell>
          <cell r="EF27">
            <v>33.093034000000003</v>
          </cell>
          <cell r="EG27">
            <v>24.868402000000003</v>
          </cell>
          <cell r="EH27">
            <v>5.2</v>
          </cell>
          <cell r="EI27">
            <v>264.51931999999999</v>
          </cell>
          <cell r="EJ27">
            <v>24.374924080000003</v>
          </cell>
          <cell r="EK27">
            <v>11.384117836000001</v>
          </cell>
          <cell r="EL27">
            <v>160.13001448599999</v>
          </cell>
          <cell r="EM27">
            <v>27.537980470000008</v>
          </cell>
          <cell r="EN27">
            <v>18.991902436</v>
          </cell>
          <cell r="EO27">
            <v>84.032292291999994</v>
          </cell>
          <cell r="EQ27">
            <v>45.205958296000006</v>
          </cell>
          <cell r="ER27">
            <v>1130.1489574</v>
          </cell>
          <cell r="ES27">
            <v>455.4</v>
          </cell>
          <cell r="ET27">
            <v>654.1319876</v>
          </cell>
          <cell r="EU27">
            <v>2239.6809450000001</v>
          </cell>
          <cell r="EW27">
            <v>14.950866580000001</v>
          </cell>
          <cell r="EX27">
            <v>27.592811350000005</v>
          </cell>
          <cell r="EY27">
            <v>12.196985632000001</v>
          </cell>
          <cell r="EZ27">
            <v>13.902226000000002</v>
          </cell>
          <cell r="FA27">
            <v>87.570940210000018</v>
          </cell>
          <cell r="FB27">
            <v>5.2</v>
          </cell>
          <cell r="FC27">
            <v>23.561370898000007</v>
          </cell>
          <cell r="FD27">
            <v>50.722532692000001</v>
          </cell>
          <cell r="FE27">
            <v>166.473947302</v>
          </cell>
          <cell r="FG27">
            <v>9.4629808779999998</v>
          </cell>
          <cell r="FI27">
            <v>2239.6809450000001</v>
          </cell>
          <cell r="FJ27">
            <v>642.71867935443993</v>
          </cell>
          <cell r="FL27">
            <v>1234.0049999999997</v>
          </cell>
          <cell r="FM27">
            <v>1051.3899999999999</v>
          </cell>
          <cell r="FN27">
            <v>1257.8</v>
          </cell>
          <cell r="FO27">
            <v>1125.0700000000002</v>
          </cell>
          <cell r="FQ27">
            <v>58.762142857142841</v>
          </cell>
          <cell r="FR27">
            <v>47.790454545454551</v>
          </cell>
          <cell r="FS27">
            <v>59.895238095238099</v>
          </cell>
          <cell r="FT27">
            <v>56.253500000000003</v>
          </cell>
          <cell r="FW27">
            <v>26.389273534000004</v>
          </cell>
          <cell r="FX27">
            <v>12.997772128977999</v>
          </cell>
          <cell r="FY27">
            <v>5.2</v>
          </cell>
          <cell r="FZ27">
            <v>5.2</v>
          </cell>
          <cell r="GA27">
            <v>5.2</v>
          </cell>
          <cell r="GB27">
            <v>5.2</v>
          </cell>
          <cell r="GC27">
            <v>5.2</v>
          </cell>
        </row>
        <row r="28">
          <cell r="A28" t="str">
            <v>Home Video Rev. as % of Global Box Office</v>
          </cell>
          <cell r="C28">
            <v>0.62434554973821976</v>
          </cell>
          <cell r="D28">
            <v>1.457797427652733</v>
          </cell>
          <cell r="E28">
            <v>0.60093167701863348</v>
          </cell>
          <cell r="F28">
            <v>0.70403092214246277</v>
          </cell>
          <cell r="G28">
            <v>1.44</v>
          </cell>
          <cell r="H28">
            <v>1.1320754716981132</v>
          </cell>
          <cell r="I28">
            <v>0.38700000000000001</v>
          </cell>
          <cell r="J28">
            <v>0.44632152588555862</v>
          </cell>
          <cell r="K28">
            <v>0.58793565683646121</v>
          </cell>
          <cell r="L28">
            <v>3.3750000000000004</v>
          </cell>
          <cell r="M28">
            <v>0.28212765957446811</v>
          </cell>
          <cell r="N28">
            <v>0.76240601503759398</v>
          </cell>
          <cell r="O28">
            <v>0.44117647058823528</v>
          </cell>
          <cell r="P28">
            <v>0.76408163265306117</v>
          </cell>
          <cell r="Q28">
            <v>0.56470588235294117</v>
          </cell>
          <cell r="R28">
            <v>0.60517241379310349</v>
          </cell>
          <cell r="S28">
            <v>1.56</v>
          </cell>
          <cell r="T28">
            <v>0.6502482362163573</v>
          </cell>
          <cell r="U28">
            <v>0.50109890109890098</v>
          </cell>
          <cell r="V28">
            <v>1.3136094674556216</v>
          </cell>
          <cell r="W28">
            <v>0.5390939597315435</v>
          </cell>
          <cell r="X28">
            <v>0.51241975997767231</v>
          </cell>
          <cell r="Y28">
            <v>0.61491179988040656</v>
          </cell>
          <cell r="Z28">
            <v>0.61491179988040656</v>
          </cell>
          <cell r="AE28">
            <v>1.1669047619047619</v>
          </cell>
          <cell r="AF28">
            <v>0.66091954022988497</v>
          </cell>
          <cell r="AG28">
            <v>1.2773255813953488</v>
          </cell>
          <cell r="AH28">
            <v>0.53910761154855635</v>
          </cell>
          <cell r="AI28">
            <v>0.54214123006833703</v>
          </cell>
          <cell r="AJ28">
            <v>1.1097001763668433</v>
          </cell>
          <cell r="AK28">
            <v>0.66999999999999993</v>
          </cell>
          <cell r="AL28">
            <v>0.92916666666666659</v>
          </cell>
          <cell r="AM28">
            <v>0.68128078817733984</v>
          </cell>
          <cell r="AN28">
            <v>1.1444444444444444</v>
          </cell>
          <cell r="AO28">
            <v>0.87040759352317132</v>
          </cell>
          <cell r="AP28">
            <v>0.85882352941176476</v>
          </cell>
          <cell r="AQ28">
            <v>1.6342857142857146</v>
          </cell>
          <cell r="AR28">
            <v>0.69632277834525014</v>
          </cell>
          <cell r="AS28">
            <v>1.0111111111111111</v>
          </cell>
          <cell r="AT28">
            <v>0.65658056580565805</v>
          </cell>
          <cell r="AU28">
            <v>1.8878260869565222</v>
          </cell>
          <cell r="AV28">
            <v>0.69113924050632924</v>
          </cell>
          <cell r="AW28">
            <v>1.0746666666666667</v>
          </cell>
          <cell r="AX28">
            <v>0.67067137809187283</v>
          </cell>
          <cell r="AY28">
            <v>1.7551020408163263</v>
          </cell>
          <cell r="AZ28">
            <v>0.69915356711003618</v>
          </cell>
          <cell r="BA28">
            <v>0.76634717008637343</v>
          </cell>
          <cell r="BB28">
            <v>0.76634717008637343</v>
          </cell>
          <cell r="BH28">
            <v>0.52716118237590615</v>
          </cell>
          <cell r="BI28">
            <v>1</v>
          </cell>
          <cell r="BJ28">
            <v>0.90099009900990101</v>
          </cell>
          <cell r="BK28">
            <v>1.1206896551724139</v>
          </cell>
          <cell r="BL28">
            <v>0.72709113607990028</v>
          </cell>
          <cell r="BM28">
            <v>0.6622327790973872</v>
          </cell>
          <cell r="BN28">
            <v>0.69881422924901182</v>
          </cell>
          <cell r="BO28">
            <v>0.63708206686930091</v>
          </cell>
          <cell r="BP28">
            <v>0.85089379600420634</v>
          </cell>
          <cell r="BQ28">
            <v>1.0289542952859538</v>
          </cell>
          <cell r="BR28">
            <v>0.69565217391304357</v>
          </cell>
          <cell r="BS28">
            <v>0.92043895747599447</v>
          </cell>
          <cell r="BT28">
            <v>1.335135135135135</v>
          </cell>
          <cell r="BU28">
            <v>1.5714285714285716</v>
          </cell>
          <cell r="BV28">
            <v>1.1677895412255372</v>
          </cell>
          <cell r="BW28">
            <v>1.1650485436893203</v>
          </cell>
          <cell r="BX28">
            <v>1.0119047619047619</v>
          </cell>
          <cell r="BY28">
            <v>0.37079482439926059</v>
          </cell>
          <cell r="BZ28">
            <v>0.54123711340206182</v>
          </cell>
          <cell r="CA28">
            <v>0.77272727272727271</v>
          </cell>
          <cell r="CB28">
            <v>0.78095238095238084</v>
          </cell>
          <cell r="CC28">
            <v>0.64161488211895124</v>
          </cell>
          <cell r="CD28">
            <v>0.64161488211895124</v>
          </cell>
          <cell r="CJ28">
            <v>0.92258064516129035</v>
          </cell>
          <cell r="CK28">
            <v>0.50403225806451601</v>
          </cell>
          <cell r="CL28">
            <v>1.23463687150838</v>
          </cell>
          <cell r="CM28">
            <v>0.63738317757009333</v>
          </cell>
          <cell r="CN28">
            <v>1.3975000000000002</v>
          </cell>
          <cell r="CO28">
            <v>1.1733333333333331</v>
          </cell>
          <cell r="CP28">
            <v>0.91025641025641013</v>
          </cell>
          <cell r="CQ28">
            <v>0.74780058651026393</v>
          </cell>
          <cell r="CR28">
            <v>0.75000000000000011</v>
          </cell>
          <cell r="CS28">
            <v>2.4761904761904763</v>
          </cell>
          <cell r="CT28">
            <v>0.94913494809688581</v>
          </cell>
          <cell r="CU28">
            <v>1.106611570247934</v>
          </cell>
          <cell r="CV28">
            <v>0.69714285714285718</v>
          </cell>
          <cell r="CW28">
            <v>0.48939641109298532</v>
          </cell>
          <cell r="CX28">
            <v>1.1297330850403473</v>
          </cell>
          <cell r="CY28">
            <v>1.1304347826086956</v>
          </cell>
          <cell r="CZ28">
            <v>0.61420345489443373</v>
          </cell>
          <cell r="DA28">
            <v>1.0452261306532662</v>
          </cell>
          <cell r="DB28">
            <v>1.1085450346420322</v>
          </cell>
          <cell r="DC28">
            <v>0.52148997134670483</v>
          </cell>
          <cell r="DE28">
            <v>0.46310794780545667</v>
          </cell>
          <cell r="DF28">
            <v>0.39678790741615494</v>
          </cell>
          <cell r="DH28">
            <v>0.68890834721269711</v>
          </cell>
          <cell r="DI28">
            <v>0.68890834721269723</v>
          </cell>
          <cell r="DQ28">
            <v>0.53300946285714279</v>
          </cell>
          <cell r="DR28">
            <v>0.41885179908952952</v>
          </cell>
          <cell r="DS28">
            <v>1.25</v>
          </cell>
          <cell r="DT28">
            <v>0.3631157075</v>
          </cell>
          <cell r="DU28">
            <v>0.65341922285714282</v>
          </cell>
          <cell r="DV28">
            <v>4.7272727272727266</v>
          </cell>
          <cell r="DW28">
            <v>0.2649371180722892</v>
          </cell>
          <cell r="DX28">
            <v>0.85245901639344268</v>
          </cell>
          <cell r="DY28">
            <v>0.4569901578354002</v>
          </cell>
          <cell r="DZ28">
            <v>0.44433208078602621</v>
          </cell>
          <cell r="EA28">
            <v>0.43684677968749996</v>
          </cell>
          <cell r="EB28">
            <v>0.83870967741935498</v>
          </cell>
          <cell r="EC28">
            <v>0.56711800000000012</v>
          </cell>
          <cell r="ED28">
            <v>0.36850987401574803</v>
          </cell>
          <cell r="EE28">
            <v>0.50734631578947376</v>
          </cell>
          <cell r="EF28">
            <v>0.42210502551020407</v>
          </cell>
          <cell r="EG28">
            <v>0.42007435810810817</v>
          </cell>
          <cell r="EH28">
            <v>2</v>
          </cell>
          <cell r="EI28">
            <v>0.48094421818181815</v>
          </cell>
          <cell r="EJ28">
            <v>0.33928515464491527</v>
          </cell>
          <cell r="EK28">
            <v>0.30836225786879035</v>
          </cell>
          <cell r="EL28">
            <v>0.3548092221717522</v>
          </cell>
          <cell r="EM28">
            <v>0.33724380902811801</v>
          </cell>
          <cell r="EN28">
            <v>0.14246954304789766</v>
          </cell>
          <cell r="EO28">
            <v>0.66490712516022843</v>
          </cell>
          <cell r="EQ28">
            <v>0.41836977140031012</v>
          </cell>
          <cell r="ER28">
            <v>0.41836977140031006</v>
          </cell>
          <cell r="EW28">
            <v>0.28425862384972239</v>
          </cell>
          <cell r="EX28">
            <v>0.50669919476274428</v>
          </cell>
          <cell r="EY28">
            <v>0.62974936142090043</v>
          </cell>
          <cell r="EZ28">
            <v>0.63713226397800193</v>
          </cell>
          <cell r="FA28">
            <v>0.35006811887877076</v>
          </cell>
          <cell r="FB28">
            <v>0.13237615192709132</v>
          </cell>
          <cell r="FC28">
            <v>0.50157255770090492</v>
          </cell>
          <cell r="FD28">
            <v>0.20924532992859118</v>
          </cell>
          <cell r="FE28">
            <v>0.32402552767396953</v>
          </cell>
          <cell r="FG28">
            <v>0.62044196682402308</v>
          </cell>
          <cell r="FW28">
            <v>0.47011211625752669</v>
          </cell>
          <cell r="FX28">
            <v>0.66044338331280605</v>
          </cell>
          <cell r="FY28" t="e">
            <v>#DIV/0!</v>
          </cell>
          <cell r="FZ28" t="e">
            <v>#DIV/0!</v>
          </cell>
          <cell r="GA28" t="e">
            <v>#DIV/0!</v>
          </cell>
          <cell r="GB28" t="e">
            <v>#DIV/0!</v>
          </cell>
          <cell r="GC28" t="e">
            <v>#DIV/0!</v>
          </cell>
        </row>
        <row r="29">
          <cell r="A29" t="str">
            <v>Home Video Rev. as % of Studio Theatrical Rev.</v>
          </cell>
          <cell r="C29">
            <v>0.26461950137057827</v>
          </cell>
          <cell r="D29">
            <v>2.915594855305466</v>
          </cell>
          <cell r="E29">
            <v>1.201863354037267</v>
          </cell>
          <cell r="F29">
            <v>1.4080618442849255</v>
          </cell>
          <cell r="G29">
            <v>2.88</v>
          </cell>
          <cell r="H29">
            <v>2.2641509433962264</v>
          </cell>
          <cell r="I29">
            <v>0.77400000000000002</v>
          </cell>
          <cell r="J29">
            <v>0.89264305177111725</v>
          </cell>
          <cell r="K29">
            <v>1.1758713136729224</v>
          </cell>
          <cell r="L29">
            <v>6.7500000000000009</v>
          </cell>
          <cell r="M29">
            <v>0.56425531914893623</v>
          </cell>
          <cell r="N29">
            <v>1.524812030075188</v>
          </cell>
          <cell r="O29">
            <v>0.88235294117647056</v>
          </cell>
          <cell r="P29">
            <v>1.5281632653061223</v>
          </cell>
          <cell r="Q29">
            <v>1.1294117647058823</v>
          </cell>
          <cell r="R29">
            <v>1.210344827586207</v>
          </cell>
          <cell r="S29">
            <v>3.12</v>
          </cell>
          <cell r="T29">
            <v>1.3004964724327146</v>
          </cell>
          <cell r="U29">
            <v>1.002197802197802</v>
          </cell>
          <cell r="V29">
            <v>2.6272189349112431</v>
          </cell>
          <cell r="W29">
            <v>1.078187919463087</v>
          </cell>
          <cell r="X29">
            <v>1.0248395199553446</v>
          </cell>
          <cell r="Y29">
            <v>1.2298235997608127</v>
          </cell>
          <cell r="Z29">
            <v>1.2298235997608127</v>
          </cell>
          <cell r="AC29">
            <v>0.97451439547588659</v>
          </cell>
          <cell r="AE29">
            <v>2.3338095238095238</v>
          </cell>
          <cell r="AF29">
            <v>1.3218390804597699</v>
          </cell>
          <cell r="AG29">
            <v>2.5546511627906976</v>
          </cell>
          <cell r="AH29">
            <v>1.0782152230971127</v>
          </cell>
          <cell r="AI29">
            <v>1.0842824601366741</v>
          </cell>
          <cell r="AJ29">
            <v>2.2194003527336865</v>
          </cell>
          <cell r="AK29">
            <v>1.3399999999999999</v>
          </cell>
          <cell r="AL29">
            <v>1.8583333333333332</v>
          </cell>
          <cell r="AM29">
            <v>1.3625615763546797</v>
          </cell>
          <cell r="AN29">
            <v>2.2888888888888888</v>
          </cell>
          <cell r="AO29">
            <v>1.7408151870463426</v>
          </cell>
          <cell r="AP29">
            <v>1.7176470588235295</v>
          </cell>
          <cell r="AQ29">
            <v>3.2685714285714291</v>
          </cell>
          <cell r="AR29">
            <v>1.3926455566905003</v>
          </cell>
          <cell r="AS29">
            <v>2.0222222222222221</v>
          </cell>
          <cell r="AT29">
            <v>1.3131611316113161</v>
          </cell>
          <cell r="AU29">
            <v>3.7756521739130444</v>
          </cell>
          <cell r="AV29">
            <v>1.3822784810126585</v>
          </cell>
          <cell r="AW29">
            <v>2.1493333333333333</v>
          </cell>
          <cell r="AX29">
            <v>1.3413427561837457</v>
          </cell>
          <cell r="AY29">
            <v>3.5102040816326525</v>
          </cell>
          <cell r="AZ29">
            <v>1.3983071342200724</v>
          </cell>
          <cell r="BA29">
            <v>1.5326943401727469</v>
          </cell>
          <cell r="BB29">
            <v>1.5326943401727466</v>
          </cell>
          <cell r="BE29">
            <v>1.2798900601936103</v>
          </cell>
          <cell r="BH29">
            <v>1.0543223647518123</v>
          </cell>
          <cell r="BI29">
            <v>2</v>
          </cell>
          <cell r="BJ29">
            <v>1.801980198019802</v>
          </cell>
          <cell r="BK29">
            <v>2.2413793103448278</v>
          </cell>
          <cell r="BL29">
            <v>1.4541822721598006</v>
          </cell>
          <cell r="BM29">
            <v>1.3244655581947744</v>
          </cell>
          <cell r="BN29">
            <v>1.3976284584980236</v>
          </cell>
          <cell r="BO29">
            <v>1.2741641337386018</v>
          </cell>
          <cell r="BP29">
            <v>1.7017875920084127</v>
          </cell>
          <cell r="BQ29">
            <v>2.0579085905719077</v>
          </cell>
          <cell r="BR29">
            <v>1.3913043478260871</v>
          </cell>
          <cell r="BS29">
            <v>1.8408779149519889</v>
          </cell>
          <cell r="BT29">
            <v>2.6702702702702701</v>
          </cell>
          <cell r="BU29">
            <v>3.1428571428571432</v>
          </cell>
          <cell r="BV29">
            <v>2.3355790824510745</v>
          </cell>
          <cell r="BW29">
            <v>2.3300970873786406</v>
          </cell>
          <cell r="BX29">
            <v>2.0238095238095237</v>
          </cell>
          <cell r="BY29">
            <v>0.74158964879852118</v>
          </cell>
          <cell r="BZ29">
            <v>1.0824742268041236</v>
          </cell>
          <cell r="CA29">
            <v>1.5454545454545454</v>
          </cell>
          <cell r="CB29">
            <v>1.5619047619047617</v>
          </cell>
          <cell r="CC29">
            <v>1.2832297642379025</v>
          </cell>
          <cell r="CD29">
            <v>1.2832297642379025</v>
          </cell>
          <cell r="CG29">
            <v>1.3434660468598056</v>
          </cell>
          <cell r="CJ29">
            <v>1.8451612903225807</v>
          </cell>
          <cell r="CK29">
            <v>1.008064516129032</v>
          </cell>
          <cell r="CL29">
            <v>2.4692737430167599</v>
          </cell>
          <cell r="CM29">
            <v>1.2747663551401867</v>
          </cell>
          <cell r="CN29">
            <v>2.7950000000000004</v>
          </cell>
          <cell r="CO29">
            <v>2.3466666666666662</v>
          </cell>
          <cell r="CP29">
            <v>1.8205128205128203</v>
          </cell>
          <cell r="CQ29">
            <v>1.4956011730205279</v>
          </cell>
          <cell r="CR29">
            <v>1.5000000000000002</v>
          </cell>
          <cell r="CS29">
            <v>4.9523809523809526</v>
          </cell>
          <cell r="CT29">
            <v>1.8982698961937716</v>
          </cell>
          <cell r="CU29">
            <v>2.213223140495868</v>
          </cell>
          <cell r="CV29">
            <v>1.3942857142857144</v>
          </cell>
          <cell r="CW29">
            <v>0.97879282218597063</v>
          </cell>
          <cell r="CX29">
            <v>2.2594661700806946</v>
          </cell>
          <cell r="CY29">
            <v>2.2608695652173911</v>
          </cell>
          <cell r="CZ29">
            <v>1.2284069097888675</v>
          </cell>
          <cell r="DA29">
            <v>2.0904522613065324</v>
          </cell>
          <cell r="DB29">
            <v>2.2170900692840645</v>
          </cell>
          <cell r="DC29">
            <v>1.0429799426934097</v>
          </cell>
          <cell r="DE29">
            <v>0.92621589561091333</v>
          </cell>
          <cell r="DF29">
            <v>0.79357581483230988</v>
          </cell>
          <cell r="DH29">
            <v>1.3778166944253942</v>
          </cell>
          <cell r="DI29">
            <v>1.3778166944253945</v>
          </cell>
          <cell r="DL29">
            <v>1.612062734894478</v>
          </cell>
          <cell r="DQ29">
            <v>1.0660189257142856</v>
          </cell>
          <cell r="DR29">
            <v>0.83770359817905904</v>
          </cell>
          <cell r="DS29">
            <v>2.5</v>
          </cell>
          <cell r="DT29">
            <v>0.72623141499999999</v>
          </cell>
          <cell r="DU29">
            <v>1.3068384457142856</v>
          </cell>
          <cell r="DV29">
            <v>9.4545454545454533</v>
          </cell>
          <cell r="DW29">
            <v>0.5298742361445784</v>
          </cell>
          <cell r="DX29">
            <v>1.7049180327868854</v>
          </cell>
          <cell r="DY29">
            <v>0.9139803156708004</v>
          </cell>
          <cell r="DZ29">
            <v>0.88866416157205241</v>
          </cell>
          <cell r="EA29">
            <v>0.87369355937499993</v>
          </cell>
          <cell r="EB29">
            <v>1.67741935483871</v>
          </cell>
          <cell r="EC29">
            <v>1.1342360000000002</v>
          </cell>
          <cell r="ED29">
            <v>0.73701974803149606</v>
          </cell>
          <cell r="EE29">
            <v>1.0146926315789475</v>
          </cell>
          <cell r="EF29">
            <v>0.84421005102040814</v>
          </cell>
          <cell r="EG29">
            <v>0.84014871621621634</v>
          </cell>
          <cell r="EH29">
            <v>4</v>
          </cell>
          <cell r="EI29">
            <v>0.9618884363636363</v>
          </cell>
          <cell r="EJ29">
            <v>0.67857030928983053</v>
          </cell>
          <cell r="EK29">
            <v>0.61672451573758069</v>
          </cell>
          <cell r="EL29">
            <v>0.70961844434350441</v>
          </cell>
          <cell r="EM29">
            <v>0.67448761805623603</v>
          </cell>
          <cell r="EN29">
            <v>0.28493908609579532</v>
          </cell>
          <cell r="EO29">
            <v>1.3298142503204569</v>
          </cell>
          <cell r="EQ29">
            <v>0.83673954280062024</v>
          </cell>
          <cell r="ER29">
            <v>0.83673954280062013</v>
          </cell>
          <cell r="EU29">
            <v>1.7575277987909002</v>
          </cell>
          <cell r="EW29">
            <v>0.56851724769944478</v>
          </cell>
          <cell r="EX29">
            <v>1.0133983895254886</v>
          </cell>
          <cell r="EY29">
            <v>1.2594987228418009</v>
          </cell>
          <cell r="EZ29">
            <v>1.2742645279560039</v>
          </cell>
          <cell r="FA29">
            <v>0.70013623775754152</v>
          </cell>
          <cell r="FB29">
            <v>0.26475230385418264</v>
          </cell>
          <cell r="FC29">
            <v>1.0031451154018098</v>
          </cell>
          <cell r="FD29">
            <v>0.41849065985718237</v>
          </cell>
          <cell r="FE29">
            <v>0.64805105534793905</v>
          </cell>
          <cell r="FG29">
            <v>1.2408839336480462</v>
          </cell>
          <cell r="FW29">
            <v>0.94022423251505338</v>
          </cell>
          <cell r="FX29">
            <v>1.3208867666256121</v>
          </cell>
          <cell r="FY29" t="e">
            <v>#DIV/0!</v>
          </cell>
          <cell r="FZ29" t="e">
            <v>#DIV/0!</v>
          </cell>
          <cell r="GA29" t="e">
            <v>#DIV/0!</v>
          </cell>
          <cell r="GB29" t="e">
            <v>#DIV/0!</v>
          </cell>
          <cell r="GC29" t="e">
            <v>#DIV/0!</v>
          </cell>
        </row>
        <row r="31">
          <cell r="A31" t="str">
            <v>TV Releases</v>
          </cell>
        </row>
        <row r="32">
          <cell r="A32" t="str">
            <v>Release Date</v>
          </cell>
          <cell r="AL32" t="str">
            <v>C4Q03</v>
          </cell>
          <cell r="AM32" t="str">
            <v>C1Q04</v>
          </cell>
          <cell r="AO32" t="str">
            <v>C1Q04</v>
          </cell>
          <cell r="AR32" t="str">
            <v>C2Q04</v>
          </cell>
          <cell r="AT32" t="str">
            <v>C2Q04</v>
          </cell>
          <cell r="BH32" t="str">
            <v>C3Q04</v>
          </cell>
          <cell r="BI32" t="str">
            <v>C3Q04</v>
          </cell>
          <cell r="BJ32" t="str">
            <v>C3Q04</v>
          </cell>
          <cell r="BK32" t="str">
            <v>C3Q04</v>
          </cell>
        </row>
        <row r="33">
          <cell r="A33" t="str">
            <v>Free TV Distribution Revenue</v>
          </cell>
          <cell r="C33">
            <v>5.1952000000000007</v>
          </cell>
          <cell r="D33">
            <v>7.4640000000000004</v>
          </cell>
          <cell r="E33">
            <v>7.7280000000000006</v>
          </cell>
          <cell r="F33">
            <v>43.463999999999999</v>
          </cell>
          <cell r="G33">
            <v>1.2</v>
          </cell>
          <cell r="H33">
            <v>0.63600000000000001</v>
          </cell>
          <cell r="I33">
            <v>12</v>
          </cell>
          <cell r="J33">
            <v>4.4039999999999999</v>
          </cell>
          <cell r="K33">
            <v>8.9519999999999982</v>
          </cell>
          <cell r="L33">
            <v>0.38399999999999995</v>
          </cell>
          <cell r="M33">
            <v>16.919999999999998</v>
          </cell>
          <cell r="N33">
            <v>4.7879999999999994</v>
          </cell>
          <cell r="O33">
            <v>11.016</v>
          </cell>
          <cell r="P33">
            <v>2.94</v>
          </cell>
          <cell r="Q33">
            <v>2.04</v>
          </cell>
          <cell r="R33">
            <v>2.7839999999999998</v>
          </cell>
          <cell r="S33">
            <v>1.2</v>
          </cell>
          <cell r="T33">
            <v>45.924000000000007</v>
          </cell>
          <cell r="U33">
            <v>7.6440000000000001</v>
          </cell>
          <cell r="V33">
            <v>2.0279999999999996</v>
          </cell>
          <cell r="W33">
            <v>14.304</v>
          </cell>
          <cell r="X33">
            <v>42.996000000000002</v>
          </cell>
          <cell r="Y33">
            <v>11.467428571428574</v>
          </cell>
          <cell r="Z33">
            <v>240.81600000000003</v>
          </cell>
          <cell r="AA33">
            <v>98.122929034147546</v>
          </cell>
          <cell r="AB33">
            <v>-151.43920000000003</v>
          </cell>
          <cell r="AE33">
            <v>2.016</v>
          </cell>
          <cell r="AF33">
            <v>6.2640000000000002</v>
          </cell>
          <cell r="AG33">
            <v>4.1280000000000001</v>
          </cell>
          <cell r="AH33">
            <v>4.5720000000000001</v>
          </cell>
          <cell r="AI33">
            <v>5.2680000000000007</v>
          </cell>
          <cell r="AJ33">
            <v>3.4019999999999997</v>
          </cell>
          <cell r="AK33">
            <v>3.5999999999999996</v>
          </cell>
          <cell r="AL33">
            <v>6.9119999999999999</v>
          </cell>
          <cell r="AM33">
            <v>12.18</v>
          </cell>
          <cell r="AN33">
            <v>2.8080000000000003</v>
          </cell>
          <cell r="AO33">
            <v>21.491999999999997</v>
          </cell>
          <cell r="AP33">
            <v>9.18</v>
          </cell>
          <cell r="AQ33">
            <v>0.67199999999999993</v>
          </cell>
          <cell r="AR33">
            <v>11.748000000000001</v>
          </cell>
          <cell r="AS33">
            <v>1.512</v>
          </cell>
          <cell r="AT33">
            <v>48.78</v>
          </cell>
          <cell r="AU33">
            <v>0.55199999999999994</v>
          </cell>
          <cell r="AV33">
            <v>4.74</v>
          </cell>
          <cell r="AW33">
            <v>0.89999999999999991</v>
          </cell>
          <cell r="AX33">
            <v>3.3959999999999999</v>
          </cell>
          <cell r="AY33">
            <v>0.58799999999999997</v>
          </cell>
          <cell r="AZ33">
            <v>9.9239999999999995</v>
          </cell>
          <cell r="BA33">
            <v>7.4833636363636353</v>
          </cell>
          <cell r="BB33">
            <v>164.63399999999999</v>
          </cell>
          <cell r="BC33">
            <v>151.43920000000003</v>
          </cell>
          <cell r="BD33">
            <v>-117.084</v>
          </cell>
          <cell r="BE33">
            <v>198.98920000000004</v>
          </cell>
          <cell r="BH33">
            <v>21.516000000000002</v>
          </cell>
          <cell r="BI33">
            <v>1.56</v>
          </cell>
          <cell r="BJ33">
            <v>1.212</v>
          </cell>
          <cell r="BK33">
            <v>1.3919999999999999</v>
          </cell>
          <cell r="BL33">
            <v>9.6119999999999983</v>
          </cell>
          <cell r="BM33">
            <v>25.259999999999998</v>
          </cell>
          <cell r="BN33">
            <v>3.036</v>
          </cell>
          <cell r="BO33">
            <v>7.895999999999999</v>
          </cell>
          <cell r="BP33">
            <v>22.823999999999998</v>
          </cell>
          <cell r="BQ33">
            <v>2.0059199999999997</v>
          </cell>
          <cell r="BR33">
            <v>1.6559999999999999</v>
          </cell>
          <cell r="BS33">
            <v>1.7496</v>
          </cell>
          <cell r="BT33">
            <v>0.88800000000000001</v>
          </cell>
          <cell r="BU33">
            <v>0.67199999999999993</v>
          </cell>
          <cell r="BV33">
            <v>3.7404000000000002</v>
          </cell>
          <cell r="BW33">
            <v>2.472</v>
          </cell>
          <cell r="BX33">
            <v>14.111999999999998</v>
          </cell>
          <cell r="BY33">
            <v>64.92</v>
          </cell>
          <cell r="BZ33">
            <v>23.279999999999998</v>
          </cell>
          <cell r="CA33">
            <v>5.2799999999999994</v>
          </cell>
          <cell r="CB33">
            <v>20.16</v>
          </cell>
          <cell r="CC33">
            <v>11.202091428571427</v>
          </cell>
          <cell r="CD33">
            <v>235.24391999999997</v>
          </cell>
          <cell r="CE33">
            <v>117.084</v>
          </cell>
          <cell r="CF33">
            <v>-136.29240000000001</v>
          </cell>
          <cell r="CG33">
            <v>216.03551999999993</v>
          </cell>
          <cell r="CJ33">
            <v>1.488</v>
          </cell>
          <cell r="CK33">
            <v>41.664000000000001</v>
          </cell>
          <cell r="CL33">
            <v>4.2959999999999994</v>
          </cell>
          <cell r="CM33">
            <v>20.543999999999997</v>
          </cell>
          <cell r="CN33">
            <v>1.92</v>
          </cell>
          <cell r="CO33">
            <v>1.26</v>
          </cell>
          <cell r="CP33">
            <v>1.8720000000000001</v>
          </cell>
          <cell r="CQ33">
            <v>8.1839999999999993</v>
          </cell>
          <cell r="CR33">
            <v>13.055999999999999</v>
          </cell>
          <cell r="CS33">
            <v>1.7639999999999998</v>
          </cell>
          <cell r="CT33">
            <v>3.4679999999999995</v>
          </cell>
          <cell r="CU33">
            <v>5.8079999999999998</v>
          </cell>
          <cell r="CV33">
            <v>6.72</v>
          </cell>
          <cell r="CW33">
            <v>14.711999999999998</v>
          </cell>
          <cell r="CX33">
            <v>3.8664000000000005</v>
          </cell>
          <cell r="CY33">
            <v>1.38</v>
          </cell>
          <cell r="CZ33">
            <v>31.259999999999998</v>
          </cell>
          <cell r="DA33">
            <v>2.3880000000000003</v>
          </cell>
          <cell r="DB33">
            <v>5.1960000000000006</v>
          </cell>
          <cell r="DC33">
            <v>25.128</v>
          </cell>
          <cell r="DE33">
            <v>101.16</v>
          </cell>
          <cell r="DF33">
            <v>50.807999999999993</v>
          </cell>
          <cell r="DH33">
            <v>9.7987199999999994</v>
          </cell>
          <cell r="DI33">
            <v>195.9744</v>
          </cell>
          <cell r="DJ33">
            <v>136.29240000000001</v>
          </cell>
          <cell r="DK33">
            <v>-83.930399999999992</v>
          </cell>
          <cell r="DL33">
            <v>248.3364</v>
          </cell>
          <cell r="DQ33">
            <v>2.1</v>
          </cell>
          <cell r="DR33">
            <v>39.54</v>
          </cell>
          <cell r="DS33">
            <v>0.38400000000000001</v>
          </cell>
          <cell r="DT33">
            <v>9.6</v>
          </cell>
          <cell r="DU33">
            <v>2.1</v>
          </cell>
          <cell r="DV33">
            <v>0.13200000000000001</v>
          </cell>
          <cell r="DW33">
            <v>9.9599999999999991</v>
          </cell>
          <cell r="DX33">
            <v>0.73199999999999998</v>
          </cell>
          <cell r="DY33">
            <v>21.288</v>
          </cell>
          <cell r="DZ33">
            <v>10.991999999999999</v>
          </cell>
          <cell r="EA33">
            <v>15.36</v>
          </cell>
          <cell r="EB33">
            <v>0.74399999999999988</v>
          </cell>
          <cell r="EC33">
            <v>2.0279999999999996</v>
          </cell>
          <cell r="ED33">
            <v>15.24</v>
          </cell>
          <cell r="EE33">
            <v>2.964</v>
          </cell>
          <cell r="EF33">
            <v>9.4079999999999995</v>
          </cell>
          <cell r="EG33">
            <v>7.1040000000000001</v>
          </cell>
          <cell r="EH33">
            <v>0.312</v>
          </cell>
          <cell r="EI33">
            <v>66</v>
          </cell>
          <cell r="EJ33">
            <v>8.6210399999999989</v>
          </cell>
          <cell r="EK33">
            <v>4.4301599999999999</v>
          </cell>
          <cell r="EL33">
            <v>54.157559999999997</v>
          </cell>
          <cell r="EM33">
            <v>9.7987200000000012</v>
          </cell>
          <cell r="EN33">
            <v>15.996600000000001</v>
          </cell>
          <cell r="EO33">
            <v>15.165839999999999</v>
          </cell>
          <cell r="EQ33">
            <v>12.966316800000001</v>
          </cell>
          <cell r="ER33">
            <v>324.15792000000005</v>
          </cell>
          <cell r="ES33">
            <v>83.930399999999992</v>
          </cell>
          <cell r="ET33">
            <v>-150.03276</v>
          </cell>
          <cell r="EU33">
            <v>258.05556000000007</v>
          </cell>
          <cell r="EW33">
            <v>6.3115199999999998</v>
          </cell>
          <cell r="EX33">
            <v>6.5347200000000001</v>
          </cell>
          <cell r="EY33">
            <v>2.32416</v>
          </cell>
          <cell r="EZ33">
            <v>2.6183999999999998</v>
          </cell>
          <cell r="FA33">
            <v>30.018479999999997</v>
          </cell>
          <cell r="FB33">
            <v>4.7138399999999994</v>
          </cell>
          <cell r="FC33">
            <v>5.6369999999999996</v>
          </cell>
          <cell r="FD33">
            <v>29.088839999999998</v>
          </cell>
          <cell r="FE33">
            <v>61.652160000000002</v>
          </cell>
          <cell r="FG33">
            <v>1.8302399999999999</v>
          </cell>
          <cell r="FL33">
            <v>240.81600000000003</v>
          </cell>
          <cell r="FM33">
            <v>164.63399999999999</v>
          </cell>
          <cell r="FN33">
            <v>235.24391999999997</v>
          </cell>
          <cell r="FO33">
            <v>195.9744</v>
          </cell>
          <cell r="FQ33">
            <v>11.467428571428574</v>
          </cell>
          <cell r="FR33">
            <v>7.4833636363636353</v>
          </cell>
          <cell r="FS33">
            <v>11.202091428571427</v>
          </cell>
          <cell r="FT33">
            <v>9.7987199999999994</v>
          </cell>
          <cell r="FW33">
            <v>6.7360799999999994</v>
          </cell>
          <cell r="FX33">
            <v>2.3616447599999999</v>
          </cell>
          <cell r="FY33">
            <v>0</v>
          </cell>
          <cell r="FZ33">
            <v>0</v>
          </cell>
          <cell r="GA33">
            <v>0</v>
          </cell>
          <cell r="GB33">
            <v>0</v>
          </cell>
          <cell r="GC33">
            <v>0</v>
          </cell>
        </row>
        <row r="34">
          <cell r="A34" t="str">
            <v>% of Global Box Office</v>
          </cell>
          <cell r="C34">
            <v>0.1</v>
          </cell>
          <cell r="D34">
            <v>0.12</v>
          </cell>
          <cell r="E34">
            <v>0.12</v>
          </cell>
          <cell r="F34">
            <v>0.12</v>
          </cell>
          <cell r="G34">
            <v>0.12</v>
          </cell>
          <cell r="H34">
            <v>0.12</v>
          </cell>
          <cell r="I34">
            <v>0.12</v>
          </cell>
          <cell r="J34">
            <v>0.12</v>
          </cell>
          <cell r="K34">
            <v>0.12</v>
          </cell>
          <cell r="L34">
            <v>0.12</v>
          </cell>
          <cell r="M34">
            <v>0.12</v>
          </cell>
          <cell r="N34">
            <v>0.12</v>
          </cell>
          <cell r="O34">
            <v>0.12</v>
          </cell>
          <cell r="P34">
            <v>0.12</v>
          </cell>
          <cell r="Q34">
            <v>0.12</v>
          </cell>
          <cell r="R34">
            <v>0.12</v>
          </cell>
          <cell r="S34">
            <v>0.12</v>
          </cell>
          <cell r="T34">
            <v>0.12</v>
          </cell>
          <cell r="U34">
            <v>0.12</v>
          </cell>
          <cell r="V34">
            <v>0.12</v>
          </cell>
          <cell r="W34">
            <v>0.12</v>
          </cell>
          <cell r="X34">
            <v>0.12</v>
          </cell>
          <cell r="Y34">
            <v>0.12</v>
          </cell>
          <cell r="Z34">
            <v>0.12</v>
          </cell>
          <cell r="AB34">
            <v>0.12</v>
          </cell>
          <cell r="AE34">
            <v>0.12</v>
          </cell>
          <cell r="AF34">
            <v>0.12</v>
          </cell>
          <cell r="AG34">
            <v>0.12</v>
          </cell>
          <cell r="AH34">
            <v>0.12</v>
          </cell>
          <cell r="AI34">
            <v>0.12</v>
          </cell>
          <cell r="AJ34">
            <v>0.12</v>
          </cell>
          <cell r="AK34">
            <v>0.12</v>
          </cell>
          <cell r="AL34">
            <v>0.12</v>
          </cell>
          <cell r="AM34">
            <v>0.12</v>
          </cell>
          <cell r="AN34">
            <v>0.12</v>
          </cell>
          <cell r="AO34">
            <v>0.12</v>
          </cell>
          <cell r="AP34">
            <v>0.12</v>
          </cell>
          <cell r="AQ34">
            <v>0.12</v>
          </cell>
          <cell r="AR34">
            <v>0.12</v>
          </cell>
          <cell r="AS34">
            <v>0.12</v>
          </cell>
          <cell r="AT34">
            <v>0.12</v>
          </cell>
          <cell r="AU34">
            <v>0.12</v>
          </cell>
          <cell r="AV34">
            <v>0.12</v>
          </cell>
          <cell r="AW34">
            <v>0.12</v>
          </cell>
          <cell r="AX34">
            <v>0.12</v>
          </cell>
          <cell r="AY34">
            <v>0.12</v>
          </cell>
          <cell r="AZ34">
            <v>0.12</v>
          </cell>
          <cell r="BA34">
            <v>0.11999999999999997</v>
          </cell>
          <cell r="BB34">
            <v>0.11999999999999998</v>
          </cell>
          <cell r="BH34">
            <v>0.12</v>
          </cell>
          <cell r="BI34">
            <v>0.12</v>
          </cell>
          <cell r="BJ34">
            <v>0.12</v>
          </cell>
          <cell r="BK34">
            <v>0.12</v>
          </cell>
          <cell r="BL34">
            <v>0.12</v>
          </cell>
          <cell r="BM34">
            <v>0.12</v>
          </cell>
          <cell r="BN34">
            <v>0.12</v>
          </cell>
          <cell r="BO34">
            <v>0.12</v>
          </cell>
          <cell r="BP34">
            <v>0.12</v>
          </cell>
          <cell r="BQ34">
            <v>0.12</v>
          </cell>
          <cell r="BR34">
            <v>0.12</v>
          </cell>
          <cell r="BS34">
            <v>0.12</v>
          </cell>
          <cell r="BT34">
            <v>0.12</v>
          </cell>
          <cell r="BU34">
            <v>0.12</v>
          </cell>
          <cell r="BV34">
            <v>0.12</v>
          </cell>
          <cell r="BW34">
            <v>0.12</v>
          </cell>
          <cell r="BX34">
            <v>0.12</v>
          </cell>
          <cell r="BY34">
            <v>0.12</v>
          </cell>
          <cell r="BZ34">
            <v>0.12</v>
          </cell>
          <cell r="CA34">
            <v>0.12</v>
          </cell>
          <cell r="CB34">
            <v>0.12</v>
          </cell>
          <cell r="CC34">
            <v>0.11999999999999997</v>
          </cell>
          <cell r="CD34">
            <v>0.11999999999999998</v>
          </cell>
          <cell r="CJ34">
            <v>0.12</v>
          </cell>
          <cell r="CK34">
            <v>0.12</v>
          </cell>
          <cell r="CL34">
            <v>0.12</v>
          </cell>
          <cell r="CM34">
            <v>0.12</v>
          </cell>
          <cell r="CN34">
            <v>0.12</v>
          </cell>
          <cell r="CO34">
            <v>0.12</v>
          </cell>
          <cell r="CP34">
            <v>0.12</v>
          </cell>
          <cell r="CQ34">
            <v>0.12</v>
          </cell>
          <cell r="CR34">
            <v>0.12</v>
          </cell>
          <cell r="CS34">
            <v>0.12</v>
          </cell>
          <cell r="CT34">
            <v>0.12</v>
          </cell>
          <cell r="CU34">
            <v>0.12</v>
          </cell>
          <cell r="CV34">
            <v>0.12</v>
          </cell>
          <cell r="CW34">
            <v>0.12</v>
          </cell>
          <cell r="CX34">
            <v>0.12</v>
          </cell>
          <cell r="CY34">
            <v>0.12</v>
          </cell>
          <cell r="CZ34">
            <v>0.12</v>
          </cell>
          <cell r="DA34">
            <v>0.12</v>
          </cell>
          <cell r="DB34">
            <v>0.12</v>
          </cell>
          <cell r="DC34">
            <v>0.12</v>
          </cell>
          <cell r="DE34">
            <v>0.12</v>
          </cell>
          <cell r="DF34">
            <v>0.12</v>
          </cell>
          <cell r="DH34">
            <v>0.11999999999999998</v>
          </cell>
          <cell r="DI34">
            <v>0.12</v>
          </cell>
          <cell r="DQ34">
            <v>0.12</v>
          </cell>
          <cell r="DR34">
            <v>0.12</v>
          </cell>
          <cell r="DS34">
            <v>0.12</v>
          </cell>
          <cell r="DT34">
            <v>0.12</v>
          </cell>
          <cell r="DU34">
            <v>0.12</v>
          </cell>
          <cell r="DV34">
            <v>0.12</v>
          </cell>
          <cell r="DW34">
            <v>0.12</v>
          </cell>
          <cell r="DX34">
            <v>0.12</v>
          </cell>
          <cell r="DY34">
            <v>0.12</v>
          </cell>
          <cell r="DZ34">
            <v>0.12</v>
          </cell>
          <cell r="EA34">
            <v>0.12</v>
          </cell>
          <cell r="EB34">
            <v>0.12</v>
          </cell>
          <cell r="EC34">
            <v>0.12</v>
          </cell>
          <cell r="ED34">
            <v>0.12</v>
          </cell>
          <cell r="EE34">
            <v>0.12</v>
          </cell>
          <cell r="EF34">
            <v>0.12</v>
          </cell>
          <cell r="EG34">
            <v>0.12</v>
          </cell>
          <cell r="EH34">
            <v>0.12</v>
          </cell>
          <cell r="EI34">
            <v>0.12</v>
          </cell>
          <cell r="EJ34">
            <v>0.12</v>
          </cell>
          <cell r="EK34">
            <v>0.12</v>
          </cell>
          <cell r="EL34">
            <v>0.12</v>
          </cell>
          <cell r="EM34">
            <v>0.12</v>
          </cell>
          <cell r="EN34">
            <v>0.12</v>
          </cell>
          <cell r="EO34">
            <v>0.12</v>
          </cell>
          <cell r="EQ34">
            <v>0.12000000000000001</v>
          </cell>
          <cell r="ER34">
            <v>0.12000000000000002</v>
          </cell>
          <cell r="EW34">
            <v>0.12</v>
          </cell>
          <cell r="EX34">
            <v>0.12</v>
          </cell>
          <cell r="EY34">
            <v>0.12</v>
          </cell>
          <cell r="EZ34">
            <v>0.12</v>
          </cell>
          <cell r="FA34">
            <v>0.12</v>
          </cell>
          <cell r="FB34">
            <v>0.12</v>
          </cell>
          <cell r="FC34">
            <v>0.12</v>
          </cell>
          <cell r="FD34">
            <v>0.12</v>
          </cell>
          <cell r="FE34">
            <v>0.12</v>
          </cell>
          <cell r="FG34">
            <v>0.12</v>
          </cell>
          <cell r="FW34">
            <v>0.12</v>
          </cell>
          <cell r="FX34">
            <v>0.12</v>
          </cell>
          <cell r="FY34">
            <v>0.12</v>
          </cell>
          <cell r="FZ34">
            <v>0.12</v>
          </cell>
          <cell r="GA34">
            <v>0.12</v>
          </cell>
          <cell r="GB34">
            <v>0.12</v>
          </cell>
          <cell r="GC34">
            <v>0.12</v>
          </cell>
        </row>
        <row r="35">
          <cell r="A35" t="str">
            <v>Pay TV Distribution Revenue</v>
          </cell>
          <cell r="C35">
            <v>5</v>
          </cell>
          <cell r="D35">
            <v>10</v>
          </cell>
          <cell r="E35">
            <v>10</v>
          </cell>
          <cell r="F35">
            <v>30</v>
          </cell>
          <cell r="G35">
            <v>10</v>
          </cell>
          <cell r="H35">
            <v>10</v>
          </cell>
          <cell r="I35">
            <v>15</v>
          </cell>
          <cell r="J35">
            <v>10</v>
          </cell>
          <cell r="K35">
            <v>11.19</v>
          </cell>
          <cell r="L35">
            <v>10</v>
          </cell>
          <cell r="M35">
            <v>21.15</v>
          </cell>
          <cell r="N35">
            <v>10</v>
          </cell>
          <cell r="O35">
            <v>13.77</v>
          </cell>
          <cell r="P35">
            <v>10</v>
          </cell>
          <cell r="Q35">
            <v>10</v>
          </cell>
          <cell r="R35">
            <v>10</v>
          </cell>
          <cell r="S35">
            <v>10</v>
          </cell>
          <cell r="T35">
            <v>30</v>
          </cell>
          <cell r="U35">
            <v>10</v>
          </cell>
          <cell r="V35">
            <v>10</v>
          </cell>
          <cell r="W35">
            <v>17.88</v>
          </cell>
          <cell r="X35">
            <v>30</v>
          </cell>
          <cell r="Y35">
            <v>14.237619047619049</v>
          </cell>
          <cell r="Z35">
            <v>298.99</v>
          </cell>
          <cell r="AA35">
            <v>112.76032453824831</v>
          </cell>
          <cell r="AB35">
            <v>-174.03</v>
          </cell>
          <cell r="AE35">
            <v>10</v>
          </cell>
          <cell r="AF35">
            <v>10</v>
          </cell>
          <cell r="AG35">
            <v>10</v>
          </cell>
          <cell r="AH35">
            <v>10</v>
          </cell>
          <cell r="AI35">
            <v>10</v>
          </cell>
          <cell r="AJ35">
            <v>10</v>
          </cell>
          <cell r="AK35">
            <v>10</v>
          </cell>
          <cell r="AL35">
            <v>10</v>
          </cell>
          <cell r="AM35">
            <v>15.225</v>
          </cell>
          <cell r="AN35">
            <v>10</v>
          </cell>
          <cell r="AO35">
            <v>26.864999999999998</v>
          </cell>
          <cell r="AP35">
            <v>11.475</v>
          </cell>
          <cell r="AQ35">
            <v>10</v>
          </cell>
          <cell r="AR35">
            <v>14.685</v>
          </cell>
          <cell r="AS35">
            <v>10</v>
          </cell>
          <cell r="AT35">
            <v>30</v>
          </cell>
          <cell r="AU35">
            <v>10</v>
          </cell>
          <cell r="AV35">
            <v>10</v>
          </cell>
          <cell r="AW35">
            <v>10</v>
          </cell>
          <cell r="AX35">
            <v>10</v>
          </cell>
          <cell r="AY35">
            <v>10</v>
          </cell>
          <cell r="AZ35">
            <v>12.404999999999999</v>
          </cell>
          <cell r="BA35">
            <v>12.302499999999998</v>
          </cell>
          <cell r="BB35">
            <v>270.65499999999997</v>
          </cell>
          <cell r="BC35">
            <v>174.03</v>
          </cell>
          <cell r="BD35">
            <v>-175.43</v>
          </cell>
          <cell r="BE35">
            <v>269.25499999999994</v>
          </cell>
          <cell r="BH35">
            <v>26.895</v>
          </cell>
          <cell r="BI35">
            <v>10</v>
          </cell>
          <cell r="BJ35">
            <v>10</v>
          </cell>
          <cell r="BK35">
            <v>10</v>
          </cell>
          <cell r="BL35">
            <v>12.014999999999999</v>
          </cell>
          <cell r="BM35">
            <v>30</v>
          </cell>
          <cell r="BN35">
            <v>10</v>
          </cell>
          <cell r="BO35">
            <v>10</v>
          </cell>
          <cell r="BP35">
            <v>28.529999999999998</v>
          </cell>
          <cell r="BQ35">
            <v>10</v>
          </cell>
          <cell r="BR35">
            <v>10</v>
          </cell>
          <cell r="BS35">
            <v>10</v>
          </cell>
          <cell r="BT35">
            <v>10</v>
          </cell>
          <cell r="BU35">
            <v>10</v>
          </cell>
          <cell r="BV35">
            <v>10</v>
          </cell>
          <cell r="BW35">
            <v>10</v>
          </cell>
          <cell r="BX35">
            <v>17.639999999999997</v>
          </cell>
          <cell r="BY35">
            <v>30</v>
          </cell>
          <cell r="BZ35">
            <v>29.099999999999998</v>
          </cell>
          <cell r="CA35">
            <v>10</v>
          </cell>
          <cell r="CB35">
            <v>25.2</v>
          </cell>
          <cell r="CC35">
            <v>15.684761904761904</v>
          </cell>
          <cell r="CD35">
            <v>329.38</v>
          </cell>
          <cell r="CE35">
            <v>175.43</v>
          </cell>
          <cell r="CF35">
            <v>-151.94</v>
          </cell>
          <cell r="CG35">
            <v>352.87</v>
          </cell>
          <cell r="CJ35">
            <v>10</v>
          </cell>
          <cell r="CK35">
            <v>30</v>
          </cell>
          <cell r="CL35">
            <v>10</v>
          </cell>
          <cell r="CM35">
            <v>25.679999999999996</v>
          </cell>
          <cell r="CN35">
            <v>10</v>
          </cell>
          <cell r="CO35">
            <v>10</v>
          </cell>
          <cell r="CP35">
            <v>10</v>
          </cell>
          <cell r="CQ35">
            <v>10.23</v>
          </cell>
          <cell r="CR35">
            <v>16.32</v>
          </cell>
          <cell r="CS35">
            <v>10</v>
          </cell>
          <cell r="CT35">
            <v>10</v>
          </cell>
          <cell r="CU35">
            <v>10</v>
          </cell>
          <cell r="CV35">
            <v>10</v>
          </cell>
          <cell r="CW35">
            <v>18.389999999999997</v>
          </cell>
          <cell r="CX35">
            <v>10</v>
          </cell>
          <cell r="CY35">
            <v>10</v>
          </cell>
          <cell r="CZ35">
            <v>30</v>
          </cell>
          <cell r="DA35">
            <v>10</v>
          </cell>
          <cell r="DB35">
            <v>10</v>
          </cell>
          <cell r="DC35">
            <v>30</v>
          </cell>
          <cell r="DE35">
            <v>30</v>
          </cell>
          <cell r="DF35">
            <v>30</v>
          </cell>
          <cell r="DH35">
            <v>14.531000000000001</v>
          </cell>
          <cell r="DI35">
            <v>290.62</v>
          </cell>
          <cell r="DJ35">
            <v>151.94</v>
          </cell>
          <cell r="DK35">
            <v>-118.39</v>
          </cell>
          <cell r="DL35">
            <v>324.17</v>
          </cell>
          <cell r="DQ35">
            <v>10</v>
          </cell>
          <cell r="DR35">
            <v>30</v>
          </cell>
          <cell r="DS35">
            <v>10</v>
          </cell>
          <cell r="DT35">
            <v>12</v>
          </cell>
          <cell r="DU35">
            <v>10</v>
          </cell>
          <cell r="DV35">
            <v>10</v>
          </cell>
          <cell r="DW35">
            <v>12.45</v>
          </cell>
          <cell r="DX35">
            <v>10</v>
          </cell>
          <cell r="DY35">
            <v>26.61</v>
          </cell>
          <cell r="DZ35">
            <v>13.739999999999998</v>
          </cell>
          <cell r="EA35">
            <v>19.2</v>
          </cell>
          <cell r="EB35">
            <v>10</v>
          </cell>
          <cell r="EC35">
            <v>10</v>
          </cell>
          <cell r="ED35">
            <v>19.05</v>
          </cell>
          <cell r="EE35">
            <v>10</v>
          </cell>
          <cell r="EF35">
            <v>11.76</v>
          </cell>
          <cell r="EG35">
            <v>10</v>
          </cell>
          <cell r="EH35">
            <v>10</v>
          </cell>
          <cell r="EI35">
            <v>30</v>
          </cell>
          <cell r="EJ35">
            <v>10.776299999999999</v>
          </cell>
          <cell r="EK35">
            <v>10</v>
          </cell>
          <cell r="EL35">
            <v>30</v>
          </cell>
          <cell r="EM35">
            <v>12.2484</v>
          </cell>
          <cell r="EN35">
            <v>19.995750000000001</v>
          </cell>
          <cell r="EO35">
            <v>18.9573</v>
          </cell>
          <cell r="EQ35">
            <v>15.071509999999998</v>
          </cell>
          <cell r="ER35">
            <v>376.78774999999996</v>
          </cell>
          <cell r="ES35">
            <v>118.39</v>
          </cell>
          <cell r="ET35">
            <v>-112.5363</v>
          </cell>
          <cell r="EU35">
            <v>382.64144999999996</v>
          </cell>
          <cell r="EW35">
            <v>10</v>
          </cell>
          <cell r="EX35">
            <v>10</v>
          </cell>
          <cell r="EY35">
            <v>10</v>
          </cell>
          <cell r="EZ35">
            <v>10</v>
          </cell>
          <cell r="FA35">
            <v>30</v>
          </cell>
          <cell r="FB35">
            <v>10</v>
          </cell>
          <cell r="FC35">
            <v>10</v>
          </cell>
          <cell r="FD35">
            <v>30</v>
          </cell>
          <cell r="FE35">
            <v>30</v>
          </cell>
          <cell r="FG35">
            <v>10</v>
          </cell>
          <cell r="FL35">
            <v>298.99</v>
          </cell>
          <cell r="FM35">
            <v>270.65499999999997</v>
          </cell>
          <cell r="FN35">
            <v>329.38</v>
          </cell>
          <cell r="FO35">
            <v>290.62</v>
          </cell>
          <cell r="FQ35">
            <v>14.237619047619049</v>
          </cell>
          <cell r="FR35">
            <v>12.302499999999998</v>
          </cell>
          <cell r="FS35">
            <v>15.684761904761904</v>
          </cell>
          <cell r="FT35">
            <v>14.531000000000001</v>
          </cell>
          <cell r="FW35">
            <v>10</v>
          </cell>
          <cell r="FX35">
            <v>10</v>
          </cell>
          <cell r="FY35">
            <v>10</v>
          </cell>
          <cell r="FZ35">
            <v>10</v>
          </cell>
          <cell r="GA35">
            <v>10</v>
          </cell>
          <cell r="GB35">
            <v>10</v>
          </cell>
          <cell r="GC35">
            <v>10</v>
          </cell>
        </row>
        <row r="36">
          <cell r="A36" t="str">
            <v>Total TV Revenue</v>
          </cell>
          <cell r="C36">
            <v>10.1952</v>
          </cell>
          <cell r="D36">
            <v>17.463999999999999</v>
          </cell>
          <cell r="E36">
            <v>17.728000000000002</v>
          </cell>
          <cell r="F36">
            <v>73.463999999999999</v>
          </cell>
          <cell r="G36">
            <v>11.2</v>
          </cell>
          <cell r="H36">
            <v>10.635999999999999</v>
          </cell>
          <cell r="I36">
            <v>27</v>
          </cell>
          <cell r="J36">
            <v>14.404</v>
          </cell>
          <cell r="K36">
            <v>20.141999999999996</v>
          </cell>
          <cell r="L36">
            <v>10.384</v>
          </cell>
          <cell r="M36">
            <v>38.069999999999993</v>
          </cell>
          <cell r="N36">
            <v>14.788</v>
          </cell>
          <cell r="O36">
            <v>24.786000000000001</v>
          </cell>
          <cell r="P36">
            <v>12.94</v>
          </cell>
          <cell r="Q36">
            <v>12.04</v>
          </cell>
          <cell r="R36">
            <v>12.783999999999999</v>
          </cell>
          <cell r="S36">
            <v>11.2</v>
          </cell>
          <cell r="T36">
            <v>75.924000000000007</v>
          </cell>
          <cell r="U36">
            <v>17.643999999999998</v>
          </cell>
          <cell r="V36">
            <v>12.027999999999999</v>
          </cell>
          <cell r="W36">
            <v>32.183999999999997</v>
          </cell>
          <cell r="X36">
            <v>72.996000000000009</v>
          </cell>
          <cell r="Y36">
            <v>25.705047619047622</v>
          </cell>
          <cell r="Z36">
            <v>539.80600000000004</v>
          </cell>
          <cell r="AA36">
            <v>210.88325357239586</v>
          </cell>
          <cell r="AB36">
            <v>-325.4692</v>
          </cell>
          <cell r="AC36">
            <v>425.22005357239595</v>
          </cell>
          <cell r="AE36">
            <v>12.016</v>
          </cell>
          <cell r="AF36">
            <v>16.263999999999999</v>
          </cell>
          <cell r="AG36">
            <v>14.128</v>
          </cell>
          <cell r="AH36">
            <v>14.571999999999999</v>
          </cell>
          <cell r="AI36">
            <v>15.268000000000001</v>
          </cell>
          <cell r="AJ36">
            <v>13.401999999999999</v>
          </cell>
          <cell r="AK36">
            <v>13.6</v>
          </cell>
          <cell r="AL36">
            <v>16.911999999999999</v>
          </cell>
          <cell r="AM36">
            <v>27.405000000000001</v>
          </cell>
          <cell r="AN36">
            <v>12.808</v>
          </cell>
          <cell r="AO36">
            <v>48.356999999999999</v>
          </cell>
          <cell r="AP36">
            <v>20.655000000000001</v>
          </cell>
          <cell r="AQ36">
            <v>10.672000000000001</v>
          </cell>
          <cell r="AR36">
            <v>26.433</v>
          </cell>
          <cell r="AS36">
            <v>11.512</v>
          </cell>
          <cell r="AT36">
            <v>78.78</v>
          </cell>
          <cell r="AU36">
            <v>10.552</v>
          </cell>
          <cell r="AV36">
            <v>14.74</v>
          </cell>
          <cell r="AW36">
            <v>10.9</v>
          </cell>
          <cell r="AX36">
            <v>13.396000000000001</v>
          </cell>
          <cell r="AY36">
            <v>10.587999999999999</v>
          </cell>
          <cell r="AZ36">
            <v>22.329000000000001</v>
          </cell>
          <cell r="BA36">
            <v>19.78586363636364</v>
          </cell>
          <cell r="BB36">
            <v>435.28900000000004</v>
          </cell>
          <cell r="BC36">
            <v>325.4692</v>
          </cell>
          <cell r="BD36">
            <v>-292.51400000000007</v>
          </cell>
          <cell r="BE36">
            <v>468.24419999999992</v>
          </cell>
          <cell r="BH36">
            <v>48.411000000000001</v>
          </cell>
          <cell r="BI36">
            <v>11.56</v>
          </cell>
          <cell r="BJ36">
            <v>11.212</v>
          </cell>
          <cell r="BK36">
            <v>11.391999999999999</v>
          </cell>
          <cell r="BL36">
            <v>21.626999999999995</v>
          </cell>
          <cell r="BM36">
            <v>55.26</v>
          </cell>
          <cell r="BN36">
            <v>13.036</v>
          </cell>
          <cell r="BO36">
            <v>17.896000000000001</v>
          </cell>
          <cell r="BP36">
            <v>51.353999999999999</v>
          </cell>
          <cell r="BQ36">
            <v>12.00592</v>
          </cell>
          <cell r="BR36">
            <v>11.656000000000001</v>
          </cell>
          <cell r="BS36">
            <v>11.749600000000001</v>
          </cell>
          <cell r="BT36">
            <v>10.888</v>
          </cell>
          <cell r="BU36">
            <v>10.672000000000001</v>
          </cell>
          <cell r="BV36">
            <v>13.740400000000001</v>
          </cell>
          <cell r="BW36">
            <v>12.472</v>
          </cell>
          <cell r="BX36">
            <v>31.751999999999995</v>
          </cell>
          <cell r="BY36">
            <v>94.92</v>
          </cell>
          <cell r="BZ36">
            <v>52.379999999999995</v>
          </cell>
          <cell r="CA36">
            <v>15.28</v>
          </cell>
          <cell r="CB36">
            <v>45.36</v>
          </cell>
          <cell r="CC36">
            <v>26.886853333333335</v>
          </cell>
          <cell r="CD36">
            <v>564.62392</v>
          </cell>
          <cell r="CE36">
            <v>292.51400000000007</v>
          </cell>
          <cell r="CF36">
            <v>-288.23239999999998</v>
          </cell>
          <cell r="CG36">
            <v>568.90552000000014</v>
          </cell>
          <cell r="CJ36">
            <v>11.488</v>
          </cell>
          <cell r="CK36">
            <v>71.664000000000001</v>
          </cell>
          <cell r="CL36">
            <v>14.295999999999999</v>
          </cell>
          <cell r="CM36">
            <v>46.22399999999999</v>
          </cell>
          <cell r="CN36">
            <v>11.92</v>
          </cell>
          <cell r="CO36">
            <v>11.26</v>
          </cell>
          <cell r="CP36">
            <v>11.872</v>
          </cell>
          <cell r="CQ36">
            <v>18.414000000000001</v>
          </cell>
          <cell r="CR36">
            <v>29.375999999999998</v>
          </cell>
          <cell r="CS36">
            <v>11.763999999999999</v>
          </cell>
          <cell r="CT36">
            <v>13.468</v>
          </cell>
          <cell r="CU36">
            <v>15.808</v>
          </cell>
          <cell r="CV36">
            <v>16.72</v>
          </cell>
          <cell r="CW36">
            <v>33.101999999999997</v>
          </cell>
          <cell r="CX36">
            <v>13.866400000000001</v>
          </cell>
          <cell r="CY36">
            <v>11.379999999999999</v>
          </cell>
          <cell r="CZ36">
            <v>61.26</v>
          </cell>
          <cell r="DA36">
            <v>12.388</v>
          </cell>
          <cell r="DB36">
            <v>15.196000000000002</v>
          </cell>
          <cell r="DC36">
            <v>55.128</v>
          </cell>
          <cell r="DE36">
            <v>131.16</v>
          </cell>
          <cell r="DF36">
            <v>80.807999999999993</v>
          </cell>
          <cell r="DH36">
            <v>24.329719999999998</v>
          </cell>
          <cell r="DI36">
            <v>486.59439999999995</v>
          </cell>
          <cell r="DJ36">
            <v>288.23239999999998</v>
          </cell>
          <cell r="DK36">
            <v>-202.32040000000001</v>
          </cell>
          <cell r="DL36">
            <v>572.50639999999999</v>
          </cell>
          <cell r="DN36">
            <v>572.50639999999999</v>
          </cell>
          <cell r="DO36">
            <v>-221.19855999999999</v>
          </cell>
          <cell r="DQ36">
            <v>12.1</v>
          </cell>
          <cell r="DR36">
            <v>69.539999999999992</v>
          </cell>
          <cell r="DS36">
            <v>10.384</v>
          </cell>
          <cell r="DT36">
            <v>21.6</v>
          </cell>
          <cell r="DU36">
            <v>12.1</v>
          </cell>
          <cell r="DV36">
            <v>10.132</v>
          </cell>
          <cell r="DW36">
            <v>22.409999999999997</v>
          </cell>
          <cell r="DX36">
            <v>10.731999999999999</v>
          </cell>
          <cell r="DY36">
            <v>47.897999999999996</v>
          </cell>
          <cell r="DZ36">
            <v>24.731999999999999</v>
          </cell>
          <cell r="EA36">
            <v>34.56</v>
          </cell>
          <cell r="EB36">
            <v>10.744</v>
          </cell>
          <cell r="EC36">
            <v>12.027999999999999</v>
          </cell>
          <cell r="ED36">
            <v>34.29</v>
          </cell>
          <cell r="EE36">
            <v>12.964</v>
          </cell>
          <cell r="EF36">
            <v>21.167999999999999</v>
          </cell>
          <cell r="EG36">
            <v>17.103999999999999</v>
          </cell>
          <cell r="EH36">
            <v>10.311999999999999</v>
          </cell>
          <cell r="EI36">
            <v>96</v>
          </cell>
          <cell r="EJ36">
            <v>19.39734</v>
          </cell>
          <cell r="EK36">
            <v>14.430160000000001</v>
          </cell>
          <cell r="EL36">
            <v>84.157559999999989</v>
          </cell>
          <cell r="EM36">
            <v>22.04712</v>
          </cell>
          <cell r="EN36">
            <v>35.992350000000002</v>
          </cell>
          <cell r="EO36">
            <v>34.123139999999999</v>
          </cell>
          <cell r="EQ36">
            <v>28.037826800000001</v>
          </cell>
          <cell r="ER36">
            <v>700.94567000000006</v>
          </cell>
          <cell r="ES36">
            <v>202.32040000000001</v>
          </cell>
          <cell r="ET36">
            <v>-262.56905999999998</v>
          </cell>
          <cell r="EU36">
            <v>640.69701000000009</v>
          </cell>
          <cell r="EW36">
            <v>16.311520000000002</v>
          </cell>
          <cell r="EX36">
            <v>16.53472</v>
          </cell>
          <cell r="EY36">
            <v>12.324159999999999</v>
          </cell>
          <cell r="EZ36">
            <v>12.618399999999999</v>
          </cell>
          <cell r="FA36">
            <v>60.018479999999997</v>
          </cell>
          <cell r="FB36">
            <v>14.713839999999999</v>
          </cell>
          <cell r="FC36">
            <v>15.637</v>
          </cell>
          <cell r="FD36">
            <v>59.088839999999998</v>
          </cell>
          <cell r="FE36">
            <v>91.652160000000009</v>
          </cell>
          <cell r="FG36">
            <v>11.83024</v>
          </cell>
          <cell r="FI36">
            <v>640.69701000000009</v>
          </cell>
          <cell r="FJ36">
            <v>-269.18330129999998</v>
          </cell>
          <cell r="FL36">
            <v>539.80600000000004</v>
          </cell>
          <cell r="FM36">
            <v>435.28900000000004</v>
          </cell>
          <cell r="FN36">
            <v>564.62392</v>
          </cell>
          <cell r="FO36">
            <v>486.59439999999995</v>
          </cell>
          <cell r="FQ36">
            <v>25.705047619047622</v>
          </cell>
          <cell r="FR36">
            <v>19.78586363636364</v>
          </cell>
          <cell r="FS36">
            <v>26.886853333333335</v>
          </cell>
          <cell r="FT36">
            <v>24.329719999999998</v>
          </cell>
          <cell r="FW36">
            <v>16.736080000000001</v>
          </cell>
          <cell r="FX36">
            <v>12.361644760000001</v>
          </cell>
          <cell r="FY36">
            <v>10</v>
          </cell>
          <cell r="FZ36">
            <v>10</v>
          </cell>
          <cell r="GA36">
            <v>10</v>
          </cell>
          <cell r="GB36">
            <v>10</v>
          </cell>
          <cell r="GC36">
            <v>10</v>
          </cell>
        </row>
        <row r="37">
          <cell r="A37" t="str">
            <v>Total Revenue (Current Films)</v>
          </cell>
          <cell r="C37">
            <v>165.2072</v>
          </cell>
          <cell r="D37">
            <v>139.239</v>
          </cell>
          <cell r="E37">
            <v>88.628000000000014</v>
          </cell>
          <cell r="F37">
            <v>509.56399999999996</v>
          </cell>
          <cell r="G37">
            <v>30.599999999999998</v>
          </cell>
          <cell r="H37">
            <v>19.285999999999998</v>
          </cell>
          <cell r="I37">
            <v>115.7</v>
          </cell>
          <cell r="J37">
            <v>49.134</v>
          </cell>
          <cell r="K37">
            <v>101.30199999999999</v>
          </cell>
          <cell r="L37">
            <v>22.784000000000002</v>
          </cell>
          <cell r="M37">
            <v>148.35</v>
          </cell>
          <cell r="N37">
            <v>65.158000000000001</v>
          </cell>
          <cell r="O37">
            <v>111.18600000000001</v>
          </cell>
          <cell r="P37">
            <v>43.91</v>
          </cell>
          <cell r="Q37">
            <v>30.14</v>
          </cell>
          <cell r="R37">
            <v>38.423999999999999</v>
          </cell>
          <cell r="S37">
            <v>31.799999999999997</v>
          </cell>
          <cell r="T37">
            <v>516.12400000000002</v>
          </cell>
          <cell r="U37">
            <v>81.413999999999987</v>
          </cell>
          <cell r="V37">
            <v>42.677999999999997</v>
          </cell>
          <cell r="W37">
            <v>156.04399999999998</v>
          </cell>
          <cell r="X37">
            <v>435.74599999999998</v>
          </cell>
          <cell r="Y37">
            <v>132.24814285714282</v>
          </cell>
          <cell r="Z37">
            <v>2777.2109999999993</v>
          </cell>
          <cell r="AA37">
            <v>775.88325357239592</v>
          </cell>
          <cell r="AB37">
            <v>-1300.6354000000001</v>
          </cell>
          <cell r="AC37">
            <v>2252.4588535723951</v>
          </cell>
          <cell r="AE37">
            <v>40.019999999999996</v>
          </cell>
          <cell r="AF37">
            <v>76.864000000000004</v>
          </cell>
          <cell r="AG37">
            <v>75.268000000000001</v>
          </cell>
          <cell r="AH37">
            <v>54.161999999999992</v>
          </cell>
          <cell r="AI37">
            <v>61.018000000000001</v>
          </cell>
          <cell r="AJ37">
            <v>59.036999999999999</v>
          </cell>
          <cell r="AK37">
            <v>48.699999999999996</v>
          </cell>
          <cell r="AL37">
            <v>99.231999999999985</v>
          </cell>
          <cell r="AM37">
            <v>147.30500000000001</v>
          </cell>
          <cell r="AN37">
            <v>51.288000000000004</v>
          </cell>
          <cell r="AO37">
            <v>293.79699999999997</v>
          </cell>
          <cell r="AP37">
            <v>124.605</v>
          </cell>
          <cell r="AQ37">
            <v>22.624000000000002</v>
          </cell>
          <cell r="AR37">
            <v>143.553</v>
          </cell>
          <cell r="AS37">
            <v>30.552000000000003</v>
          </cell>
          <cell r="AT37">
            <v>548.92999999999995</v>
          </cell>
          <cell r="AU37">
            <v>21.536000000000001</v>
          </cell>
          <cell r="AV37">
            <v>61.790000000000006</v>
          </cell>
          <cell r="AW37">
            <v>22.71</v>
          </cell>
          <cell r="AX37">
            <v>46.526000000000003</v>
          </cell>
          <cell r="AY37">
            <v>21.637999999999998</v>
          </cell>
          <cell r="AZ37">
            <v>121.499</v>
          </cell>
          <cell r="BA37">
            <v>98.757000000000019</v>
          </cell>
          <cell r="BB37">
            <v>2172.654</v>
          </cell>
          <cell r="BC37">
            <v>1300.6353999999999</v>
          </cell>
          <cell r="BD37">
            <v>-1054.5475000000001</v>
          </cell>
          <cell r="BE37">
            <v>2418.7418999999995</v>
          </cell>
          <cell r="BH37">
            <v>232.58099999999999</v>
          </cell>
          <cell r="BI37">
            <v>31.060000000000002</v>
          </cell>
          <cell r="BJ37">
            <v>25.361999999999998</v>
          </cell>
          <cell r="BK37">
            <v>30.192</v>
          </cell>
          <cell r="BL37">
            <v>119.917</v>
          </cell>
          <cell r="BM37">
            <v>299.90999999999997</v>
          </cell>
          <cell r="BN37">
            <v>43.366</v>
          </cell>
          <cell r="BO37">
            <v>92.716000000000008</v>
          </cell>
          <cell r="BP37">
            <v>308.29399999999998</v>
          </cell>
          <cell r="BQ37">
            <v>37.563920000000003</v>
          </cell>
          <cell r="BR37">
            <v>28.155999999999999</v>
          </cell>
          <cell r="BS37">
            <v>32.459600000000002</v>
          </cell>
          <cell r="BT37">
            <v>24.468</v>
          </cell>
          <cell r="BU37">
            <v>22.272000000000002</v>
          </cell>
          <cell r="BV37">
            <v>65.725400000000008</v>
          </cell>
          <cell r="BW37">
            <v>46.772000000000006</v>
          </cell>
          <cell r="BX37">
            <v>209.55200000000002</v>
          </cell>
          <cell r="BY37">
            <v>566.02</v>
          </cell>
          <cell r="BZ37">
            <v>254.38</v>
          </cell>
          <cell r="CA37">
            <v>71.28</v>
          </cell>
          <cell r="CB37">
            <v>260.56</v>
          </cell>
          <cell r="CC37">
            <v>133.4574723809524</v>
          </cell>
          <cell r="CD37">
            <v>2802.6069200000002</v>
          </cell>
          <cell r="CE37">
            <v>1054.5475000000001</v>
          </cell>
          <cell r="CF37">
            <v>-990.43239999999992</v>
          </cell>
          <cell r="CG37">
            <v>2866.7220200000002</v>
          </cell>
          <cell r="CJ37">
            <v>29.128</v>
          </cell>
          <cell r="CK37">
            <v>420.26400000000001</v>
          </cell>
          <cell r="CL37">
            <v>76.396000000000001</v>
          </cell>
          <cell r="CM37">
            <v>240.94399999999996</v>
          </cell>
          <cell r="CN37">
            <v>42.28</v>
          </cell>
          <cell r="CO37">
            <v>28.83</v>
          </cell>
          <cell r="CP37">
            <v>33.872</v>
          </cell>
          <cell r="CQ37">
            <v>103.51400000000001</v>
          </cell>
          <cell r="CR37">
            <v>165.376</v>
          </cell>
          <cell r="CS37">
            <v>55.514000000000003</v>
          </cell>
          <cell r="CT37">
            <v>55.347999999999999</v>
          </cell>
          <cell r="CU37">
            <v>93.567999999999998</v>
          </cell>
          <cell r="CV37">
            <v>83.759999999999991</v>
          </cell>
          <cell r="CW37">
            <v>154.40199999999999</v>
          </cell>
          <cell r="CX37">
            <v>66.376400000000004</v>
          </cell>
          <cell r="CY37">
            <v>30.13</v>
          </cell>
          <cell r="CZ37">
            <v>351.51</v>
          </cell>
          <cell r="DA37">
            <v>43.138000000000005</v>
          </cell>
          <cell r="DB37">
            <v>84.846000000000004</v>
          </cell>
          <cell r="DC37">
            <v>269.02800000000002</v>
          </cell>
          <cell r="DE37">
            <v>943.06</v>
          </cell>
          <cell r="DF37">
            <v>460.50799999999998</v>
          </cell>
          <cell r="DH37">
            <v>121.41122</v>
          </cell>
          <cell r="DI37">
            <v>2428.2244000000001</v>
          </cell>
          <cell r="DJ37">
            <v>990.43239999999992</v>
          </cell>
          <cell r="DK37">
            <v>-677.72039999999993</v>
          </cell>
          <cell r="DL37">
            <v>2740.9363999999996</v>
          </cell>
          <cell r="DN37">
            <v>2795.8454000000002</v>
          </cell>
          <cell r="DO37">
            <v>-744.08655999999996</v>
          </cell>
          <cell r="DQ37">
            <v>30.177665599999997</v>
          </cell>
          <cell r="DR37">
            <v>372.30166779999996</v>
          </cell>
          <cell r="DS37">
            <v>15.984</v>
          </cell>
          <cell r="DT37">
            <v>90.649256600000001</v>
          </cell>
          <cell r="DU37">
            <v>32.284836400000003</v>
          </cell>
          <cell r="DV37">
            <v>15.882000000000001</v>
          </cell>
          <cell r="DW37">
            <v>85.899780800000002</v>
          </cell>
          <cell r="DX37">
            <v>18.981999999999999</v>
          </cell>
          <cell r="DY37">
            <v>217.66805399999998</v>
          </cell>
          <cell r="DZ37">
            <v>111.23281859999999</v>
          </cell>
          <cell r="EA37">
            <v>154.4763878</v>
          </cell>
          <cell r="EB37">
            <v>19.043999999999997</v>
          </cell>
          <cell r="EC37">
            <v>30.0622942</v>
          </cell>
          <cell r="ED37">
            <v>144.590754</v>
          </cell>
          <cell r="EE37">
            <v>37.845454000000004</v>
          </cell>
          <cell r="EF37">
            <v>93.461034000000012</v>
          </cell>
          <cell r="EG37">
            <v>71.572402000000011</v>
          </cell>
          <cell r="EH37">
            <v>16.812000000000001</v>
          </cell>
          <cell r="EI37">
            <v>635.51931999999999</v>
          </cell>
          <cell r="EJ37">
            <v>79.693264080000006</v>
          </cell>
          <cell r="EK37">
            <v>44.273277836000005</v>
          </cell>
          <cell r="EL37">
            <v>469.94407448599998</v>
          </cell>
          <cell r="EM37">
            <v>90.413100470000018</v>
          </cell>
          <cell r="EN37">
            <v>121.63675243600001</v>
          </cell>
          <cell r="EO37">
            <v>181.346432292</v>
          </cell>
          <cell r="EQ37">
            <v>127.27010509599999</v>
          </cell>
          <cell r="ER37">
            <v>3181.7526273999997</v>
          </cell>
          <cell r="ES37">
            <v>677.72039999999993</v>
          </cell>
          <cell r="ET37">
            <v>295.24092760000002</v>
          </cell>
          <cell r="EU37">
            <v>4154.7139549999993</v>
          </cell>
          <cell r="EW37">
            <v>57.560386580000007</v>
          </cell>
          <cell r="EX37">
            <v>71.355531350000007</v>
          </cell>
          <cell r="EY37">
            <v>34.205145631999997</v>
          </cell>
          <cell r="EZ37">
            <v>37.430626000000004</v>
          </cell>
          <cell r="FA37">
            <v>272.66642021000001</v>
          </cell>
          <cell r="FB37">
            <v>39.554839999999999</v>
          </cell>
          <cell r="FC37">
            <v>62.685870898000005</v>
          </cell>
          <cell r="FD37">
            <v>231.01487269199998</v>
          </cell>
          <cell r="FE37">
            <v>515.01010730200005</v>
          </cell>
          <cell r="FG37">
            <v>28.919220877999997</v>
          </cell>
          <cell r="FI37">
            <v>4154.7139550000002</v>
          </cell>
          <cell r="FJ37">
            <v>277.21337805443994</v>
          </cell>
          <cell r="FL37">
            <v>2777.2109999999993</v>
          </cell>
          <cell r="FM37">
            <v>2172.654</v>
          </cell>
          <cell r="FN37">
            <v>2802.6069200000002</v>
          </cell>
          <cell r="FO37">
            <v>2428.2244000000001</v>
          </cell>
          <cell r="FQ37">
            <v>132.24814285714282</v>
          </cell>
          <cell r="FR37">
            <v>98.757000000000019</v>
          </cell>
          <cell r="FS37">
            <v>133.4574723809524</v>
          </cell>
          <cell r="FT37">
            <v>121.41122</v>
          </cell>
          <cell r="FW37">
            <v>71.192353534000006</v>
          </cell>
          <cell r="FX37">
            <v>35.199603388977998</v>
          </cell>
          <cell r="FY37">
            <v>15.2</v>
          </cell>
          <cell r="FZ37">
            <v>15.2</v>
          </cell>
          <cell r="GA37">
            <v>15.2</v>
          </cell>
          <cell r="GB37">
            <v>15.2</v>
          </cell>
          <cell r="GC37">
            <v>15.2</v>
          </cell>
        </row>
        <row r="39">
          <cell r="A39" t="str">
            <v>Production Cost</v>
          </cell>
          <cell r="C39">
            <v>115</v>
          </cell>
          <cell r="D39">
            <v>45</v>
          </cell>
          <cell r="E39">
            <v>25</v>
          </cell>
          <cell r="F39">
            <v>115</v>
          </cell>
          <cell r="G39">
            <v>20</v>
          </cell>
          <cell r="H39">
            <v>30</v>
          </cell>
          <cell r="I39">
            <v>30</v>
          </cell>
          <cell r="J39">
            <v>20</v>
          </cell>
          <cell r="K39">
            <v>30</v>
          </cell>
          <cell r="L39">
            <v>20</v>
          </cell>
          <cell r="M39">
            <v>35</v>
          </cell>
          <cell r="N39">
            <v>30</v>
          </cell>
          <cell r="O39">
            <v>30</v>
          </cell>
          <cell r="P39">
            <v>20</v>
          </cell>
          <cell r="Q39">
            <v>20</v>
          </cell>
          <cell r="R39">
            <v>3</v>
          </cell>
          <cell r="S39">
            <v>1</v>
          </cell>
          <cell r="T39">
            <v>85</v>
          </cell>
          <cell r="U39">
            <v>20</v>
          </cell>
          <cell r="V39">
            <v>20</v>
          </cell>
          <cell r="W39">
            <v>40</v>
          </cell>
          <cell r="X39">
            <v>100</v>
          </cell>
          <cell r="Y39">
            <v>35.19047619047619</v>
          </cell>
          <cell r="Z39">
            <v>739</v>
          </cell>
          <cell r="AA39">
            <v>206.45810649244896</v>
          </cell>
          <cell r="AB39">
            <v>-346.09165835797148</v>
          </cell>
          <cell r="AC39">
            <v>599.36644813447742</v>
          </cell>
          <cell r="AE39">
            <v>10</v>
          </cell>
          <cell r="AF39">
            <v>20</v>
          </cell>
          <cell r="AG39">
            <v>10</v>
          </cell>
          <cell r="AH39">
            <v>20</v>
          </cell>
          <cell r="AI39">
            <v>15</v>
          </cell>
          <cell r="AJ39">
            <v>15</v>
          </cell>
          <cell r="AK39">
            <v>55</v>
          </cell>
          <cell r="AL39">
            <v>25</v>
          </cell>
          <cell r="AM39">
            <v>25</v>
          </cell>
          <cell r="AN39">
            <v>20</v>
          </cell>
          <cell r="AO39">
            <v>85</v>
          </cell>
          <cell r="AP39">
            <v>5</v>
          </cell>
          <cell r="AQ39">
            <v>5</v>
          </cell>
          <cell r="AR39">
            <v>20</v>
          </cell>
          <cell r="AS39">
            <v>10</v>
          </cell>
          <cell r="AT39">
            <v>120</v>
          </cell>
          <cell r="AU39">
            <v>3</v>
          </cell>
          <cell r="AV39">
            <v>35</v>
          </cell>
          <cell r="AW39">
            <v>5</v>
          </cell>
          <cell r="AX39">
            <v>5</v>
          </cell>
          <cell r="AY39">
            <v>15</v>
          </cell>
          <cell r="AZ39">
            <v>15</v>
          </cell>
          <cell r="BA39">
            <v>24.454545454545453</v>
          </cell>
          <cell r="BB39">
            <v>538</v>
          </cell>
          <cell r="BC39">
            <v>346.09165835797143</v>
          </cell>
          <cell r="BD39">
            <v>-261.13065172825497</v>
          </cell>
          <cell r="BE39">
            <v>622.96100662971651</v>
          </cell>
          <cell r="BH39">
            <v>78</v>
          </cell>
          <cell r="BI39">
            <v>15</v>
          </cell>
          <cell r="BJ39">
            <v>2</v>
          </cell>
          <cell r="BK39">
            <v>30</v>
          </cell>
          <cell r="BL39">
            <v>60</v>
          </cell>
          <cell r="BM39">
            <v>125</v>
          </cell>
          <cell r="BN39">
            <v>10</v>
          </cell>
          <cell r="BO39">
            <v>30</v>
          </cell>
          <cell r="BP39">
            <v>40</v>
          </cell>
          <cell r="BQ39">
            <v>12</v>
          </cell>
          <cell r="BR39">
            <v>15</v>
          </cell>
          <cell r="BS39">
            <v>15</v>
          </cell>
          <cell r="BT39">
            <v>9</v>
          </cell>
          <cell r="BU39">
            <v>10</v>
          </cell>
          <cell r="BV39">
            <v>12</v>
          </cell>
          <cell r="BW39">
            <v>12</v>
          </cell>
          <cell r="BX39">
            <v>50</v>
          </cell>
          <cell r="BY39">
            <v>125</v>
          </cell>
          <cell r="BZ39">
            <v>50</v>
          </cell>
          <cell r="CA39">
            <v>5</v>
          </cell>
          <cell r="CB39">
            <v>20</v>
          </cell>
          <cell r="CC39">
            <v>34.523809523809526</v>
          </cell>
          <cell r="CD39">
            <v>725</v>
          </cell>
          <cell r="CE39">
            <v>261.13065172825497</v>
          </cell>
          <cell r="CF39">
            <v>-256.21270142300222</v>
          </cell>
          <cell r="CG39">
            <v>729.91795030525282</v>
          </cell>
          <cell r="CJ39">
            <v>15</v>
          </cell>
          <cell r="CK39">
            <v>120</v>
          </cell>
          <cell r="CL39">
            <v>2.5</v>
          </cell>
          <cell r="CM39">
            <v>60</v>
          </cell>
          <cell r="CN39">
            <v>15</v>
          </cell>
          <cell r="CO39">
            <v>15</v>
          </cell>
          <cell r="CP39">
            <v>20</v>
          </cell>
          <cell r="CQ39">
            <v>25</v>
          </cell>
          <cell r="CR39">
            <v>16</v>
          </cell>
          <cell r="CS39">
            <v>11</v>
          </cell>
          <cell r="CT39">
            <v>45</v>
          </cell>
          <cell r="CU39">
            <v>30</v>
          </cell>
          <cell r="CV39">
            <v>30</v>
          </cell>
          <cell r="CW39">
            <v>30</v>
          </cell>
          <cell r="CX39">
            <v>14</v>
          </cell>
          <cell r="CY39">
            <v>10</v>
          </cell>
          <cell r="CZ39">
            <v>75</v>
          </cell>
          <cell r="DA39">
            <v>10</v>
          </cell>
          <cell r="DB39">
            <v>30</v>
          </cell>
          <cell r="DC39">
            <v>130</v>
          </cell>
          <cell r="DE39">
            <v>113</v>
          </cell>
          <cell r="DF39">
            <v>110</v>
          </cell>
          <cell r="DH39">
            <v>35.174999999999997</v>
          </cell>
          <cell r="DI39">
            <v>703.5</v>
          </cell>
          <cell r="DJ39">
            <v>256.21270142300222</v>
          </cell>
          <cell r="DK39">
            <v>-196.34771045048387</v>
          </cell>
          <cell r="DL39">
            <v>763.3649909725184</v>
          </cell>
          <cell r="DQ39">
            <v>15</v>
          </cell>
          <cell r="DR39">
            <v>80</v>
          </cell>
          <cell r="DS39">
            <v>10</v>
          </cell>
          <cell r="DT39">
            <v>18</v>
          </cell>
          <cell r="DU39">
            <v>10</v>
          </cell>
          <cell r="DV39">
            <v>10</v>
          </cell>
          <cell r="DW39">
            <v>20</v>
          </cell>
          <cell r="DX39">
            <v>10</v>
          </cell>
          <cell r="DY39">
            <v>28</v>
          </cell>
          <cell r="DZ39">
            <v>18</v>
          </cell>
          <cell r="EA39">
            <v>40</v>
          </cell>
          <cell r="EB39">
            <v>10</v>
          </cell>
          <cell r="EC39">
            <v>20</v>
          </cell>
          <cell r="ED39">
            <v>40</v>
          </cell>
          <cell r="EE39">
            <v>15</v>
          </cell>
          <cell r="EF39">
            <v>20</v>
          </cell>
          <cell r="EG39">
            <v>15</v>
          </cell>
          <cell r="EH39">
            <v>10</v>
          </cell>
          <cell r="EI39">
            <v>70</v>
          </cell>
          <cell r="EJ39">
            <v>35.174999999999997</v>
          </cell>
          <cell r="EK39">
            <v>35.174999999999997</v>
          </cell>
          <cell r="EL39">
            <v>35.174999999999997</v>
          </cell>
          <cell r="EM39">
            <v>35.174999999999997</v>
          </cell>
          <cell r="EN39">
            <v>35.174999999999997</v>
          </cell>
          <cell r="EO39">
            <v>35.174999999999997</v>
          </cell>
          <cell r="EQ39">
            <v>26.801999999999992</v>
          </cell>
          <cell r="ER39">
            <v>670.04999999999984</v>
          </cell>
          <cell r="ES39">
            <v>196.34771045048387</v>
          </cell>
          <cell r="ET39">
            <v>62.175224382555335</v>
          </cell>
          <cell r="EU39">
            <v>928.57293483303908</v>
          </cell>
          <cell r="EW39">
            <v>15</v>
          </cell>
          <cell r="EX39">
            <v>20</v>
          </cell>
          <cell r="EY39">
            <v>20</v>
          </cell>
          <cell r="EZ39">
            <v>20</v>
          </cell>
          <cell r="FA39">
            <v>18</v>
          </cell>
          <cell r="FB39">
            <v>35</v>
          </cell>
          <cell r="FC39">
            <v>20</v>
          </cell>
          <cell r="FD39">
            <v>100</v>
          </cell>
          <cell r="FE39">
            <v>20</v>
          </cell>
          <cell r="FG39">
            <v>15</v>
          </cell>
          <cell r="FL39">
            <v>739</v>
          </cell>
          <cell r="FM39">
            <v>538</v>
          </cell>
          <cell r="FN39">
            <v>725</v>
          </cell>
          <cell r="FO39">
            <v>703.5</v>
          </cell>
          <cell r="FQ39">
            <v>35.19047619047619</v>
          </cell>
          <cell r="FR39">
            <v>24.454545454545453</v>
          </cell>
          <cell r="FS39">
            <v>34.523809523809526</v>
          </cell>
          <cell r="FT39">
            <v>35.174999999999997</v>
          </cell>
          <cell r="FW39">
            <v>35</v>
          </cell>
          <cell r="FX39">
            <v>35</v>
          </cell>
          <cell r="FY39">
            <v>35</v>
          </cell>
          <cell r="FZ39">
            <v>35</v>
          </cell>
          <cell r="GA39">
            <v>35</v>
          </cell>
          <cell r="GB39">
            <v>35</v>
          </cell>
          <cell r="GC39">
            <v>35</v>
          </cell>
        </row>
        <row r="40">
          <cell r="A40" t="str">
            <v>Amortization Ratio</v>
          </cell>
          <cell r="C40">
            <v>0.69609556968461428</v>
          </cell>
          <cell r="D40">
            <v>0.32318531445931098</v>
          </cell>
          <cell r="E40">
            <v>0.28207789863248628</v>
          </cell>
          <cell r="F40">
            <v>0.22568313303137585</v>
          </cell>
          <cell r="G40">
            <v>0.65359477124183007</v>
          </cell>
          <cell r="H40">
            <v>1.5555325106294724</v>
          </cell>
          <cell r="I40">
            <v>0.25929127052722556</v>
          </cell>
          <cell r="J40">
            <v>0.40705010786827855</v>
          </cell>
          <cell r="K40">
            <v>0.29614420248366274</v>
          </cell>
          <cell r="L40">
            <v>0.8778089887640449</v>
          </cell>
          <cell r="M40">
            <v>0.23592854735422988</v>
          </cell>
          <cell r="N40">
            <v>0.46041928849872615</v>
          </cell>
          <cell r="O40">
            <v>0.26981814257190651</v>
          </cell>
          <cell r="P40">
            <v>0.45547711227510823</v>
          </cell>
          <cell r="Q40">
            <v>0.66357000663570009</v>
          </cell>
          <cell r="R40">
            <v>7.8076202373516548E-2</v>
          </cell>
          <cell r="S40">
            <v>3.1446540880503145E-2</v>
          </cell>
          <cell r="T40">
            <v>0.16468910571878076</v>
          </cell>
          <cell r="U40">
            <v>0.24565799493944535</v>
          </cell>
          <cell r="V40">
            <v>0.46862552134589253</v>
          </cell>
          <cell r="W40">
            <v>0.25633795596113917</v>
          </cell>
          <cell r="X40">
            <v>0.22949149275036376</v>
          </cell>
          <cell r="Y40">
            <v>0.26609429387972328</v>
          </cell>
          <cell r="Z40">
            <v>0.26609429387972328</v>
          </cell>
          <cell r="AA40">
            <v>0.26609429387972328</v>
          </cell>
          <cell r="AB40">
            <v>0.26609429387972328</v>
          </cell>
          <cell r="AC40">
            <v>0.26609429387972322</v>
          </cell>
          <cell r="AE40">
            <v>0.24987506246876565</v>
          </cell>
          <cell r="AF40">
            <v>0.26019983347210657</v>
          </cell>
          <cell r="AG40">
            <v>0.13285858532178349</v>
          </cell>
          <cell r="AH40">
            <v>0.36926258262250294</v>
          </cell>
          <cell r="AI40">
            <v>0.24582909960995117</v>
          </cell>
          <cell r="AJ40">
            <v>0.25407795111540221</v>
          </cell>
          <cell r="AK40">
            <v>1.129363449691992</v>
          </cell>
          <cell r="AL40">
            <v>0.25193485972267016</v>
          </cell>
          <cell r="AM40">
            <v>0.16971589559078101</v>
          </cell>
          <cell r="AN40">
            <v>0.38995476524723127</v>
          </cell>
          <cell r="AO40">
            <v>0.2893154116617937</v>
          </cell>
          <cell r="AP40">
            <v>4.0126800690180972E-2</v>
          </cell>
          <cell r="AQ40">
            <v>0.22100424328147097</v>
          </cell>
          <cell r="AR40">
            <v>0.13932136562802588</v>
          </cell>
          <cell r="AS40">
            <v>0.32731081434930609</v>
          </cell>
          <cell r="AT40">
            <v>0.218607108374474</v>
          </cell>
          <cell r="AU40">
            <v>0.13930163447251115</v>
          </cell>
          <cell r="AV40">
            <v>0.56643469817122505</v>
          </cell>
          <cell r="AW40">
            <v>0.22016732716864817</v>
          </cell>
          <cell r="AX40">
            <v>0.10746679276103684</v>
          </cell>
          <cell r="AY40">
            <v>0.69322488215177014</v>
          </cell>
          <cell r="AZ40">
            <v>0.12345780623708838</v>
          </cell>
          <cell r="BA40">
            <v>0.24762341357620674</v>
          </cell>
          <cell r="BB40">
            <v>0.24762341357620679</v>
          </cell>
          <cell r="BC40">
            <v>0.26609429387972328</v>
          </cell>
          <cell r="BD40">
            <v>0.24762341357620679</v>
          </cell>
          <cell r="BE40">
            <v>0.25755580065393363</v>
          </cell>
          <cell r="BH40">
            <v>0.33536703342061475</v>
          </cell>
          <cell r="BI40">
            <v>0.48293625241468124</v>
          </cell>
          <cell r="BJ40">
            <v>7.8858134216544445E-2</v>
          </cell>
          <cell r="BK40">
            <v>0.99364069952305245</v>
          </cell>
          <cell r="BL40">
            <v>0.50034607270028431</v>
          </cell>
          <cell r="BM40">
            <v>0.41679170417792011</v>
          </cell>
          <cell r="BN40">
            <v>0.23059539731586959</v>
          </cell>
          <cell r="BO40">
            <v>0.32356874757323434</v>
          </cell>
          <cell r="BP40">
            <v>0.12974628114721662</v>
          </cell>
          <cell r="BQ40">
            <v>0.31945547749010217</v>
          </cell>
          <cell r="BR40">
            <v>0.53274612871146476</v>
          </cell>
          <cell r="BS40">
            <v>0.46211290342456468</v>
          </cell>
          <cell r="BT40">
            <v>0.3678273663560569</v>
          </cell>
          <cell r="BU40">
            <v>0.4489942528735632</v>
          </cell>
          <cell r="BV40">
            <v>0.18257781618674057</v>
          </cell>
          <cell r="BW40">
            <v>0.25656375609338916</v>
          </cell>
          <cell r="BX40">
            <v>0.23860426051767578</v>
          </cell>
          <cell r="BY40">
            <v>0.22084025299459384</v>
          </cell>
          <cell r="BZ40">
            <v>0.19655633304505071</v>
          </cell>
          <cell r="CA40">
            <v>7.0145903479236812E-2</v>
          </cell>
          <cell r="CB40">
            <v>7.6757752533005832E-2</v>
          </cell>
          <cell r="CC40">
            <v>0.25868772207270507</v>
          </cell>
          <cell r="CD40">
            <v>0.25868772207270507</v>
          </cell>
          <cell r="CE40">
            <v>0.24762341357620679</v>
          </cell>
          <cell r="CF40">
            <v>0.25868772207270507</v>
          </cell>
          <cell r="CG40">
            <v>0.25461762431547263</v>
          </cell>
          <cell r="CJ40">
            <v>0.51496841527053006</v>
          </cell>
          <cell r="CK40">
            <v>0.28553480669293585</v>
          </cell>
          <cell r="CL40">
            <v>3.2724226399287917E-2</v>
          </cell>
          <cell r="CM40">
            <v>0.24902051929078961</v>
          </cell>
          <cell r="CN40">
            <v>0.35477767265846732</v>
          </cell>
          <cell r="CO40">
            <v>0.52029136316337155</v>
          </cell>
          <cell r="CP40">
            <v>0.59045819555975432</v>
          </cell>
          <cell r="CQ40">
            <v>0.24151322526421545</v>
          </cell>
          <cell r="CR40">
            <v>9.6749226006191943E-2</v>
          </cell>
          <cell r="CS40">
            <v>0.19814821486471879</v>
          </cell>
          <cell r="CT40">
            <v>0.81303750813037512</v>
          </cell>
          <cell r="CU40">
            <v>0.32062243502051985</v>
          </cell>
          <cell r="CV40">
            <v>0.35816618911174791</v>
          </cell>
          <cell r="CW40">
            <v>0.19429800132122643</v>
          </cell>
          <cell r="CX40">
            <v>0.2109183384455921</v>
          </cell>
          <cell r="CY40">
            <v>0.33189512114171921</v>
          </cell>
          <cell r="CZ40">
            <v>0.21336519586924982</v>
          </cell>
          <cell r="DA40">
            <v>0.23181417775511148</v>
          </cell>
          <cell r="DB40">
            <v>0.35358178346651581</v>
          </cell>
          <cell r="DC40">
            <v>0.48322107735997738</v>
          </cell>
          <cell r="DE40">
            <v>0.119822704811995</v>
          </cell>
          <cell r="DF40">
            <v>0.23886664292477006</v>
          </cell>
          <cell r="DH40">
            <v>0.28971786956757373</v>
          </cell>
          <cell r="DI40">
            <v>0.28971786956757373</v>
          </cell>
          <cell r="DJ40">
            <v>0.25868772207270507</v>
          </cell>
          <cell r="DK40">
            <v>0.28971786956757373</v>
          </cell>
          <cell r="DL40">
            <v>0.27850518201462776</v>
          </cell>
          <cell r="DQ40">
            <v>0.4970563395731975</v>
          </cell>
          <cell r="DR40">
            <v>0.21487951013686007</v>
          </cell>
          <cell r="DS40">
            <v>0.62562562562562563</v>
          </cell>
          <cell r="DT40">
            <v>0.19856754125879947</v>
          </cell>
          <cell r="DU40">
            <v>0.30974293554109505</v>
          </cell>
          <cell r="DV40">
            <v>0.62964362171011201</v>
          </cell>
          <cell r="DW40">
            <v>0.23282946491523526</v>
          </cell>
          <cell r="DX40">
            <v>0.52681487725213361</v>
          </cell>
          <cell r="DY40">
            <v>0.12863623984068881</v>
          </cell>
          <cell r="DZ40">
            <v>0.16182274464094182</v>
          </cell>
          <cell r="EA40">
            <v>0.25893925000232304</v>
          </cell>
          <cell r="EB40">
            <v>0.52509976895610178</v>
          </cell>
          <cell r="EC40">
            <v>0.66528521964900467</v>
          </cell>
          <cell r="ED40">
            <v>0.27664286196335902</v>
          </cell>
          <cell r="EE40">
            <v>0.39634879264495015</v>
          </cell>
          <cell r="EF40">
            <v>0.21399292458074021</v>
          </cell>
          <cell r="EG40">
            <v>0.20957798789539014</v>
          </cell>
          <cell r="EH40">
            <v>0.59481322864620501</v>
          </cell>
          <cell r="EI40">
            <v>0.11014614001034619</v>
          </cell>
          <cell r="EJ40">
            <v>0.44137983813399345</v>
          </cell>
          <cell r="EK40">
            <v>0.79449730671168173</v>
          </cell>
          <cell r="EL40">
            <v>7.4849331887996584E-2</v>
          </cell>
          <cell r="EM40">
            <v>0.3890476028047663</v>
          </cell>
          <cell r="EN40">
            <v>0.28918069000985175</v>
          </cell>
          <cell r="EO40">
            <v>0.19396576792512793</v>
          </cell>
          <cell r="EQ40">
            <v>0.21059148163493077</v>
          </cell>
          <cell r="ER40">
            <v>0.2105914816349308</v>
          </cell>
          <cell r="ES40">
            <v>0.28971786956757373</v>
          </cell>
          <cell r="ET40">
            <v>0.2105914816349308</v>
          </cell>
          <cell r="EU40">
            <v>0.22349864392361982</v>
          </cell>
          <cell r="EW40">
            <v>0.2605958870542387</v>
          </cell>
          <cell r="EX40">
            <v>0.28028661018442541</v>
          </cell>
          <cell r="EY40">
            <v>0.58470734827947546</v>
          </cell>
          <cell r="EZ40">
            <v>0.53432181444146831</v>
          </cell>
          <cell r="FA40">
            <v>6.6014729595734248E-2</v>
          </cell>
          <cell r="FB40">
            <v>0.88484746746542275</v>
          </cell>
          <cell r="FC40">
            <v>0.31905116278185264</v>
          </cell>
          <cell r="FD40">
            <v>0.43287256285583292</v>
          </cell>
          <cell r="FE40">
            <v>3.8834189303147158E-2</v>
          </cell>
          <cell r="FG40">
            <v>0.51868617288410757</v>
          </cell>
          <cell r="FL40">
            <v>0.26609429387972328</v>
          </cell>
          <cell r="FM40">
            <v>0.24762341357620679</v>
          </cell>
          <cell r="FN40">
            <v>0.25868772207270507</v>
          </cell>
          <cell r="FO40">
            <v>0.28971786956757373</v>
          </cell>
          <cell r="FW40">
            <v>0.49162583146355343</v>
          </cell>
          <cell r="FX40">
            <v>0.99432938528391202</v>
          </cell>
          <cell r="FY40">
            <v>2.3026315789473686</v>
          </cell>
          <cell r="FZ40">
            <v>2.3026315789473686</v>
          </cell>
          <cell r="GA40">
            <v>2.3026315789473686</v>
          </cell>
          <cell r="GB40">
            <v>2.3026315789473686</v>
          </cell>
          <cell r="GC40">
            <v>2.3026315789473686</v>
          </cell>
        </row>
        <row r="41">
          <cell r="A41" t="str">
            <v>Marketing</v>
          </cell>
          <cell r="C41">
            <v>138</v>
          </cell>
          <cell r="D41">
            <v>54</v>
          </cell>
          <cell r="E41">
            <v>30</v>
          </cell>
          <cell r="F41">
            <v>138</v>
          </cell>
          <cell r="G41">
            <v>24</v>
          </cell>
          <cell r="H41">
            <v>36</v>
          </cell>
          <cell r="I41">
            <v>36</v>
          </cell>
          <cell r="J41">
            <v>24</v>
          </cell>
          <cell r="K41">
            <v>36</v>
          </cell>
          <cell r="L41">
            <v>24</v>
          </cell>
          <cell r="M41">
            <v>42</v>
          </cell>
          <cell r="N41">
            <v>36</v>
          </cell>
          <cell r="O41">
            <v>36</v>
          </cell>
          <cell r="P41">
            <v>24</v>
          </cell>
          <cell r="Q41">
            <v>24</v>
          </cell>
          <cell r="R41">
            <v>3.5999999999999996</v>
          </cell>
          <cell r="S41">
            <v>1.2</v>
          </cell>
          <cell r="T41">
            <v>102</v>
          </cell>
          <cell r="U41">
            <v>24</v>
          </cell>
          <cell r="V41">
            <v>24</v>
          </cell>
          <cell r="W41">
            <v>48</v>
          </cell>
          <cell r="X41">
            <v>120</v>
          </cell>
          <cell r="Y41">
            <v>42.228571428571435</v>
          </cell>
          <cell r="Z41">
            <v>886.80000000000007</v>
          </cell>
          <cell r="AA41">
            <v>71.863566193005724</v>
          </cell>
          <cell r="AB41">
            <v>-110.9114972467697</v>
          </cell>
          <cell r="AC41">
            <v>847.75206894623602</v>
          </cell>
          <cell r="AE41">
            <v>15</v>
          </cell>
          <cell r="AF41">
            <v>20</v>
          </cell>
          <cell r="AG41">
            <v>15</v>
          </cell>
          <cell r="AH41">
            <v>20</v>
          </cell>
          <cell r="AI41">
            <v>20</v>
          </cell>
          <cell r="AJ41">
            <v>15</v>
          </cell>
          <cell r="AK41">
            <v>35</v>
          </cell>
          <cell r="AL41">
            <v>25</v>
          </cell>
          <cell r="AM41">
            <v>30</v>
          </cell>
          <cell r="AN41">
            <v>12</v>
          </cell>
          <cell r="AO41">
            <v>102</v>
          </cell>
          <cell r="AP41">
            <v>20</v>
          </cell>
          <cell r="AQ41">
            <v>15</v>
          </cell>
          <cell r="AR41">
            <v>25</v>
          </cell>
          <cell r="AS41">
            <v>10</v>
          </cell>
          <cell r="AT41">
            <v>150</v>
          </cell>
          <cell r="AU41">
            <v>10</v>
          </cell>
          <cell r="AV41">
            <v>25</v>
          </cell>
          <cell r="AW41">
            <v>10</v>
          </cell>
          <cell r="AX41">
            <v>20</v>
          </cell>
          <cell r="AY41">
            <v>20</v>
          </cell>
          <cell r="AZ41">
            <v>12</v>
          </cell>
          <cell r="BA41">
            <v>28.454545454545453</v>
          </cell>
          <cell r="BB41">
            <v>626</v>
          </cell>
          <cell r="BC41">
            <v>110.9114972467697</v>
          </cell>
          <cell r="BD41">
            <v>-86.702003252836718</v>
          </cell>
          <cell r="BE41">
            <v>650.20949399393305</v>
          </cell>
          <cell r="BH41">
            <v>81.900000000000006</v>
          </cell>
          <cell r="BI41">
            <v>15.75</v>
          </cell>
          <cell r="BJ41">
            <v>2.1</v>
          </cell>
          <cell r="BK41">
            <v>31.5</v>
          </cell>
          <cell r="BL41">
            <v>40</v>
          </cell>
          <cell r="BM41">
            <v>80</v>
          </cell>
          <cell r="BN41">
            <v>15</v>
          </cell>
          <cell r="BO41">
            <v>31.5</v>
          </cell>
          <cell r="BP41">
            <v>36</v>
          </cell>
          <cell r="BQ41">
            <v>10.8</v>
          </cell>
          <cell r="BR41">
            <v>15.75</v>
          </cell>
          <cell r="BS41">
            <v>13.5</v>
          </cell>
          <cell r="BT41">
            <v>15</v>
          </cell>
          <cell r="BU41">
            <v>15</v>
          </cell>
          <cell r="BV41">
            <v>12.600000000000001</v>
          </cell>
          <cell r="BW41">
            <v>12.600000000000001</v>
          </cell>
          <cell r="BX41">
            <v>52.5</v>
          </cell>
          <cell r="BY41">
            <v>131.25</v>
          </cell>
          <cell r="BZ41">
            <v>52.5</v>
          </cell>
          <cell r="CA41">
            <v>5.25</v>
          </cell>
          <cell r="CB41">
            <v>30</v>
          </cell>
          <cell r="CC41">
            <v>33.357142857142854</v>
          </cell>
          <cell r="CD41">
            <v>700.5</v>
          </cell>
          <cell r="CE41">
            <v>86.702003252836718</v>
          </cell>
          <cell r="CF41">
            <v>-74.471982827158499</v>
          </cell>
          <cell r="CG41">
            <v>712.73002042567816</v>
          </cell>
          <cell r="CJ41">
            <v>15.75</v>
          </cell>
          <cell r="CK41">
            <v>126</v>
          </cell>
          <cell r="CL41">
            <v>2.625</v>
          </cell>
          <cell r="CM41">
            <v>63</v>
          </cell>
          <cell r="CN41">
            <v>15.75</v>
          </cell>
          <cell r="CO41">
            <v>15.75</v>
          </cell>
          <cell r="CP41">
            <v>21</v>
          </cell>
          <cell r="CQ41">
            <v>28.749999999999996</v>
          </cell>
          <cell r="CR41">
            <v>16.8</v>
          </cell>
          <cell r="CS41">
            <v>11.55</v>
          </cell>
          <cell r="CT41">
            <v>22.5</v>
          </cell>
          <cell r="CU41">
            <v>31.5</v>
          </cell>
          <cell r="CV41">
            <v>31.5</v>
          </cell>
          <cell r="CW41">
            <v>31.5</v>
          </cell>
          <cell r="CX41">
            <v>14.700000000000001</v>
          </cell>
          <cell r="CY41">
            <v>8</v>
          </cell>
          <cell r="CZ41">
            <v>78.75</v>
          </cell>
          <cell r="DA41">
            <v>10.5</v>
          </cell>
          <cell r="DB41">
            <v>31.5</v>
          </cell>
          <cell r="DC41">
            <v>91</v>
          </cell>
          <cell r="DE41">
            <v>56.5</v>
          </cell>
          <cell r="DF41">
            <v>88</v>
          </cell>
          <cell r="DH41">
            <v>33.421250000000001</v>
          </cell>
          <cell r="DI41">
            <v>668.42499999999995</v>
          </cell>
          <cell r="DJ41">
            <v>74.471982827158499</v>
          </cell>
          <cell r="DK41">
            <v>-54.112321011137048</v>
          </cell>
          <cell r="DL41">
            <v>688.78466181602141</v>
          </cell>
          <cell r="DQ41">
            <v>15.75</v>
          </cell>
          <cell r="DR41">
            <v>80</v>
          </cell>
          <cell r="DS41">
            <v>10</v>
          </cell>
          <cell r="DT41">
            <v>19.8</v>
          </cell>
          <cell r="DU41">
            <v>10</v>
          </cell>
          <cell r="DV41">
            <v>10</v>
          </cell>
          <cell r="DW41">
            <v>20</v>
          </cell>
          <cell r="DX41">
            <v>10</v>
          </cell>
          <cell r="DY41">
            <v>28</v>
          </cell>
          <cell r="DZ41">
            <v>18</v>
          </cell>
          <cell r="EA41">
            <v>40</v>
          </cell>
          <cell r="EB41">
            <v>10</v>
          </cell>
          <cell r="EC41">
            <v>20</v>
          </cell>
          <cell r="ED41">
            <v>40</v>
          </cell>
          <cell r="EE41">
            <v>15</v>
          </cell>
          <cell r="EF41">
            <v>20</v>
          </cell>
          <cell r="EG41">
            <v>15</v>
          </cell>
          <cell r="EH41">
            <v>10</v>
          </cell>
          <cell r="EI41">
            <v>77</v>
          </cell>
          <cell r="EJ41">
            <v>35.174999999999997</v>
          </cell>
          <cell r="EK41">
            <v>35.174999999999997</v>
          </cell>
          <cell r="EL41">
            <v>35.174999999999997</v>
          </cell>
          <cell r="EM41">
            <v>35.174999999999997</v>
          </cell>
          <cell r="EN41">
            <v>35.174999999999997</v>
          </cell>
          <cell r="EO41">
            <v>35.174999999999997</v>
          </cell>
          <cell r="EQ41">
            <v>27.18399999999999</v>
          </cell>
          <cell r="ER41">
            <v>679.5999999999998</v>
          </cell>
          <cell r="ES41">
            <v>54.112321011137048</v>
          </cell>
          <cell r="ET41">
            <v>78.670709000285981</v>
          </cell>
          <cell r="EU41">
            <v>812.38303001142287</v>
          </cell>
          <cell r="EW41">
            <v>15</v>
          </cell>
          <cell r="EX41">
            <v>20</v>
          </cell>
          <cell r="EY41">
            <v>20</v>
          </cell>
          <cell r="EZ41">
            <v>20</v>
          </cell>
          <cell r="FA41">
            <v>18</v>
          </cell>
          <cell r="FB41">
            <v>35</v>
          </cell>
          <cell r="FC41">
            <v>20</v>
          </cell>
          <cell r="FD41">
            <v>100</v>
          </cell>
          <cell r="FE41">
            <v>20</v>
          </cell>
          <cell r="FG41">
            <v>15</v>
          </cell>
          <cell r="FL41">
            <v>886.80000000000007</v>
          </cell>
          <cell r="FM41">
            <v>626</v>
          </cell>
          <cell r="FN41">
            <v>700.5</v>
          </cell>
          <cell r="FO41">
            <v>668.42499999999995</v>
          </cell>
          <cell r="FQ41">
            <v>42.228571428571435</v>
          </cell>
          <cell r="FR41">
            <v>28.454545454545453</v>
          </cell>
          <cell r="FS41">
            <v>33.357142857142854</v>
          </cell>
          <cell r="FT41">
            <v>33.421250000000001</v>
          </cell>
          <cell r="FW41">
            <v>35</v>
          </cell>
          <cell r="FX41">
            <v>35</v>
          </cell>
          <cell r="FY41">
            <v>35</v>
          </cell>
          <cell r="FZ41">
            <v>35</v>
          </cell>
          <cell r="GA41">
            <v>35</v>
          </cell>
          <cell r="GB41">
            <v>35</v>
          </cell>
          <cell r="GC41">
            <v>35</v>
          </cell>
        </row>
        <row r="42">
          <cell r="A42" t="str">
            <v>Marketing as % of Negative Cost</v>
          </cell>
          <cell r="C42">
            <v>1.2</v>
          </cell>
          <cell r="D42">
            <v>1.2</v>
          </cell>
          <cell r="E42">
            <v>1.2</v>
          </cell>
          <cell r="F42">
            <v>1.2</v>
          </cell>
          <cell r="G42">
            <v>1.2</v>
          </cell>
          <cell r="H42">
            <v>1.2</v>
          </cell>
          <cell r="I42">
            <v>1.2</v>
          </cell>
          <cell r="J42">
            <v>1.2</v>
          </cell>
          <cell r="K42">
            <v>1.2</v>
          </cell>
          <cell r="L42">
            <v>1.2</v>
          </cell>
          <cell r="M42">
            <v>1.2</v>
          </cell>
          <cell r="N42">
            <v>1.2</v>
          </cell>
          <cell r="O42">
            <v>1.2</v>
          </cell>
          <cell r="P42">
            <v>1.2</v>
          </cell>
          <cell r="Q42">
            <v>1.2</v>
          </cell>
          <cell r="R42">
            <v>1.2</v>
          </cell>
          <cell r="S42">
            <v>1.2</v>
          </cell>
          <cell r="T42">
            <v>1.2</v>
          </cell>
          <cell r="U42">
            <v>1.2</v>
          </cell>
          <cell r="V42">
            <v>1.2</v>
          </cell>
          <cell r="W42">
            <v>1.2</v>
          </cell>
          <cell r="X42">
            <v>1.2</v>
          </cell>
          <cell r="Y42">
            <v>1.2000000000000002</v>
          </cell>
          <cell r="Z42">
            <v>1.2000000000000002</v>
          </cell>
          <cell r="AA42">
            <v>0.34807820053137062</v>
          </cell>
          <cell r="AB42">
            <v>0.3204685653881062</v>
          </cell>
          <cell r="AC42">
            <v>1.4144136222253625</v>
          </cell>
          <cell r="AE42">
            <v>1.5</v>
          </cell>
          <cell r="AF42">
            <v>1</v>
          </cell>
          <cell r="AG42">
            <v>1.5</v>
          </cell>
          <cell r="AH42">
            <v>1</v>
          </cell>
          <cell r="AI42">
            <v>1.3333333333333333</v>
          </cell>
          <cell r="AJ42">
            <v>1</v>
          </cell>
          <cell r="AK42">
            <v>0.63636363636363635</v>
          </cell>
          <cell r="AL42">
            <v>1</v>
          </cell>
          <cell r="AM42">
            <v>1.2</v>
          </cell>
          <cell r="AN42">
            <v>0.6</v>
          </cell>
          <cell r="AO42">
            <v>1.2</v>
          </cell>
          <cell r="AP42">
            <v>4</v>
          </cell>
          <cell r="AQ42">
            <v>3</v>
          </cell>
          <cell r="AR42">
            <v>1.25</v>
          </cell>
          <cell r="AS42">
            <v>1</v>
          </cell>
          <cell r="AT42">
            <v>1.25</v>
          </cell>
          <cell r="AU42">
            <v>3.3333333333333335</v>
          </cell>
          <cell r="AV42">
            <v>0.7142857142857143</v>
          </cell>
          <cell r="AW42">
            <v>2</v>
          </cell>
          <cell r="AX42">
            <v>4</v>
          </cell>
          <cell r="AY42">
            <v>1.3333333333333333</v>
          </cell>
          <cell r="AZ42">
            <v>0.8</v>
          </cell>
          <cell r="BA42">
            <v>1.1635687732342008</v>
          </cell>
          <cell r="BB42">
            <v>1.1635687732342008</v>
          </cell>
          <cell r="BC42">
            <v>0.32046856538810625</v>
          </cell>
          <cell r="BD42">
            <v>0.33202537763763929</v>
          </cell>
          <cell r="BE42">
            <v>1.043740277600413</v>
          </cell>
          <cell r="BH42">
            <v>1.05</v>
          </cell>
          <cell r="BI42">
            <v>1.05</v>
          </cell>
          <cell r="BJ42">
            <v>1.05</v>
          </cell>
          <cell r="BK42">
            <v>1.05</v>
          </cell>
          <cell r="BL42">
            <v>0.66666666666666663</v>
          </cell>
          <cell r="BM42">
            <v>0.64</v>
          </cell>
          <cell r="BN42">
            <v>1.5</v>
          </cell>
          <cell r="BO42">
            <v>1.05</v>
          </cell>
          <cell r="BP42">
            <v>0.9</v>
          </cell>
          <cell r="BQ42">
            <v>0.9</v>
          </cell>
          <cell r="BR42">
            <v>1.05</v>
          </cell>
          <cell r="BS42">
            <v>0.9</v>
          </cell>
          <cell r="BT42">
            <v>1.6666666666666667</v>
          </cell>
          <cell r="BU42">
            <v>1</v>
          </cell>
          <cell r="BV42">
            <v>1.05</v>
          </cell>
          <cell r="BW42">
            <v>1.05</v>
          </cell>
          <cell r="BX42">
            <v>1.05</v>
          </cell>
          <cell r="BY42">
            <v>1.05</v>
          </cell>
          <cell r="BZ42">
            <v>1.05</v>
          </cell>
          <cell r="CA42">
            <v>1.05</v>
          </cell>
          <cell r="CB42">
            <v>1.5</v>
          </cell>
          <cell r="CC42">
            <v>0.96620689655172398</v>
          </cell>
          <cell r="CD42">
            <v>0.96620689655172409</v>
          </cell>
          <cell r="CE42">
            <v>0.33202537763763929</v>
          </cell>
          <cell r="CF42">
            <v>0.29066467982868144</v>
          </cell>
          <cell r="CG42">
            <v>0.97645224388249852</v>
          </cell>
          <cell r="CJ42">
            <v>1.05</v>
          </cell>
          <cell r="CK42">
            <v>1.05</v>
          </cell>
          <cell r="CL42">
            <v>1.05</v>
          </cell>
          <cell r="CM42">
            <v>1.05</v>
          </cell>
          <cell r="CN42">
            <v>1.05</v>
          </cell>
          <cell r="CO42">
            <v>1.05</v>
          </cell>
          <cell r="CP42">
            <v>1.05</v>
          </cell>
          <cell r="CQ42">
            <v>1.1499999999999999</v>
          </cell>
          <cell r="CR42">
            <v>1.05</v>
          </cell>
          <cell r="CS42">
            <v>1.05</v>
          </cell>
          <cell r="CT42">
            <v>0.5</v>
          </cell>
          <cell r="CU42">
            <v>1.05</v>
          </cell>
          <cell r="CV42">
            <v>1.05</v>
          </cell>
          <cell r="CW42">
            <v>1.05</v>
          </cell>
          <cell r="CX42">
            <v>1.05</v>
          </cell>
          <cell r="CY42">
            <v>0.8</v>
          </cell>
          <cell r="CZ42">
            <v>1.05</v>
          </cell>
          <cell r="DA42">
            <v>1.05</v>
          </cell>
          <cell r="DB42">
            <v>1.05</v>
          </cell>
          <cell r="DC42">
            <v>0.7</v>
          </cell>
          <cell r="DE42">
            <v>0.5</v>
          </cell>
          <cell r="DF42">
            <v>0.8</v>
          </cell>
          <cell r="DH42">
            <v>0.95014214641080319</v>
          </cell>
          <cell r="DI42">
            <v>0.95014214641080308</v>
          </cell>
          <cell r="DJ42">
            <v>0.29066467982868144</v>
          </cell>
          <cell r="DK42">
            <v>0.27559435700567242</v>
          </cell>
          <cell r="DL42">
            <v>0.90230056389999957</v>
          </cell>
          <cell r="DQ42">
            <v>1.05</v>
          </cell>
          <cell r="DR42">
            <v>1</v>
          </cell>
          <cell r="DS42">
            <v>1</v>
          </cell>
          <cell r="DT42">
            <v>1.1000000000000001</v>
          </cell>
          <cell r="DU42">
            <v>1</v>
          </cell>
          <cell r="DV42">
            <v>1</v>
          </cell>
          <cell r="DW42">
            <v>1</v>
          </cell>
          <cell r="DX42">
            <v>1</v>
          </cell>
          <cell r="DY42">
            <v>1</v>
          </cell>
          <cell r="DZ42">
            <v>1</v>
          </cell>
          <cell r="EA42">
            <v>1</v>
          </cell>
          <cell r="EB42">
            <v>1</v>
          </cell>
          <cell r="EC42">
            <v>1</v>
          </cell>
          <cell r="ED42">
            <v>1</v>
          </cell>
          <cell r="EE42">
            <v>1</v>
          </cell>
          <cell r="EF42">
            <v>1</v>
          </cell>
          <cell r="EG42">
            <v>1</v>
          </cell>
          <cell r="EH42">
            <v>1</v>
          </cell>
          <cell r="EI42">
            <v>1.1000000000000001</v>
          </cell>
          <cell r="EJ42">
            <v>1</v>
          </cell>
          <cell r="EK42">
            <v>1</v>
          </cell>
          <cell r="EL42">
            <v>1</v>
          </cell>
          <cell r="EM42">
            <v>1</v>
          </cell>
          <cell r="EN42">
            <v>1</v>
          </cell>
          <cell r="EO42">
            <v>1</v>
          </cell>
          <cell r="EQ42">
            <v>1.0142526677113648</v>
          </cell>
          <cell r="ER42">
            <v>1.0142526677113648</v>
          </cell>
          <cell r="ES42">
            <v>0.27559435700567242</v>
          </cell>
          <cell r="ET42">
            <v>1.2653063946538619</v>
          </cell>
          <cell r="EU42">
            <v>0.87487261316472942</v>
          </cell>
          <cell r="EW42">
            <v>1</v>
          </cell>
          <cell r="EX42">
            <v>1</v>
          </cell>
          <cell r="EY42">
            <v>1</v>
          </cell>
          <cell r="EZ42">
            <v>1</v>
          </cell>
          <cell r="FA42">
            <v>1</v>
          </cell>
          <cell r="FB42">
            <v>1</v>
          </cell>
          <cell r="FC42">
            <v>1</v>
          </cell>
          <cell r="FD42">
            <v>1</v>
          </cell>
          <cell r="FE42">
            <v>1</v>
          </cell>
          <cell r="FG42">
            <v>1</v>
          </cell>
          <cell r="FL42">
            <v>1.2000000000000002</v>
          </cell>
          <cell r="FM42">
            <v>1.1635687732342008</v>
          </cell>
          <cell r="FN42">
            <v>0.96620689655172409</v>
          </cell>
          <cell r="FO42">
            <v>0.95014214641080308</v>
          </cell>
          <cell r="FW42">
            <v>1</v>
          </cell>
          <cell r="FX42">
            <v>1</v>
          </cell>
          <cell r="FY42">
            <v>1</v>
          </cell>
          <cell r="FZ42">
            <v>1</v>
          </cell>
          <cell r="GA42">
            <v>1</v>
          </cell>
          <cell r="GB42">
            <v>1</v>
          </cell>
          <cell r="GC42">
            <v>1</v>
          </cell>
        </row>
        <row r="43">
          <cell r="A43" t="str">
            <v>% Marketing Allocated to Theatrical</v>
          </cell>
          <cell r="C43">
            <v>0.8</v>
          </cell>
          <cell r="D43">
            <v>0.8</v>
          </cell>
          <cell r="E43">
            <v>0.8</v>
          </cell>
          <cell r="F43">
            <v>0.8</v>
          </cell>
          <cell r="G43">
            <v>0.8</v>
          </cell>
          <cell r="H43">
            <v>0.8</v>
          </cell>
          <cell r="I43">
            <v>0.8</v>
          </cell>
          <cell r="J43">
            <v>0.8</v>
          </cell>
          <cell r="K43">
            <v>0.8</v>
          </cell>
          <cell r="L43">
            <v>0.8</v>
          </cell>
          <cell r="M43">
            <v>0.8</v>
          </cell>
          <cell r="N43">
            <v>0.8</v>
          </cell>
          <cell r="O43">
            <v>0.8</v>
          </cell>
          <cell r="P43">
            <v>0.8</v>
          </cell>
          <cell r="Q43">
            <v>0.8</v>
          </cell>
          <cell r="R43">
            <v>0.8</v>
          </cell>
          <cell r="S43">
            <v>0.8</v>
          </cell>
          <cell r="T43">
            <v>0.8</v>
          </cell>
          <cell r="U43">
            <v>0.8</v>
          </cell>
          <cell r="V43">
            <v>0.8</v>
          </cell>
          <cell r="W43">
            <v>0.8</v>
          </cell>
          <cell r="X43">
            <v>0.8</v>
          </cell>
          <cell r="Y43">
            <v>0.8</v>
          </cell>
          <cell r="Z43">
            <v>0.8</v>
          </cell>
          <cell r="AA43">
            <v>0</v>
          </cell>
          <cell r="AB43">
            <v>0</v>
          </cell>
          <cell r="AC43">
            <v>0.8</v>
          </cell>
          <cell r="AE43">
            <v>0.8</v>
          </cell>
          <cell r="AF43">
            <v>0.8</v>
          </cell>
          <cell r="AG43">
            <v>0.8</v>
          </cell>
          <cell r="AH43">
            <v>0.8</v>
          </cell>
          <cell r="AI43">
            <v>0.8</v>
          </cell>
          <cell r="AJ43">
            <v>0.8</v>
          </cell>
          <cell r="AK43">
            <v>0.8</v>
          </cell>
          <cell r="AL43">
            <v>0.8</v>
          </cell>
          <cell r="AM43">
            <v>0.8</v>
          </cell>
          <cell r="AN43">
            <v>0.8</v>
          </cell>
          <cell r="AO43">
            <v>0.8</v>
          </cell>
          <cell r="AP43">
            <v>0.8</v>
          </cell>
          <cell r="AQ43">
            <v>0.8</v>
          </cell>
          <cell r="AR43">
            <v>0.8</v>
          </cell>
          <cell r="AS43">
            <v>0.8</v>
          </cell>
          <cell r="AT43">
            <v>0.8</v>
          </cell>
          <cell r="AU43">
            <v>0.8</v>
          </cell>
          <cell r="AV43">
            <v>0.8</v>
          </cell>
          <cell r="AW43">
            <v>0.8</v>
          </cell>
          <cell r="AX43">
            <v>0.8</v>
          </cell>
          <cell r="AY43">
            <v>0.8</v>
          </cell>
          <cell r="AZ43">
            <v>0.8</v>
          </cell>
          <cell r="BA43">
            <v>0.8</v>
          </cell>
          <cell r="BB43">
            <v>0.8</v>
          </cell>
          <cell r="BC43">
            <v>0</v>
          </cell>
          <cell r="BD43">
            <v>0</v>
          </cell>
          <cell r="BE43">
            <v>0.8</v>
          </cell>
          <cell r="BH43">
            <v>0.8</v>
          </cell>
          <cell r="BI43">
            <v>0.8</v>
          </cell>
          <cell r="BJ43">
            <v>0.8</v>
          </cell>
          <cell r="BK43">
            <v>0.8</v>
          </cell>
          <cell r="BL43">
            <v>0.8</v>
          </cell>
          <cell r="BM43">
            <v>0.8</v>
          </cell>
          <cell r="BN43">
            <v>0.8</v>
          </cell>
          <cell r="BO43">
            <v>0.8</v>
          </cell>
          <cell r="BP43">
            <v>0.8</v>
          </cell>
          <cell r="BQ43">
            <v>0.8</v>
          </cell>
          <cell r="BR43">
            <v>0.8</v>
          </cell>
          <cell r="BS43">
            <v>0.8</v>
          </cell>
          <cell r="BT43">
            <v>0.8</v>
          </cell>
          <cell r="BU43">
            <v>0.8</v>
          </cell>
          <cell r="BV43">
            <v>0.8</v>
          </cell>
          <cell r="BW43">
            <v>0.8</v>
          </cell>
          <cell r="BX43">
            <v>0.8</v>
          </cell>
          <cell r="BY43">
            <v>0.8</v>
          </cell>
          <cell r="BZ43">
            <v>0.8</v>
          </cell>
          <cell r="CA43">
            <v>0.8</v>
          </cell>
          <cell r="CB43">
            <v>0.8</v>
          </cell>
          <cell r="CC43">
            <v>0.80000000000000027</v>
          </cell>
          <cell r="CD43">
            <v>0.80000000000000016</v>
          </cell>
          <cell r="CE43">
            <v>0</v>
          </cell>
          <cell r="CF43">
            <v>0</v>
          </cell>
          <cell r="CG43">
            <v>0.8</v>
          </cell>
          <cell r="CJ43">
            <v>0.8</v>
          </cell>
          <cell r="CK43">
            <v>0.8</v>
          </cell>
          <cell r="CL43">
            <v>0.8</v>
          </cell>
          <cell r="CM43">
            <v>0.8</v>
          </cell>
          <cell r="CN43">
            <v>0.8</v>
          </cell>
          <cell r="CO43">
            <v>0.8</v>
          </cell>
          <cell r="CP43">
            <v>0.8</v>
          </cell>
          <cell r="CQ43">
            <v>0.8</v>
          </cell>
          <cell r="CR43">
            <v>0.8</v>
          </cell>
          <cell r="CS43">
            <v>0.8</v>
          </cell>
          <cell r="CT43">
            <v>0.8</v>
          </cell>
          <cell r="CU43">
            <v>0.8</v>
          </cell>
          <cell r="CV43">
            <v>0.8</v>
          </cell>
          <cell r="CW43">
            <v>0.8</v>
          </cell>
          <cell r="CX43">
            <v>0.8</v>
          </cell>
          <cell r="CY43">
            <v>0.8</v>
          </cell>
          <cell r="CZ43">
            <v>0.8</v>
          </cell>
          <cell r="DA43">
            <v>0.8</v>
          </cell>
          <cell r="DB43">
            <v>0.8</v>
          </cell>
          <cell r="DC43">
            <v>0.8</v>
          </cell>
          <cell r="DE43">
            <v>0.8</v>
          </cell>
          <cell r="DF43">
            <v>0.8</v>
          </cell>
          <cell r="DH43">
            <v>0.79999999999999982</v>
          </cell>
          <cell r="DI43">
            <v>0.79999999999999993</v>
          </cell>
          <cell r="DJ43">
            <v>0</v>
          </cell>
          <cell r="DK43">
            <v>0</v>
          </cell>
          <cell r="DL43">
            <v>0.8</v>
          </cell>
          <cell r="DQ43">
            <v>0.8</v>
          </cell>
          <cell r="DR43">
            <v>0.8</v>
          </cell>
          <cell r="DS43">
            <v>0.8</v>
          </cell>
          <cell r="DT43">
            <v>0.8</v>
          </cell>
          <cell r="DU43">
            <v>0.8</v>
          </cell>
          <cell r="DV43">
            <v>0.8</v>
          </cell>
          <cell r="DW43">
            <v>0.8</v>
          </cell>
          <cell r="DX43">
            <v>0.8</v>
          </cell>
          <cell r="DY43">
            <v>0.8</v>
          </cell>
          <cell r="DZ43">
            <v>0.8</v>
          </cell>
          <cell r="EA43">
            <v>0.8</v>
          </cell>
          <cell r="EB43">
            <v>0.8</v>
          </cell>
          <cell r="EC43">
            <v>0.8</v>
          </cell>
          <cell r="ED43">
            <v>0.8</v>
          </cell>
          <cell r="EE43">
            <v>0.8</v>
          </cell>
          <cell r="EF43">
            <v>0.8</v>
          </cell>
          <cell r="EG43">
            <v>0.8</v>
          </cell>
          <cell r="EH43">
            <v>0.8</v>
          </cell>
          <cell r="EI43">
            <v>0.8</v>
          </cell>
          <cell r="EJ43">
            <v>0.8</v>
          </cell>
          <cell r="EK43">
            <v>0.8</v>
          </cell>
          <cell r="EL43">
            <v>0.8</v>
          </cell>
          <cell r="EM43">
            <v>0.8</v>
          </cell>
          <cell r="EN43">
            <v>0.8</v>
          </cell>
          <cell r="EO43">
            <v>0.8</v>
          </cell>
          <cell r="EQ43">
            <v>0.80000000000000027</v>
          </cell>
          <cell r="ER43">
            <v>0.80000000000000016</v>
          </cell>
          <cell r="ES43">
            <v>0</v>
          </cell>
          <cell r="ET43">
            <v>0</v>
          </cell>
          <cell r="EU43">
            <v>0.8</v>
          </cell>
          <cell r="EW43">
            <v>0.8</v>
          </cell>
          <cell r="EX43">
            <v>0.8</v>
          </cell>
          <cell r="EY43">
            <v>0.8</v>
          </cell>
          <cell r="EZ43">
            <v>0.8</v>
          </cell>
          <cell r="FA43">
            <v>0.8</v>
          </cell>
          <cell r="FB43">
            <v>0.8</v>
          </cell>
          <cell r="FC43">
            <v>0.8</v>
          </cell>
          <cell r="FD43">
            <v>0.8</v>
          </cell>
          <cell r="FE43">
            <v>0.8</v>
          </cell>
          <cell r="FG43">
            <v>0.8</v>
          </cell>
          <cell r="FL43">
            <v>0.8</v>
          </cell>
          <cell r="FM43">
            <v>0.8</v>
          </cell>
          <cell r="FN43">
            <v>0.80000000000000016</v>
          </cell>
          <cell r="FO43">
            <v>0.79999999999999993</v>
          </cell>
          <cell r="FW43">
            <v>0.8</v>
          </cell>
          <cell r="FX43">
            <v>0.8</v>
          </cell>
          <cell r="FY43">
            <v>0.8</v>
          </cell>
          <cell r="FZ43">
            <v>0.8</v>
          </cell>
          <cell r="GA43">
            <v>0.8</v>
          </cell>
          <cell r="GB43">
            <v>0.8</v>
          </cell>
          <cell r="GC43">
            <v>0.8</v>
          </cell>
        </row>
        <row r="44">
          <cell r="A44" t="str">
            <v>Marketing Allocated to Theatrical</v>
          </cell>
          <cell r="C44">
            <v>110.4</v>
          </cell>
          <cell r="D44">
            <v>43.2</v>
          </cell>
          <cell r="E44">
            <v>24</v>
          </cell>
          <cell r="F44">
            <v>110.4</v>
          </cell>
          <cell r="G44">
            <v>19.200000000000003</v>
          </cell>
          <cell r="H44">
            <v>28.8</v>
          </cell>
          <cell r="I44">
            <v>28.8</v>
          </cell>
          <cell r="J44">
            <v>19.200000000000003</v>
          </cell>
          <cell r="K44">
            <v>28.8</v>
          </cell>
          <cell r="L44">
            <v>19.200000000000003</v>
          </cell>
          <cell r="M44">
            <v>33.6</v>
          </cell>
          <cell r="N44">
            <v>28.8</v>
          </cell>
          <cell r="O44">
            <v>28.8</v>
          </cell>
          <cell r="P44">
            <v>19.200000000000003</v>
          </cell>
          <cell r="Q44">
            <v>19.200000000000003</v>
          </cell>
          <cell r="R44">
            <v>2.88</v>
          </cell>
          <cell r="S44">
            <v>0.96</v>
          </cell>
          <cell r="T44">
            <v>81.600000000000009</v>
          </cell>
          <cell r="U44">
            <v>19.200000000000003</v>
          </cell>
          <cell r="V44">
            <v>19.200000000000003</v>
          </cell>
          <cell r="W44">
            <v>38.400000000000006</v>
          </cell>
          <cell r="X44">
            <v>96</v>
          </cell>
          <cell r="Y44">
            <v>33.782857142857146</v>
          </cell>
          <cell r="Z44">
            <v>709.44</v>
          </cell>
          <cell r="AA44">
            <v>0</v>
          </cell>
          <cell r="AB44">
            <v>0</v>
          </cell>
          <cell r="AC44">
            <v>709.44</v>
          </cell>
          <cell r="AE44">
            <v>12</v>
          </cell>
          <cell r="AF44">
            <v>16</v>
          </cell>
          <cell r="AG44">
            <v>12</v>
          </cell>
          <cell r="AH44">
            <v>16</v>
          </cell>
          <cell r="AI44">
            <v>16</v>
          </cell>
          <cell r="AJ44">
            <v>12</v>
          </cell>
          <cell r="AK44">
            <v>28</v>
          </cell>
          <cell r="AL44">
            <v>20</v>
          </cell>
          <cell r="AM44">
            <v>24</v>
          </cell>
          <cell r="AN44">
            <v>9.6000000000000014</v>
          </cell>
          <cell r="AO44">
            <v>81.600000000000009</v>
          </cell>
          <cell r="AP44">
            <v>16</v>
          </cell>
          <cell r="AQ44">
            <v>12</v>
          </cell>
          <cell r="AR44">
            <v>20</v>
          </cell>
          <cell r="AS44">
            <v>8</v>
          </cell>
          <cell r="AT44">
            <v>120</v>
          </cell>
          <cell r="AU44">
            <v>8</v>
          </cell>
          <cell r="AV44">
            <v>20</v>
          </cell>
          <cell r="AW44">
            <v>8</v>
          </cell>
          <cell r="AX44">
            <v>16</v>
          </cell>
          <cell r="AY44">
            <v>16</v>
          </cell>
          <cell r="AZ44">
            <v>9.6000000000000014</v>
          </cell>
          <cell r="BA44">
            <v>22.763636363636365</v>
          </cell>
          <cell r="BB44">
            <v>500.8</v>
          </cell>
          <cell r="BC44">
            <v>0</v>
          </cell>
          <cell r="BD44">
            <v>0</v>
          </cell>
          <cell r="BE44">
            <v>500.8</v>
          </cell>
          <cell r="BH44">
            <v>65.52000000000001</v>
          </cell>
          <cell r="BI44">
            <v>12.600000000000001</v>
          </cell>
          <cell r="BJ44">
            <v>1.6800000000000002</v>
          </cell>
          <cell r="BK44">
            <v>25.200000000000003</v>
          </cell>
          <cell r="BL44">
            <v>32</v>
          </cell>
          <cell r="BM44">
            <v>64</v>
          </cell>
          <cell r="BN44">
            <v>12</v>
          </cell>
          <cell r="BO44">
            <v>25.200000000000003</v>
          </cell>
          <cell r="BP44">
            <v>28.8</v>
          </cell>
          <cell r="BQ44">
            <v>8.64</v>
          </cell>
          <cell r="BR44">
            <v>12.600000000000001</v>
          </cell>
          <cell r="BS44">
            <v>10.8</v>
          </cell>
          <cell r="BT44">
            <v>12</v>
          </cell>
          <cell r="BU44">
            <v>12</v>
          </cell>
          <cell r="BV44">
            <v>10.080000000000002</v>
          </cell>
          <cell r="BW44">
            <v>10.080000000000002</v>
          </cell>
          <cell r="BX44">
            <v>42</v>
          </cell>
          <cell r="BY44">
            <v>105</v>
          </cell>
          <cell r="BZ44">
            <v>42</v>
          </cell>
          <cell r="CA44">
            <v>4.2</v>
          </cell>
          <cell r="CB44">
            <v>24</v>
          </cell>
          <cell r="CC44">
            <v>26.68571428571429</v>
          </cell>
          <cell r="CD44">
            <v>560.40000000000009</v>
          </cell>
          <cell r="CE44">
            <v>0</v>
          </cell>
          <cell r="CF44">
            <v>0</v>
          </cell>
          <cell r="CG44">
            <v>560.40000000000009</v>
          </cell>
          <cell r="CJ44">
            <v>12.600000000000001</v>
          </cell>
          <cell r="CK44">
            <v>100.80000000000001</v>
          </cell>
          <cell r="CL44">
            <v>2.1</v>
          </cell>
          <cell r="CM44">
            <v>50.400000000000006</v>
          </cell>
          <cell r="CN44">
            <v>12.600000000000001</v>
          </cell>
          <cell r="CO44">
            <v>12.600000000000001</v>
          </cell>
          <cell r="CP44">
            <v>16.8</v>
          </cell>
          <cell r="CQ44">
            <v>23</v>
          </cell>
          <cell r="CR44">
            <v>13.440000000000001</v>
          </cell>
          <cell r="CS44">
            <v>9.24</v>
          </cell>
          <cell r="CT44">
            <v>18</v>
          </cell>
          <cell r="CU44">
            <v>25.200000000000003</v>
          </cell>
          <cell r="CV44">
            <v>25.200000000000003</v>
          </cell>
          <cell r="CW44">
            <v>25.200000000000003</v>
          </cell>
          <cell r="CX44">
            <v>11.760000000000002</v>
          </cell>
          <cell r="CY44">
            <v>6.4</v>
          </cell>
          <cell r="CZ44">
            <v>63</v>
          </cell>
          <cell r="DA44">
            <v>8.4</v>
          </cell>
          <cell r="DB44">
            <v>25.200000000000003</v>
          </cell>
          <cell r="DC44">
            <v>72.8</v>
          </cell>
          <cell r="DE44">
            <v>45.2</v>
          </cell>
          <cell r="DF44">
            <v>70.400000000000006</v>
          </cell>
          <cell r="DH44">
            <v>26.736999999999995</v>
          </cell>
          <cell r="DI44">
            <v>534.7399999999999</v>
          </cell>
          <cell r="DJ44">
            <v>0</v>
          </cell>
          <cell r="DK44">
            <v>0</v>
          </cell>
          <cell r="DL44">
            <v>534.7399999999999</v>
          </cell>
          <cell r="DQ44">
            <v>12.600000000000001</v>
          </cell>
          <cell r="DR44">
            <v>64</v>
          </cell>
          <cell r="DS44">
            <v>8</v>
          </cell>
          <cell r="DT44">
            <v>15.840000000000002</v>
          </cell>
          <cell r="DU44">
            <v>8</v>
          </cell>
          <cell r="DV44">
            <v>8</v>
          </cell>
          <cell r="DW44">
            <v>16</v>
          </cell>
          <cell r="DX44">
            <v>8</v>
          </cell>
          <cell r="DY44">
            <v>22.400000000000002</v>
          </cell>
          <cell r="DZ44">
            <v>14.4</v>
          </cell>
          <cell r="EA44">
            <v>32</v>
          </cell>
          <cell r="EB44">
            <v>8</v>
          </cell>
          <cell r="EC44">
            <v>16</v>
          </cell>
          <cell r="ED44">
            <v>32</v>
          </cell>
          <cell r="EE44">
            <v>12</v>
          </cell>
          <cell r="EF44">
            <v>16</v>
          </cell>
          <cell r="EG44">
            <v>12</v>
          </cell>
          <cell r="EH44">
            <v>8</v>
          </cell>
          <cell r="EI44">
            <v>61.6</v>
          </cell>
          <cell r="EJ44">
            <v>28.14</v>
          </cell>
          <cell r="EK44">
            <v>28.14</v>
          </cell>
          <cell r="EL44">
            <v>28.14</v>
          </cell>
          <cell r="EM44">
            <v>28.14</v>
          </cell>
          <cell r="EN44">
            <v>28.14</v>
          </cell>
          <cell r="EO44">
            <v>28.14</v>
          </cell>
          <cell r="EQ44">
            <v>21.747199999999999</v>
          </cell>
          <cell r="ER44">
            <v>543.67999999999995</v>
          </cell>
          <cell r="ES44">
            <v>0</v>
          </cell>
          <cell r="ET44">
            <v>0</v>
          </cell>
          <cell r="EU44">
            <v>543.67999999999995</v>
          </cell>
          <cell r="EW44">
            <v>12</v>
          </cell>
          <cell r="EX44">
            <v>16</v>
          </cell>
          <cell r="EY44">
            <v>16</v>
          </cell>
          <cell r="EZ44">
            <v>16</v>
          </cell>
          <cell r="FA44">
            <v>14.4</v>
          </cell>
          <cell r="FB44">
            <v>28</v>
          </cell>
          <cell r="FC44">
            <v>16</v>
          </cell>
          <cell r="FD44">
            <v>80</v>
          </cell>
          <cell r="FE44">
            <v>16</v>
          </cell>
          <cell r="FG44">
            <v>12</v>
          </cell>
          <cell r="FL44">
            <v>709.44</v>
          </cell>
          <cell r="FM44">
            <v>500.8</v>
          </cell>
          <cell r="FN44">
            <v>560.40000000000009</v>
          </cell>
          <cell r="FO44">
            <v>534.7399999999999</v>
          </cell>
          <cell r="FQ44">
            <v>33.782857142857146</v>
          </cell>
          <cell r="FR44">
            <v>22.763636363636365</v>
          </cell>
          <cell r="FS44">
            <v>26.68571428571429</v>
          </cell>
          <cell r="FT44">
            <v>26.736999999999995</v>
          </cell>
          <cell r="FW44">
            <v>28</v>
          </cell>
          <cell r="FX44">
            <v>28</v>
          </cell>
          <cell r="FY44">
            <v>28</v>
          </cell>
          <cell r="FZ44">
            <v>28</v>
          </cell>
          <cell r="GA44">
            <v>28</v>
          </cell>
          <cell r="GB44">
            <v>28</v>
          </cell>
          <cell r="GC44">
            <v>28</v>
          </cell>
        </row>
        <row r="45">
          <cell r="A45" t="str">
            <v>Marketing Allocated to Theatrical as % Rev.</v>
          </cell>
          <cell r="C45">
            <v>0.90066570943741031</v>
          </cell>
          <cell r="D45">
            <v>1.3890675241157557</v>
          </cell>
          <cell r="E45">
            <v>0.74534161490683226</v>
          </cell>
          <cell r="F45">
            <v>0.6096079514080619</v>
          </cell>
          <cell r="G45">
            <v>3.8400000000000007</v>
          </cell>
          <cell r="H45">
            <v>10.867924528301888</v>
          </cell>
          <cell r="I45">
            <v>0.57600000000000007</v>
          </cell>
          <cell r="J45">
            <v>1.0463215258855587</v>
          </cell>
          <cell r="K45">
            <v>0.77211796246648801</v>
          </cell>
          <cell r="L45">
            <v>12.000000000000004</v>
          </cell>
          <cell r="M45">
            <v>0.47659574468085109</v>
          </cell>
          <cell r="N45">
            <v>1.4436090225563911</v>
          </cell>
          <cell r="O45">
            <v>0.62745098039215685</v>
          </cell>
          <cell r="P45">
            <v>1.5673469387755103</v>
          </cell>
          <cell r="Q45">
            <v>2.2588235294117651</v>
          </cell>
          <cell r="R45">
            <v>0.24827586206896551</v>
          </cell>
          <cell r="S45">
            <v>0.192</v>
          </cell>
          <cell r="T45">
            <v>0.42644368957407891</v>
          </cell>
          <cell r="U45">
            <v>0.6028257456828886</v>
          </cell>
          <cell r="V45">
            <v>2.2721893491124265</v>
          </cell>
          <cell r="W45">
            <v>0.64429530201342289</v>
          </cell>
          <cell r="X45">
            <v>0.53586380128384037</v>
          </cell>
          <cell r="Y45">
            <v>0.70703607733705387</v>
          </cell>
          <cell r="Z45">
            <v>0.70703607733705398</v>
          </cell>
          <cell r="AC45">
            <v>0.71842694635737359</v>
          </cell>
          <cell r="AE45">
            <v>1.4285714285714286</v>
          </cell>
          <cell r="AF45">
            <v>0.6130268199233716</v>
          </cell>
          <cell r="AG45">
            <v>0.69767441860465118</v>
          </cell>
          <cell r="AH45">
            <v>0.83989501312335957</v>
          </cell>
          <cell r="AI45">
            <v>0.72892938496583137</v>
          </cell>
          <cell r="AJ45">
            <v>0.84656084656084662</v>
          </cell>
          <cell r="AK45">
            <v>1.8666666666666667</v>
          </cell>
          <cell r="AL45">
            <v>0.69444444444444442</v>
          </cell>
          <cell r="AM45">
            <v>0.47290640394088668</v>
          </cell>
          <cell r="AN45">
            <v>0.8205128205128206</v>
          </cell>
          <cell r="AO45">
            <v>0.91122278056951433</v>
          </cell>
          <cell r="AP45">
            <v>0.41830065359477125</v>
          </cell>
          <cell r="AQ45">
            <v>4.2857142857142856</v>
          </cell>
          <cell r="AR45">
            <v>0.40858018386108269</v>
          </cell>
          <cell r="AS45">
            <v>1.2698412698412698</v>
          </cell>
          <cell r="AT45">
            <v>0.59040590405904059</v>
          </cell>
          <cell r="AU45">
            <v>3.4782608695652177</v>
          </cell>
          <cell r="AV45">
            <v>1.0126582278481013</v>
          </cell>
          <cell r="AW45">
            <v>2.1333333333333333</v>
          </cell>
          <cell r="AX45">
            <v>1.1307420494699647</v>
          </cell>
          <cell r="AY45">
            <v>6.5306122448979584</v>
          </cell>
          <cell r="AZ45">
            <v>0.23216444981862155</v>
          </cell>
          <cell r="BA45">
            <v>0.73005576004956452</v>
          </cell>
          <cell r="BB45">
            <v>0.73005576004956452</v>
          </cell>
          <cell r="BE45">
            <v>0.58537312919926032</v>
          </cell>
          <cell r="BH45">
            <v>0.73084216397099844</v>
          </cell>
          <cell r="BI45">
            <v>1.9384615384615387</v>
          </cell>
          <cell r="BJ45">
            <v>0.33267326732673269</v>
          </cell>
          <cell r="BK45">
            <v>4.3448275862068968</v>
          </cell>
          <cell r="BL45">
            <v>0.79900124843945075</v>
          </cell>
          <cell r="BM45">
            <v>0.60807600950118768</v>
          </cell>
          <cell r="BN45">
            <v>0.9486166007905138</v>
          </cell>
          <cell r="BO45">
            <v>0.76595744680851074</v>
          </cell>
          <cell r="BP45">
            <v>0.30283911671924291</v>
          </cell>
          <cell r="BQ45">
            <v>1.0337401292175163</v>
          </cell>
          <cell r="BR45">
            <v>1.8260869565217392</v>
          </cell>
          <cell r="BS45">
            <v>1.4814814814814816</v>
          </cell>
          <cell r="BT45">
            <v>3.243243243243243</v>
          </cell>
          <cell r="BU45">
            <v>4.2857142857142856</v>
          </cell>
          <cell r="BV45">
            <v>0.64677574590952847</v>
          </cell>
          <cell r="BW45">
            <v>0.97864077669902927</v>
          </cell>
          <cell r="BX45">
            <v>0.7142857142857143</v>
          </cell>
          <cell r="BY45">
            <v>0.38817005545286504</v>
          </cell>
          <cell r="BZ45">
            <v>0.4329896907216495</v>
          </cell>
          <cell r="CA45">
            <v>0.19090909090909092</v>
          </cell>
          <cell r="CB45">
            <v>0.2857142857142857</v>
          </cell>
          <cell r="CC45">
            <v>0.57172997287241267</v>
          </cell>
          <cell r="CD45">
            <v>0.57172997287241267</v>
          </cell>
          <cell r="CG45">
            <v>0.57153318059132885</v>
          </cell>
          <cell r="CJ45">
            <v>2.032258064516129</v>
          </cell>
          <cell r="CK45">
            <v>0.58064516129032262</v>
          </cell>
          <cell r="CL45">
            <v>0.11731843575418996</v>
          </cell>
          <cell r="CM45">
            <v>0.58878504672897203</v>
          </cell>
          <cell r="CN45">
            <v>1.5750000000000002</v>
          </cell>
          <cell r="CO45">
            <v>2.4000000000000004</v>
          </cell>
          <cell r="CP45">
            <v>2.1538461538461537</v>
          </cell>
          <cell r="CQ45">
            <v>0.67448680351906154</v>
          </cell>
          <cell r="CR45">
            <v>0.2470588235294118</v>
          </cell>
          <cell r="CS45">
            <v>1.2571428571428573</v>
          </cell>
          <cell r="CT45">
            <v>1.2456747404844291</v>
          </cell>
          <cell r="CU45">
            <v>1.0413223140495869</v>
          </cell>
          <cell r="CV45">
            <v>0.90000000000000013</v>
          </cell>
          <cell r="CW45">
            <v>0.41109298531810773</v>
          </cell>
          <cell r="CX45">
            <v>0.72998137802607077</v>
          </cell>
          <cell r="CY45">
            <v>1.1130434782608696</v>
          </cell>
          <cell r="CZ45">
            <v>0.48368522072936659</v>
          </cell>
          <cell r="DA45">
            <v>0.84422110552763818</v>
          </cell>
          <cell r="DB45">
            <v>1.163972286374134</v>
          </cell>
          <cell r="DC45">
            <v>0.6953199617956064</v>
          </cell>
          <cell r="DE45">
            <v>0.10723606168446027</v>
          </cell>
          <cell r="DF45">
            <v>0.33254605573925372</v>
          </cell>
          <cell r="DH45">
            <v>0.65486920740668153</v>
          </cell>
          <cell r="DI45">
            <v>0.65486920740668153</v>
          </cell>
          <cell r="DL45">
            <v>0.64414088850342088</v>
          </cell>
          <cell r="DQ45">
            <v>1.4400000000000002</v>
          </cell>
          <cell r="DR45">
            <v>0.38846737481031868</v>
          </cell>
          <cell r="DS45">
            <v>5</v>
          </cell>
          <cell r="DT45">
            <v>0.39600000000000002</v>
          </cell>
          <cell r="DU45">
            <v>0.91428571428571426</v>
          </cell>
          <cell r="DV45">
            <v>14.545454545454545</v>
          </cell>
          <cell r="DW45">
            <v>0.38554216867469882</v>
          </cell>
          <cell r="DX45">
            <v>2.6229508196721314</v>
          </cell>
          <cell r="DY45">
            <v>0.25253664036076662</v>
          </cell>
          <cell r="DZ45">
            <v>0.31441048034934499</v>
          </cell>
          <cell r="EA45">
            <v>0.5</v>
          </cell>
          <cell r="EB45">
            <v>2.580645161290323</v>
          </cell>
          <cell r="EC45">
            <v>1.8934911242603552</v>
          </cell>
          <cell r="ED45">
            <v>0.50393700787401574</v>
          </cell>
          <cell r="EE45">
            <v>0.97165991902834015</v>
          </cell>
          <cell r="EF45">
            <v>0.4081632653061224</v>
          </cell>
          <cell r="EG45">
            <v>0.40540540540540537</v>
          </cell>
          <cell r="EH45">
            <v>6.1538461538461533</v>
          </cell>
          <cell r="EI45">
            <v>0.224</v>
          </cell>
          <cell r="EJ45">
            <v>0.78338576320258346</v>
          </cell>
          <cell r="EK45">
            <v>1.5244596131968147</v>
          </cell>
          <cell r="EL45">
            <v>0.12470281157422898</v>
          </cell>
          <cell r="EM45">
            <v>0.68923287939649258</v>
          </cell>
          <cell r="EN45">
            <v>0.42218971531450433</v>
          </cell>
          <cell r="EO45">
            <v>0.44531657989270623</v>
          </cell>
          <cell r="EQ45">
            <v>0.40252972995384473</v>
          </cell>
          <cell r="ER45">
            <v>0.40252972995384473</v>
          </cell>
          <cell r="EU45">
            <v>0.42663787258619396</v>
          </cell>
          <cell r="EW45">
            <v>0.45630846452201684</v>
          </cell>
          <cell r="EX45">
            <v>0.58763038049067129</v>
          </cell>
          <cell r="EY45">
            <v>1.6522098306484923</v>
          </cell>
          <cell r="EZ45">
            <v>1.4665444546287809</v>
          </cell>
          <cell r="FA45">
            <v>0.11512908048642037</v>
          </cell>
          <cell r="FB45">
            <v>1.4255893284455987</v>
          </cell>
          <cell r="FC45">
            <v>0.68121341138903668</v>
          </cell>
          <cell r="FD45">
            <v>0.6600469458390229</v>
          </cell>
          <cell r="FE45">
            <v>6.228492237741548E-2</v>
          </cell>
          <cell r="FG45">
            <v>1.5735641227380017</v>
          </cell>
          <cell r="FL45">
            <v>0.70703607733705398</v>
          </cell>
          <cell r="FM45">
            <v>0.73005576004956452</v>
          </cell>
          <cell r="FN45">
            <v>0.57172997287241267</v>
          </cell>
          <cell r="FO45">
            <v>0.65486920740668153</v>
          </cell>
          <cell r="FW45">
            <v>0.9976128549542167</v>
          </cell>
          <cell r="FX45">
            <v>2.845474524288742</v>
          </cell>
          <cell r="FY45" t="e">
            <v>#DIV/0!</v>
          </cell>
          <cell r="FZ45" t="e">
            <v>#DIV/0!</v>
          </cell>
          <cell r="GA45" t="e">
            <v>#DIV/0!</v>
          </cell>
          <cell r="GB45" t="e">
            <v>#DIV/0!</v>
          </cell>
          <cell r="GC45" t="e">
            <v>#DIV/0!</v>
          </cell>
        </row>
        <row r="46">
          <cell r="A46" t="str">
            <v>% Marketing Allocated to Home Video</v>
          </cell>
          <cell r="C46">
            <v>0.19999999999999996</v>
          </cell>
          <cell r="D46">
            <v>0.19999999999999996</v>
          </cell>
          <cell r="E46">
            <v>0.2</v>
          </cell>
          <cell r="F46">
            <v>0.19999999999999996</v>
          </cell>
          <cell r="G46">
            <v>0.19999999999999987</v>
          </cell>
          <cell r="H46">
            <v>0.19999999999999998</v>
          </cell>
          <cell r="I46">
            <v>0.19999999999999998</v>
          </cell>
          <cell r="J46">
            <v>0.19999999999999987</v>
          </cell>
          <cell r="K46">
            <v>0.19999999999999998</v>
          </cell>
          <cell r="L46">
            <v>0.19999999999999987</v>
          </cell>
          <cell r="M46">
            <v>0.19999999999999996</v>
          </cell>
          <cell r="N46">
            <v>0.19999999999999998</v>
          </cell>
          <cell r="O46">
            <v>0.19999999999999998</v>
          </cell>
          <cell r="P46">
            <v>0.19999999999999987</v>
          </cell>
          <cell r="Q46">
            <v>0.19999999999999987</v>
          </cell>
          <cell r="R46">
            <v>0.19999999999999996</v>
          </cell>
          <cell r="S46">
            <v>0.2</v>
          </cell>
          <cell r="T46">
            <v>0.19999999999999993</v>
          </cell>
          <cell r="U46">
            <v>0.19999999999999987</v>
          </cell>
          <cell r="V46">
            <v>0.19999999999999987</v>
          </cell>
          <cell r="W46">
            <v>0.19999999999999987</v>
          </cell>
          <cell r="X46">
            <v>0.2</v>
          </cell>
          <cell r="Y46">
            <v>0.20000000000000004</v>
          </cell>
          <cell r="Z46">
            <v>0.2</v>
          </cell>
          <cell r="AC46">
            <v>0.16315155575870111</v>
          </cell>
          <cell r="AE46">
            <v>0.2</v>
          </cell>
          <cell r="AF46">
            <v>0.2</v>
          </cell>
          <cell r="AG46">
            <v>0.2</v>
          </cell>
          <cell r="AH46">
            <v>0.2</v>
          </cell>
          <cell r="AI46">
            <v>0.2</v>
          </cell>
          <cell r="AJ46">
            <v>0.2</v>
          </cell>
          <cell r="AK46">
            <v>0.2</v>
          </cell>
          <cell r="AL46">
            <v>0.2</v>
          </cell>
          <cell r="AM46">
            <v>0.2</v>
          </cell>
          <cell r="AN46">
            <v>0.19999999999999987</v>
          </cell>
          <cell r="AO46">
            <v>0.19999999999999993</v>
          </cell>
          <cell r="AP46">
            <v>0.2</v>
          </cell>
          <cell r="AQ46">
            <v>0.2</v>
          </cell>
          <cell r="AR46">
            <v>0.2</v>
          </cell>
          <cell r="AS46">
            <v>0.2</v>
          </cell>
          <cell r="AT46">
            <v>0.2</v>
          </cell>
          <cell r="AU46">
            <v>0.2</v>
          </cell>
          <cell r="AV46">
            <v>0.2</v>
          </cell>
          <cell r="AW46">
            <v>0.2</v>
          </cell>
          <cell r="AX46">
            <v>0.2</v>
          </cell>
          <cell r="AY46">
            <v>0.2</v>
          </cell>
          <cell r="AZ46">
            <v>0.19999999999999987</v>
          </cell>
          <cell r="BA46">
            <v>0.19999999999999998</v>
          </cell>
          <cell r="BB46">
            <v>0.19999999999999998</v>
          </cell>
          <cell r="BE46">
            <v>0.22978670009288896</v>
          </cell>
          <cell r="BH46">
            <v>0.19999999999999993</v>
          </cell>
          <cell r="BI46">
            <v>0.1999999999999999</v>
          </cell>
          <cell r="BJ46">
            <v>0.19999999999999996</v>
          </cell>
          <cell r="BK46">
            <v>0.1999999999999999</v>
          </cell>
          <cell r="BL46">
            <v>0.2</v>
          </cell>
          <cell r="BM46">
            <v>0.2</v>
          </cell>
          <cell r="BN46">
            <v>0.2</v>
          </cell>
          <cell r="BO46">
            <v>0.1999999999999999</v>
          </cell>
          <cell r="BP46">
            <v>0.19999999999999998</v>
          </cell>
          <cell r="BQ46">
            <v>0.2</v>
          </cell>
          <cell r="BR46">
            <v>0.1999999999999999</v>
          </cell>
          <cell r="BS46">
            <v>0.19999999999999996</v>
          </cell>
          <cell r="BT46">
            <v>0.2</v>
          </cell>
          <cell r="BU46">
            <v>0.2</v>
          </cell>
          <cell r="BV46">
            <v>0.19999999999999996</v>
          </cell>
          <cell r="BW46">
            <v>0.19999999999999996</v>
          </cell>
          <cell r="BX46">
            <v>0.2</v>
          </cell>
          <cell r="BY46">
            <v>0.2</v>
          </cell>
          <cell r="BZ46">
            <v>0.2</v>
          </cell>
          <cell r="CA46">
            <v>0.19999999999999996</v>
          </cell>
          <cell r="CB46">
            <v>0.2</v>
          </cell>
          <cell r="CC46">
            <v>0.19999999999999998</v>
          </cell>
          <cell r="CD46">
            <v>0.19999999999999996</v>
          </cell>
          <cell r="CG46">
            <v>0.21372752102500053</v>
          </cell>
          <cell r="CJ46">
            <v>0.1999999999999999</v>
          </cell>
          <cell r="CK46">
            <v>0.1999999999999999</v>
          </cell>
          <cell r="CL46">
            <v>0.19999999999999996</v>
          </cell>
          <cell r="CM46">
            <v>0.1999999999999999</v>
          </cell>
          <cell r="CN46">
            <v>0.1999999999999999</v>
          </cell>
          <cell r="CO46">
            <v>0.1999999999999999</v>
          </cell>
          <cell r="CP46">
            <v>0.19999999999999996</v>
          </cell>
          <cell r="CQ46">
            <v>0.1999999999999999</v>
          </cell>
          <cell r="CR46">
            <v>0.19999999999999996</v>
          </cell>
          <cell r="CS46">
            <v>0.20000000000000004</v>
          </cell>
          <cell r="CT46">
            <v>0.2</v>
          </cell>
          <cell r="CU46">
            <v>0.1999999999999999</v>
          </cell>
          <cell r="CV46">
            <v>0.1999999999999999</v>
          </cell>
          <cell r="CW46">
            <v>0.1999999999999999</v>
          </cell>
          <cell r="CX46">
            <v>0.19999999999999996</v>
          </cell>
          <cell r="CY46">
            <v>0.19999999999999996</v>
          </cell>
          <cell r="CZ46">
            <v>0.2</v>
          </cell>
          <cell r="DA46">
            <v>0.19999999999999996</v>
          </cell>
          <cell r="DB46">
            <v>0.1999999999999999</v>
          </cell>
          <cell r="DC46">
            <v>0.20000000000000004</v>
          </cell>
          <cell r="DE46">
            <v>0.19999999999999996</v>
          </cell>
          <cell r="DF46">
            <v>0.19999999999999993</v>
          </cell>
          <cell r="DH46">
            <v>0.1999999999999999</v>
          </cell>
          <cell r="DI46">
            <v>0.19999999999999993</v>
          </cell>
          <cell r="DL46">
            <v>0.22364705597519197</v>
          </cell>
          <cell r="DQ46">
            <v>0.1999999999999999</v>
          </cell>
          <cell r="DR46">
            <v>0.2</v>
          </cell>
          <cell r="DS46">
            <v>0.2</v>
          </cell>
          <cell r="DT46">
            <v>0.19999999999999996</v>
          </cell>
          <cell r="DU46">
            <v>0.2</v>
          </cell>
          <cell r="DV46">
            <v>0.2</v>
          </cell>
          <cell r="DW46">
            <v>0.2</v>
          </cell>
          <cell r="DX46">
            <v>0.2</v>
          </cell>
          <cell r="DY46">
            <v>0.19999999999999993</v>
          </cell>
          <cell r="DZ46">
            <v>0.19999999999999998</v>
          </cell>
          <cell r="EA46">
            <v>0.2</v>
          </cell>
          <cell r="EB46">
            <v>0.2</v>
          </cell>
          <cell r="EC46">
            <v>0.2</v>
          </cell>
          <cell r="ED46">
            <v>0.2</v>
          </cell>
          <cell r="EE46">
            <v>0.2</v>
          </cell>
          <cell r="EF46">
            <v>0.2</v>
          </cell>
          <cell r="EG46">
            <v>0.2</v>
          </cell>
          <cell r="EH46">
            <v>0.2</v>
          </cell>
          <cell r="EI46">
            <v>0.19999999999999998</v>
          </cell>
          <cell r="EJ46">
            <v>0.19999999999999993</v>
          </cell>
          <cell r="EK46">
            <v>0.19999999999999993</v>
          </cell>
          <cell r="EL46">
            <v>0.19999999999999993</v>
          </cell>
          <cell r="EM46">
            <v>0.19999999999999993</v>
          </cell>
          <cell r="EN46">
            <v>0.19999999999999993</v>
          </cell>
          <cell r="EO46">
            <v>0.19999999999999993</v>
          </cell>
          <cell r="EQ46">
            <v>0.20000000000000007</v>
          </cell>
          <cell r="ER46">
            <v>0.20000000000000004</v>
          </cell>
          <cell r="EU46">
            <v>0.33075903863679285</v>
          </cell>
          <cell r="EW46">
            <v>0.2</v>
          </cell>
          <cell r="EX46">
            <v>0.2</v>
          </cell>
          <cell r="EY46">
            <v>0.2</v>
          </cell>
          <cell r="EZ46">
            <v>0.2</v>
          </cell>
          <cell r="FA46">
            <v>0.19999999999999998</v>
          </cell>
          <cell r="FB46">
            <v>0.2</v>
          </cell>
          <cell r="FC46">
            <v>0.2</v>
          </cell>
          <cell r="FD46">
            <v>0.2</v>
          </cell>
          <cell r="FE46">
            <v>0.2</v>
          </cell>
          <cell r="FG46">
            <v>0.2</v>
          </cell>
          <cell r="FL46">
            <v>0.2</v>
          </cell>
          <cell r="FM46">
            <v>0.19999999999999998</v>
          </cell>
          <cell r="FN46">
            <v>0.19999999999999996</v>
          </cell>
          <cell r="FO46">
            <v>0.19999999999999993</v>
          </cell>
          <cell r="FW46">
            <v>0.2</v>
          </cell>
          <cell r="FX46">
            <v>0.2</v>
          </cell>
          <cell r="FY46">
            <v>0.2</v>
          </cell>
          <cell r="FZ46">
            <v>0.2</v>
          </cell>
          <cell r="GA46">
            <v>0.2</v>
          </cell>
          <cell r="GB46">
            <v>0.2</v>
          </cell>
          <cell r="GC46">
            <v>0.2</v>
          </cell>
        </row>
        <row r="47">
          <cell r="A47" t="str">
            <v>Marketing Allocated to Home Video</v>
          </cell>
          <cell r="C47">
            <v>27.599999999999994</v>
          </cell>
          <cell r="D47">
            <v>10.799999999999997</v>
          </cell>
          <cell r="E47">
            <v>6</v>
          </cell>
          <cell r="F47">
            <v>27.599999999999994</v>
          </cell>
          <cell r="G47">
            <v>4.7999999999999972</v>
          </cell>
          <cell r="H47">
            <v>7.1999999999999993</v>
          </cell>
          <cell r="I47">
            <v>7.1999999999999993</v>
          </cell>
          <cell r="J47">
            <v>4.7999999999999972</v>
          </cell>
          <cell r="K47">
            <v>7.1999999999999993</v>
          </cell>
          <cell r="L47">
            <v>4.7999999999999972</v>
          </cell>
          <cell r="M47">
            <v>8.3999999999999986</v>
          </cell>
          <cell r="N47">
            <v>7.1999999999999993</v>
          </cell>
          <cell r="O47">
            <v>7.1999999999999993</v>
          </cell>
          <cell r="P47">
            <v>4.7999999999999972</v>
          </cell>
          <cell r="Q47">
            <v>4.7999999999999972</v>
          </cell>
          <cell r="R47">
            <v>0.71999999999999975</v>
          </cell>
          <cell r="S47">
            <v>0.24</v>
          </cell>
          <cell r="T47">
            <v>20.399999999999991</v>
          </cell>
          <cell r="U47">
            <v>4.7999999999999972</v>
          </cell>
          <cell r="V47">
            <v>4.7999999999999972</v>
          </cell>
          <cell r="W47">
            <v>9.5999999999999943</v>
          </cell>
          <cell r="X47">
            <v>24</v>
          </cell>
          <cell r="Y47">
            <v>8.4457142857142884</v>
          </cell>
          <cell r="Z47">
            <v>177.36</v>
          </cell>
          <cell r="AA47">
            <v>71.863566193005724</v>
          </cell>
          <cell r="AB47">
            <v>-110.9114972467697</v>
          </cell>
          <cell r="AC47">
            <v>138.31206894623605</v>
          </cell>
          <cell r="AE47">
            <v>3</v>
          </cell>
          <cell r="AF47">
            <v>4</v>
          </cell>
          <cell r="AG47">
            <v>3</v>
          </cell>
          <cell r="AH47">
            <v>4</v>
          </cell>
          <cell r="AI47">
            <v>4</v>
          </cell>
          <cell r="AJ47">
            <v>3</v>
          </cell>
          <cell r="AK47">
            <v>7</v>
          </cell>
          <cell r="AL47">
            <v>5</v>
          </cell>
          <cell r="AM47">
            <v>6</v>
          </cell>
          <cell r="AN47">
            <v>2.3999999999999986</v>
          </cell>
          <cell r="AO47">
            <v>20.399999999999991</v>
          </cell>
          <cell r="AP47">
            <v>4</v>
          </cell>
          <cell r="AQ47">
            <v>3</v>
          </cell>
          <cell r="AR47">
            <v>5</v>
          </cell>
          <cell r="AS47">
            <v>2</v>
          </cell>
          <cell r="AT47">
            <v>30</v>
          </cell>
          <cell r="AU47">
            <v>2</v>
          </cell>
          <cell r="AV47">
            <v>5</v>
          </cell>
          <cell r="AW47">
            <v>2</v>
          </cell>
          <cell r="AX47">
            <v>4</v>
          </cell>
          <cell r="AY47">
            <v>4</v>
          </cell>
          <cell r="AZ47">
            <v>2.3999999999999986</v>
          </cell>
          <cell r="BA47">
            <v>5.6909090909090905</v>
          </cell>
          <cell r="BB47">
            <v>125.19999999999999</v>
          </cell>
          <cell r="BC47">
            <v>110.9114972467697</v>
          </cell>
          <cell r="BD47">
            <v>-86.702003252836718</v>
          </cell>
          <cell r="BE47">
            <v>149.40949399393298</v>
          </cell>
          <cell r="BH47">
            <v>16.379999999999995</v>
          </cell>
          <cell r="BI47">
            <v>3.1499999999999986</v>
          </cell>
          <cell r="BJ47">
            <v>0.41999999999999993</v>
          </cell>
          <cell r="BK47">
            <v>6.2999999999999972</v>
          </cell>
          <cell r="BL47">
            <v>8</v>
          </cell>
          <cell r="BM47">
            <v>16</v>
          </cell>
          <cell r="BN47">
            <v>3</v>
          </cell>
          <cell r="BO47">
            <v>6.2999999999999972</v>
          </cell>
          <cell r="BP47">
            <v>7.1999999999999993</v>
          </cell>
          <cell r="BQ47">
            <v>2.16</v>
          </cell>
          <cell r="BR47">
            <v>3.1499999999999986</v>
          </cell>
          <cell r="BS47">
            <v>2.6999999999999993</v>
          </cell>
          <cell r="BT47">
            <v>3</v>
          </cell>
          <cell r="BU47">
            <v>3</v>
          </cell>
          <cell r="BV47">
            <v>2.5199999999999996</v>
          </cell>
          <cell r="BW47">
            <v>2.5199999999999996</v>
          </cell>
          <cell r="BX47">
            <v>10.5</v>
          </cell>
          <cell r="BY47">
            <v>26.25</v>
          </cell>
          <cell r="BZ47">
            <v>10.5</v>
          </cell>
          <cell r="CA47">
            <v>1.0499999999999998</v>
          </cell>
          <cell r="CB47">
            <v>6</v>
          </cell>
          <cell r="CC47">
            <v>6.6714285714285699</v>
          </cell>
          <cell r="CD47">
            <v>140.09999999999997</v>
          </cell>
          <cell r="CE47">
            <v>86.702003252836718</v>
          </cell>
          <cell r="CF47">
            <v>-74.471982827158499</v>
          </cell>
          <cell r="CG47">
            <v>152.33002042567819</v>
          </cell>
          <cell r="CJ47">
            <v>3.1499999999999986</v>
          </cell>
          <cell r="CK47">
            <v>25.199999999999989</v>
          </cell>
          <cell r="CL47">
            <v>0.52499999999999991</v>
          </cell>
          <cell r="CM47">
            <v>12.599999999999994</v>
          </cell>
          <cell r="CN47">
            <v>3.1499999999999986</v>
          </cell>
          <cell r="CO47">
            <v>3.1499999999999986</v>
          </cell>
          <cell r="CP47">
            <v>4.1999999999999993</v>
          </cell>
          <cell r="CQ47">
            <v>5.7499999999999964</v>
          </cell>
          <cell r="CR47">
            <v>3.3599999999999994</v>
          </cell>
          <cell r="CS47">
            <v>2.3100000000000005</v>
          </cell>
          <cell r="CT47">
            <v>4.5</v>
          </cell>
          <cell r="CU47">
            <v>6.2999999999999972</v>
          </cell>
          <cell r="CV47">
            <v>6.2999999999999972</v>
          </cell>
          <cell r="CW47">
            <v>6.2999999999999972</v>
          </cell>
          <cell r="CX47">
            <v>2.9399999999999995</v>
          </cell>
          <cell r="CY47">
            <v>1.5999999999999996</v>
          </cell>
          <cell r="CZ47">
            <v>15.75</v>
          </cell>
          <cell r="DA47">
            <v>2.0999999999999996</v>
          </cell>
          <cell r="DB47">
            <v>6.2999999999999972</v>
          </cell>
          <cell r="DC47">
            <v>18.200000000000003</v>
          </cell>
          <cell r="DE47">
            <v>11.299999999999997</v>
          </cell>
          <cell r="DF47">
            <v>17.599999999999994</v>
          </cell>
          <cell r="DH47">
            <v>6.6842499999999969</v>
          </cell>
          <cell r="DI47">
            <v>133.68499999999995</v>
          </cell>
          <cell r="DJ47">
            <v>74.471982827158499</v>
          </cell>
          <cell r="DK47">
            <v>-54.112321011137048</v>
          </cell>
          <cell r="DL47">
            <v>154.0446618160214</v>
          </cell>
          <cell r="DQ47">
            <v>3.1499999999999986</v>
          </cell>
          <cell r="DR47">
            <v>16</v>
          </cell>
          <cell r="DS47">
            <v>2</v>
          </cell>
          <cell r="DT47">
            <v>3.9599999999999991</v>
          </cell>
          <cell r="DU47">
            <v>2</v>
          </cell>
          <cell r="DV47">
            <v>2</v>
          </cell>
          <cell r="DW47">
            <v>4</v>
          </cell>
          <cell r="DX47">
            <v>2</v>
          </cell>
          <cell r="DY47">
            <v>5.5999999999999979</v>
          </cell>
          <cell r="DZ47">
            <v>3.5999999999999996</v>
          </cell>
          <cell r="EA47">
            <v>8</v>
          </cell>
          <cell r="EB47">
            <v>2</v>
          </cell>
          <cell r="EC47">
            <v>4</v>
          </cell>
          <cell r="ED47">
            <v>8</v>
          </cell>
          <cell r="EE47">
            <v>3</v>
          </cell>
          <cell r="EF47">
            <v>4</v>
          </cell>
          <cell r="EG47">
            <v>3</v>
          </cell>
          <cell r="EH47">
            <v>2</v>
          </cell>
          <cell r="EI47">
            <v>15.399999999999999</v>
          </cell>
          <cell r="EJ47">
            <v>7.0349999999999966</v>
          </cell>
          <cell r="EK47">
            <v>7.0349999999999966</v>
          </cell>
          <cell r="EL47">
            <v>7.0349999999999966</v>
          </cell>
          <cell r="EM47">
            <v>7.0349999999999966</v>
          </cell>
          <cell r="EN47">
            <v>7.0349999999999966</v>
          </cell>
          <cell r="EO47">
            <v>7.0349999999999966</v>
          </cell>
          <cell r="EQ47">
            <v>5.4367999999999999</v>
          </cell>
          <cell r="ER47">
            <v>135.91999999999999</v>
          </cell>
          <cell r="ES47">
            <v>54.112321011137048</v>
          </cell>
          <cell r="ET47">
            <v>78.670709000285981</v>
          </cell>
          <cell r="EU47">
            <v>268.70303001142304</v>
          </cell>
          <cell r="EW47">
            <v>3</v>
          </cell>
          <cell r="EX47">
            <v>4</v>
          </cell>
          <cell r="EY47">
            <v>4</v>
          </cell>
          <cell r="EZ47">
            <v>4</v>
          </cell>
          <cell r="FA47">
            <v>3.5999999999999996</v>
          </cell>
          <cell r="FB47">
            <v>7</v>
          </cell>
          <cell r="FC47">
            <v>4</v>
          </cell>
          <cell r="FD47">
            <v>20</v>
          </cell>
          <cell r="FE47">
            <v>4</v>
          </cell>
          <cell r="FG47">
            <v>3</v>
          </cell>
          <cell r="FL47">
            <v>177.36</v>
          </cell>
          <cell r="FM47">
            <v>125.19999999999999</v>
          </cell>
          <cell r="FN47">
            <v>140.09999999999997</v>
          </cell>
          <cell r="FO47">
            <v>133.68499999999995</v>
          </cell>
          <cell r="FQ47">
            <v>8.4457142857142884</v>
          </cell>
          <cell r="FR47">
            <v>5.6909090909090905</v>
          </cell>
          <cell r="FS47">
            <v>6.6714285714285699</v>
          </cell>
          <cell r="FT47">
            <v>6.6842499999999969</v>
          </cell>
          <cell r="FW47">
            <v>7</v>
          </cell>
          <cell r="FX47">
            <v>7</v>
          </cell>
          <cell r="FY47">
            <v>7</v>
          </cell>
          <cell r="FZ47">
            <v>7</v>
          </cell>
          <cell r="GA47">
            <v>7</v>
          </cell>
          <cell r="GB47">
            <v>7</v>
          </cell>
          <cell r="GC47">
            <v>7</v>
          </cell>
        </row>
        <row r="48">
          <cell r="A48" t="str">
            <v>Marketing Allocated to Home Video as % Rev.</v>
          </cell>
          <cell r="C48">
            <v>0.85090640029596731</v>
          </cell>
          <cell r="D48">
            <v>0.11910669975186101</v>
          </cell>
          <cell r="E48">
            <v>0.15503875968992248</v>
          </cell>
          <cell r="F48">
            <v>0.10823529411764704</v>
          </cell>
          <cell r="G48">
            <v>0.33333333333333315</v>
          </cell>
          <cell r="H48">
            <v>1.2</v>
          </cell>
          <cell r="I48">
            <v>0.18604651162790695</v>
          </cell>
          <cell r="J48">
            <v>0.29304029304029283</v>
          </cell>
          <cell r="K48">
            <v>0.16415868673050615</v>
          </cell>
          <cell r="L48">
            <v>0.44444444444444414</v>
          </cell>
          <cell r="M48">
            <v>0.21116138763197584</v>
          </cell>
          <cell r="N48">
            <v>0.23668639053254437</v>
          </cell>
          <cell r="O48">
            <v>0.17777777777777776</v>
          </cell>
          <cell r="P48">
            <v>0.25641025641025628</v>
          </cell>
          <cell r="Q48">
            <v>0.49999999999999972</v>
          </cell>
          <cell r="R48">
            <v>5.1282051282051259E-2</v>
          </cell>
          <cell r="S48">
            <v>1.5384615384615384E-2</v>
          </cell>
          <cell r="T48">
            <v>8.1977094635322462E-2</v>
          </cell>
          <cell r="U48">
            <v>0.150375939849624</v>
          </cell>
          <cell r="V48">
            <v>0.21621621621621606</v>
          </cell>
          <cell r="W48">
            <v>0.1493930905695611</v>
          </cell>
          <cell r="X48">
            <v>0.13071895424836602</v>
          </cell>
          <cell r="Y48">
            <v>0.14372713238601148</v>
          </cell>
          <cell r="Z48">
            <v>0.14372713238601145</v>
          </cell>
          <cell r="AA48">
            <v>0.14372713238601145</v>
          </cell>
          <cell r="AB48">
            <v>0.14372713238601145</v>
          </cell>
          <cell r="AC48">
            <v>0.14372713238601145</v>
          </cell>
          <cell r="AE48">
            <v>0.15302999387880026</v>
          </cell>
          <cell r="AF48">
            <v>0.11594202898550725</v>
          </cell>
          <cell r="AG48">
            <v>6.8274920345926263E-2</v>
          </cell>
          <cell r="AH48">
            <v>0.19474196689386564</v>
          </cell>
          <cell r="AI48">
            <v>0.16806722689075629</v>
          </cell>
          <cell r="AJ48">
            <v>9.5359186268277163E-2</v>
          </cell>
          <cell r="AK48">
            <v>0.34825870646766172</v>
          </cell>
          <cell r="AL48">
            <v>9.3423019431988052E-2</v>
          </cell>
          <cell r="AM48">
            <v>8.6767895878524959E-2</v>
          </cell>
          <cell r="AN48">
            <v>8.961911874533228E-2</v>
          </cell>
          <cell r="AO48">
            <v>0.13086150490730639</v>
          </cell>
          <cell r="AP48">
            <v>6.0882800608828003E-2</v>
          </cell>
          <cell r="AQ48">
            <v>0.32779720279720276</v>
          </cell>
          <cell r="AR48">
            <v>7.334604664808568E-2</v>
          </cell>
          <cell r="AS48">
            <v>0.15698587127158556</v>
          </cell>
          <cell r="AT48">
            <v>0.11240164855751218</v>
          </cell>
          <cell r="AU48">
            <v>0.23030861354214646</v>
          </cell>
          <cell r="AV48">
            <v>0.18315018315018311</v>
          </cell>
          <cell r="AW48">
            <v>0.24813895781637715</v>
          </cell>
          <cell r="AX48">
            <v>0.21074815595363541</v>
          </cell>
          <cell r="AY48">
            <v>0.46511627906976744</v>
          </cell>
          <cell r="AZ48">
            <v>4.1508128675198874E-2</v>
          </cell>
          <cell r="BA48">
            <v>0.11908045539714091</v>
          </cell>
          <cell r="BB48">
            <v>0.11908045539714093</v>
          </cell>
          <cell r="BC48">
            <v>0.14372713238601145</v>
          </cell>
          <cell r="BD48">
            <v>0.11908045539714093</v>
          </cell>
          <cell r="BE48">
            <v>0.13645014177851822</v>
          </cell>
          <cell r="BH48">
            <v>0.17329665679221326</v>
          </cell>
          <cell r="BI48">
            <v>0.2423076923076922</v>
          </cell>
          <cell r="BJ48">
            <v>4.6153846153846149E-2</v>
          </cell>
          <cell r="BK48">
            <v>0.48461538461538439</v>
          </cell>
          <cell r="BL48">
            <v>0.13736263736263735</v>
          </cell>
          <cell r="BM48">
            <v>0.11477761836441894</v>
          </cell>
          <cell r="BN48">
            <v>0.16968325791855204</v>
          </cell>
          <cell r="BO48">
            <v>0.15028625954198466</v>
          </cell>
          <cell r="BP48">
            <v>4.4488383588729599E-2</v>
          </cell>
          <cell r="BQ48">
            <v>0.12558139534883719</v>
          </cell>
          <cell r="BR48">
            <v>0.32812499999999978</v>
          </cell>
          <cell r="BS48">
            <v>0.20119225037257818</v>
          </cell>
          <cell r="BT48">
            <v>0.30364372469635631</v>
          </cell>
          <cell r="BU48">
            <v>0.34090909090909088</v>
          </cell>
          <cell r="BV48">
            <v>6.9230769230769221E-2</v>
          </cell>
          <cell r="BW48">
            <v>0.10499999999999998</v>
          </cell>
          <cell r="BX48">
            <v>8.8235294117647065E-2</v>
          </cell>
          <cell r="BY48">
            <v>0.13085742771684947</v>
          </cell>
          <cell r="BZ48">
            <v>0.1</v>
          </cell>
          <cell r="CA48">
            <v>3.0882352941176465E-2</v>
          </cell>
          <cell r="CB48">
            <v>4.5731707317073177E-2</v>
          </cell>
          <cell r="CC48">
            <v>0.11138495786293526</v>
          </cell>
          <cell r="CD48">
            <v>0.11138495786293526</v>
          </cell>
          <cell r="CE48">
            <v>0.11908045539714093</v>
          </cell>
          <cell r="CF48">
            <v>0.11138495786293526</v>
          </cell>
          <cell r="CG48">
            <v>0.11563841416483325</v>
          </cell>
          <cell r="CJ48">
            <v>0.2753496503496502</v>
          </cell>
          <cell r="CK48">
            <v>0.14399999999999993</v>
          </cell>
          <cell r="CL48">
            <v>1.187782805429864E-2</v>
          </cell>
          <cell r="CM48">
            <v>0.11546920821114366</v>
          </cell>
          <cell r="CN48">
            <v>0.14087656529516987</v>
          </cell>
          <cell r="CO48">
            <v>0.25568181818181812</v>
          </cell>
          <cell r="CP48">
            <v>0.29577464788732388</v>
          </cell>
          <cell r="CQ48">
            <v>0.11274509803921562</v>
          </cell>
          <cell r="CR48">
            <v>4.117647058823528E-2</v>
          </cell>
          <cell r="CS48">
            <v>6.3461538461538472E-2</v>
          </cell>
          <cell r="CT48">
            <v>0.16405395552314983</v>
          </cell>
          <cell r="CU48">
            <v>0.11762509335324864</v>
          </cell>
          <cell r="CV48">
            <v>0.16137295081967207</v>
          </cell>
          <cell r="CW48">
            <v>0.10499999999999995</v>
          </cell>
          <cell r="CX48">
            <v>8.076923076923076E-2</v>
          </cell>
          <cell r="CY48">
            <v>0.12307692307692306</v>
          </cell>
          <cell r="CZ48">
            <v>9.8437499999999997E-2</v>
          </cell>
          <cell r="DA48">
            <v>0.10096153846153844</v>
          </cell>
          <cell r="DB48">
            <v>0.13124999999999995</v>
          </cell>
          <cell r="DC48">
            <v>0.16666666666666669</v>
          </cell>
          <cell r="DF48">
            <v>0.10476190476190472</v>
          </cell>
          <cell r="DH48">
            <v>0.11882371763534708</v>
          </cell>
          <cell r="DI48">
            <v>0.11882371763534706</v>
          </cell>
          <cell r="DJ48">
            <v>0.11138495786293526</v>
          </cell>
          <cell r="DK48">
            <v>0.11882371763534706</v>
          </cell>
          <cell r="DL48">
            <v>0.11510731154103537</v>
          </cell>
          <cell r="DQ48">
            <v>0.3377050738182551</v>
          </cell>
          <cell r="DR48">
            <v>0.1159322269997233</v>
          </cell>
          <cell r="DS48">
            <v>0.5</v>
          </cell>
          <cell r="DT48">
            <v>0.13632018383561662</v>
          </cell>
          <cell r="DU48">
            <v>0.17490412018487644</v>
          </cell>
          <cell r="DV48">
            <v>0.38461538461538458</v>
          </cell>
          <cell r="DW48">
            <v>0.1819026772654323</v>
          </cell>
          <cell r="DX48">
            <v>0.38461538461538458</v>
          </cell>
          <cell r="DY48">
            <v>6.9076061057021104E-2</v>
          </cell>
          <cell r="DZ48">
            <v>8.8450309449058601E-2</v>
          </cell>
          <cell r="EA48">
            <v>0.14307075822948637</v>
          </cell>
          <cell r="EB48">
            <v>0.38461538461538458</v>
          </cell>
          <cell r="EC48">
            <v>0.41734945907649618</v>
          </cell>
          <cell r="ED48">
            <v>0.17093741694845344</v>
          </cell>
          <cell r="EE48">
            <v>0.23939759903359978</v>
          </cell>
          <cell r="EF48">
            <v>0.12087135921112581</v>
          </cell>
          <cell r="EG48">
            <v>0.12063501305793592</v>
          </cell>
          <cell r="EH48">
            <v>0.38461538461538458</v>
          </cell>
          <cell r="EI48">
            <v>5.8218809877478891E-2</v>
          </cell>
          <cell r="EJ48">
            <v>0.28861628355890229</v>
          </cell>
          <cell r="EK48">
            <v>0.6179661965333153</v>
          </cell>
          <cell r="EL48">
            <v>4.3933050418946032E-2</v>
          </cell>
          <cell r="EM48">
            <v>0.25546535657049924</v>
          </cell>
          <cell r="EN48">
            <v>0.37042102673531219</v>
          </cell>
          <cell r="EO48">
            <v>8.3717816188500424E-2</v>
          </cell>
          <cell r="EQ48">
            <v>0.12026733211584342</v>
          </cell>
          <cell r="ER48">
            <v>0.12026733211584344</v>
          </cell>
          <cell r="ES48">
            <v>0.11882371763534706</v>
          </cell>
          <cell r="ET48">
            <v>0.12026733211584344</v>
          </cell>
          <cell r="EU48">
            <v>0.11997379832662863</v>
          </cell>
          <cell r="EW48">
            <v>0.20065726517907298</v>
          </cell>
          <cell r="EX48">
            <v>0.14496529365065947</v>
          </cell>
          <cell r="EY48">
            <v>0.32794988210083675</v>
          </cell>
          <cell r="EZ48">
            <v>0.28772370698045041</v>
          </cell>
          <cell r="FA48">
            <v>4.110952778817948E-2</v>
          </cell>
          <cell r="FB48">
            <v>1.346153846153846</v>
          </cell>
          <cell r="FC48">
            <v>0.16976940846593683</v>
          </cell>
          <cell r="FD48">
            <v>0.39430207717436033</v>
          </cell>
          <cell r="FE48">
            <v>2.4027783715271731E-2</v>
          </cell>
          <cell r="FG48">
            <v>0.31702484012987353</v>
          </cell>
          <cell r="FL48">
            <v>0.14372713238601145</v>
          </cell>
          <cell r="FM48">
            <v>0.11908045539714093</v>
          </cell>
          <cell r="FN48">
            <v>0.11138495786293526</v>
          </cell>
          <cell r="FO48">
            <v>0.11882371763534706</v>
          </cell>
          <cell r="FW48">
            <v>0.26525929146860305</v>
          </cell>
          <cell r="FX48">
            <v>0.53855383295986448</v>
          </cell>
          <cell r="FY48">
            <v>1.346153846153846</v>
          </cell>
          <cell r="FZ48">
            <v>1.346153846153846</v>
          </cell>
          <cell r="GA48">
            <v>1.346153846153846</v>
          </cell>
          <cell r="GB48">
            <v>1.346153846153846</v>
          </cell>
          <cell r="GC48">
            <v>1.346153846153846</v>
          </cell>
        </row>
        <row r="49">
          <cell r="A49" t="str">
            <v>Home Video Manufacturing</v>
          </cell>
          <cell r="C49">
            <v>136.4325</v>
          </cell>
          <cell r="D49">
            <v>30.32375</v>
          </cell>
          <cell r="E49">
            <v>9.1149999999999984</v>
          </cell>
          <cell r="F49">
            <v>78.75</v>
          </cell>
          <cell r="G49">
            <v>3.1999999999999997</v>
          </cell>
          <cell r="H49">
            <v>0.4</v>
          </cell>
          <cell r="I49">
            <v>9.1149999999999984</v>
          </cell>
          <cell r="J49">
            <v>3.923</v>
          </cell>
          <cell r="K49">
            <v>10.920999999999999</v>
          </cell>
          <cell r="L49">
            <v>2</v>
          </cell>
          <cell r="M49">
            <v>9.5329999999999995</v>
          </cell>
          <cell r="N49">
            <v>6.2569999999999997</v>
          </cell>
          <cell r="O49">
            <v>9.7249999999999996</v>
          </cell>
          <cell r="P49">
            <v>4.7119999999999997</v>
          </cell>
          <cell r="Q49">
            <v>1.6</v>
          </cell>
          <cell r="R49">
            <v>3.1339999999999999</v>
          </cell>
          <cell r="S49">
            <v>3.6599999999999997</v>
          </cell>
          <cell r="T49">
            <v>83.727499999999992</v>
          </cell>
          <cell r="U49">
            <v>9.1920000000000002</v>
          </cell>
          <cell r="V49">
            <v>5.8000000000000007</v>
          </cell>
          <cell r="W49">
            <v>17.860999999999997</v>
          </cell>
          <cell r="X49">
            <v>54.459999999999994</v>
          </cell>
          <cell r="Y49">
            <v>17.019488095238092</v>
          </cell>
          <cell r="Z49">
            <v>357.40924999999993</v>
          </cell>
          <cell r="AA49">
            <v>141.08035584373917</v>
          </cell>
          <cell r="AB49">
            <v>-224.00324999999998</v>
          </cell>
          <cell r="AC49">
            <v>274.48635584373915</v>
          </cell>
          <cell r="AE49">
            <v>5.3433999999999999</v>
          </cell>
          <cell r="AF49">
            <v>10.425000000000001</v>
          </cell>
          <cell r="AG49">
            <v>13.548999999999999</v>
          </cell>
          <cell r="AH49">
            <v>5.6589999999999998</v>
          </cell>
          <cell r="AI49">
            <v>6.78</v>
          </cell>
          <cell r="AJ49">
            <v>9.3410000000000011</v>
          </cell>
          <cell r="AK49">
            <v>5.5449999999999999</v>
          </cell>
          <cell r="AL49">
            <v>16.722000000000001</v>
          </cell>
          <cell r="AM49">
            <v>20.267499999999998</v>
          </cell>
          <cell r="AN49">
            <v>7.7630000000000008</v>
          </cell>
          <cell r="AO49">
            <v>49.866499999999988</v>
          </cell>
          <cell r="AP49">
            <v>19.22</v>
          </cell>
          <cell r="AQ49">
            <v>1.8191999999999999</v>
          </cell>
          <cell r="AR49">
            <v>20.024499999999996</v>
          </cell>
          <cell r="AS49">
            <v>3.0289999999999999</v>
          </cell>
          <cell r="AT49">
            <v>84.465000000000003</v>
          </cell>
          <cell r="AU49">
            <v>1.6614</v>
          </cell>
          <cell r="AV49">
            <v>7.9850000000000012</v>
          </cell>
          <cell r="AW49">
            <v>1.4510000000000001</v>
          </cell>
          <cell r="AX49">
            <v>5.133</v>
          </cell>
          <cell r="AY49">
            <v>1.6</v>
          </cell>
          <cell r="AZ49">
            <v>16.381999999999998</v>
          </cell>
          <cell r="BA49">
            <v>14.274159090909091</v>
          </cell>
          <cell r="BB49">
            <v>314.03149999999999</v>
          </cell>
          <cell r="BC49">
            <v>224.00324999999998</v>
          </cell>
          <cell r="BD49">
            <v>-218.18159999999995</v>
          </cell>
          <cell r="BE49">
            <v>319.85315000000008</v>
          </cell>
          <cell r="BH49">
            <v>29.821999999999996</v>
          </cell>
          <cell r="BI49">
            <v>3.4499999999999997</v>
          </cell>
          <cell r="BJ49">
            <v>2.1349999999999998</v>
          </cell>
          <cell r="BK49">
            <v>3.4499999999999997</v>
          </cell>
          <cell r="BL49">
            <v>18.844000000000001</v>
          </cell>
          <cell r="BM49">
            <v>45.09</v>
          </cell>
          <cell r="BN49">
            <v>5.0280000000000005</v>
          </cell>
          <cell r="BO49">
            <v>13.302</v>
          </cell>
          <cell r="BP49">
            <v>52.384</v>
          </cell>
          <cell r="BQ49">
            <v>4.8000000000000007</v>
          </cell>
          <cell r="BR49">
            <v>2.3200000000000003</v>
          </cell>
          <cell r="BS49">
            <v>3.54</v>
          </cell>
          <cell r="BT49">
            <v>2.3980000000000001</v>
          </cell>
          <cell r="BU49">
            <v>2</v>
          </cell>
          <cell r="BV49">
            <v>11.34</v>
          </cell>
          <cell r="BW49">
            <v>7.2</v>
          </cell>
          <cell r="BX49">
            <v>38.15</v>
          </cell>
          <cell r="BY49">
            <v>65.91</v>
          </cell>
          <cell r="BZ49">
            <v>33.25</v>
          </cell>
          <cell r="CA49">
            <v>10.4</v>
          </cell>
          <cell r="CB49">
            <v>42.22</v>
          </cell>
          <cell r="CC49">
            <v>18.906333333333333</v>
          </cell>
          <cell r="CD49">
            <v>397.03300000000002</v>
          </cell>
          <cell r="CE49">
            <v>218.18159999999995</v>
          </cell>
          <cell r="CF49">
            <v>-212.78999999999996</v>
          </cell>
          <cell r="CG49">
            <v>402.42460000000005</v>
          </cell>
          <cell r="CJ49">
            <v>2.9239999999999999</v>
          </cell>
          <cell r="CK49">
            <v>57.25</v>
          </cell>
          <cell r="CL49">
            <v>13.969999999999999</v>
          </cell>
          <cell r="CM49">
            <v>36.121999999999993</v>
          </cell>
          <cell r="CN49">
            <v>6.6060000000000008</v>
          </cell>
          <cell r="CO49">
            <v>3.1919999999999997</v>
          </cell>
          <cell r="CP49">
            <v>3.8</v>
          </cell>
          <cell r="CQ49">
            <v>16.350000000000001</v>
          </cell>
          <cell r="CR49">
            <v>26.72</v>
          </cell>
          <cell r="CS49">
            <v>11.34</v>
          </cell>
          <cell r="CT49">
            <v>8.3155000000000001</v>
          </cell>
          <cell r="CU49">
            <v>17.126000000000001</v>
          </cell>
          <cell r="CV49">
            <v>12.324</v>
          </cell>
          <cell r="CW49">
            <v>19.399999999999999</v>
          </cell>
          <cell r="CX49">
            <v>11.34</v>
          </cell>
          <cell r="CY49">
            <v>3.4499999999999997</v>
          </cell>
          <cell r="CZ49">
            <v>53.4</v>
          </cell>
          <cell r="DA49">
            <v>6.08</v>
          </cell>
          <cell r="DB49">
            <v>15.2</v>
          </cell>
          <cell r="DC49">
            <v>36.42</v>
          </cell>
          <cell r="DE49">
            <v>131.64000000000001</v>
          </cell>
          <cell r="DF49">
            <v>56</v>
          </cell>
          <cell r="DH49">
            <v>18.066475000000001</v>
          </cell>
          <cell r="DI49">
            <v>361.3295</v>
          </cell>
          <cell r="DJ49">
            <v>212.78999999999996</v>
          </cell>
          <cell r="DK49">
            <v>-145.28999999999996</v>
          </cell>
          <cell r="DL49">
            <v>428.82950000000005</v>
          </cell>
          <cell r="DQ49">
            <v>2.1900213600000003</v>
          </cell>
          <cell r="DR49">
            <v>46.017694829999989</v>
          </cell>
          <cell r="DS49">
            <v>0.4</v>
          </cell>
          <cell r="DT49">
            <v>8.8614801100000005</v>
          </cell>
          <cell r="DU49">
            <v>2.9222589399999994</v>
          </cell>
          <cell r="DV49">
            <v>0.82000000000000006</v>
          </cell>
          <cell r="DW49">
            <v>6.4811696800000007</v>
          </cell>
          <cell r="DX49">
            <v>0.82000000000000006</v>
          </cell>
          <cell r="DY49">
            <v>26.401825899999999</v>
          </cell>
          <cell r="DZ49">
            <v>12.790147810000001</v>
          </cell>
          <cell r="EA49">
            <v>17.92052563</v>
          </cell>
          <cell r="EB49">
            <v>0.82000000000000006</v>
          </cell>
          <cell r="EC49">
            <v>2.2982940699999999</v>
          </cell>
          <cell r="ED49">
            <v>14.846920900000001</v>
          </cell>
          <cell r="EE49">
            <v>3.2920159</v>
          </cell>
          <cell r="EF49">
            <v>10.224958900000001</v>
          </cell>
          <cell r="EG49">
            <v>7.4517817000000006</v>
          </cell>
          <cell r="EH49">
            <v>0.82000000000000006</v>
          </cell>
          <cell r="EI49">
            <v>89.055102000000005</v>
          </cell>
          <cell r="EJ49">
            <v>7.2853910680000009</v>
          </cell>
          <cell r="EK49">
            <v>2.9051576806000003</v>
          </cell>
          <cell r="EL49">
            <v>53.059222833099994</v>
          </cell>
          <cell r="EM49">
            <v>8.3519087995000021</v>
          </cell>
          <cell r="EN49">
            <v>5.4703465906000002</v>
          </cell>
          <cell r="EO49">
            <v>27.400631888199996</v>
          </cell>
          <cell r="EQ49">
            <v>14.356274263599996</v>
          </cell>
          <cell r="ER49">
            <v>358.9068565899999</v>
          </cell>
          <cell r="ES49">
            <v>145.28999999999996</v>
          </cell>
          <cell r="ET49">
            <v>212.02450145999998</v>
          </cell>
          <cell r="EU49">
            <v>716.22135804999982</v>
          </cell>
          <cell r="EW49">
            <v>4.1077921929999999</v>
          </cell>
          <cell r="EX49">
            <v>8.3703966475000016</v>
          </cell>
          <cell r="EY49">
            <v>3.1792400272000001</v>
          </cell>
          <cell r="EZ49">
            <v>3.7542121000000002</v>
          </cell>
          <cell r="FA49">
            <v>28.593791378500001</v>
          </cell>
          <cell r="FB49">
            <v>0.82000000000000006</v>
          </cell>
          <cell r="FC49">
            <v>7.0110776233000021</v>
          </cell>
          <cell r="FD49">
            <v>16.169264228199999</v>
          </cell>
          <cell r="FE49">
            <v>55.198266846700001</v>
          </cell>
          <cell r="FG49">
            <v>2.2573897062999997</v>
          </cell>
          <cell r="FL49">
            <v>357.40924999999993</v>
          </cell>
          <cell r="FM49">
            <v>314.03149999999999</v>
          </cell>
          <cell r="FN49">
            <v>397.03300000000002</v>
          </cell>
          <cell r="FO49">
            <v>361.3295</v>
          </cell>
          <cell r="FQ49">
            <v>17.019488095238092</v>
          </cell>
          <cell r="FR49">
            <v>14.274159090909091</v>
          </cell>
          <cell r="FS49">
            <v>18.906333333333333</v>
          </cell>
          <cell r="FT49">
            <v>18.066475000000001</v>
          </cell>
          <cell r="FW49">
            <v>7.9645883839000016</v>
          </cell>
          <cell r="FX49">
            <v>3.4492488075912995</v>
          </cell>
          <cell r="FY49">
            <v>0.82000000000000006</v>
          </cell>
          <cell r="FZ49">
            <v>0.82000000000000006</v>
          </cell>
          <cell r="GA49">
            <v>0.82000000000000006</v>
          </cell>
          <cell r="GB49">
            <v>0.82000000000000006</v>
          </cell>
          <cell r="GC49">
            <v>0.82000000000000006</v>
          </cell>
        </row>
        <row r="50">
          <cell r="A50" t="str">
            <v>Domestic Cost per Unit</v>
          </cell>
          <cell r="C50">
            <v>4</v>
          </cell>
          <cell r="D50">
            <v>4</v>
          </cell>
          <cell r="E50">
            <v>4</v>
          </cell>
          <cell r="F50">
            <v>4</v>
          </cell>
          <cell r="G50">
            <v>4</v>
          </cell>
          <cell r="H50">
            <v>4</v>
          </cell>
          <cell r="I50">
            <v>4</v>
          </cell>
          <cell r="J50">
            <v>4</v>
          </cell>
          <cell r="K50">
            <v>4</v>
          </cell>
          <cell r="L50">
            <v>4</v>
          </cell>
          <cell r="M50">
            <v>4</v>
          </cell>
          <cell r="N50">
            <v>4</v>
          </cell>
          <cell r="O50">
            <v>4</v>
          </cell>
          <cell r="P50">
            <v>4</v>
          </cell>
          <cell r="Q50">
            <v>4</v>
          </cell>
          <cell r="R50">
            <v>4</v>
          </cell>
          <cell r="S50">
            <v>4</v>
          </cell>
          <cell r="T50">
            <v>4</v>
          </cell>
          <cell r="U50">
            <v>4</v>
          </cell>
          <cell r="V50">
            <v>4</v>
          </cell>
          <cell r="W50">
            <v>4</v>
          </cell>
          <cell r="X50">
            <v>4</v>
          </cell>
          <cell r="Y50">
            <v>4</v>
          </cell>
          <cell r="Z50">
            <v>4</v>
          </cell>
          <cell r="AA50">
            <v>4</v>
          </cell>
          <cell r="AB50">
            <v>4</v>
          </cell>
          <cell r="AC50" t="str">
            <v>NA</v>
          </cell>
          <cell r="AE50">
            <v>4</v>
          </cell>
          <cell r="AF50">
            <v>4</v>
          </cell>
          <cell r="AG50">
            <v>4</v>
          </cell>
          <cell r="AH50">
            <v>4</v>
          </cell>
          <cell r="AI50">
            <v>4</v>
          </cell>
          <cell r="AJ50">
            <v>4</v>
          </cell>
          <cell r="AK50">
            <v>4</v>
          </cell>
          <cell r="AL50">
            <v>4</v>
          </cell>
          <cell r="AM50">
            <v>4</v>
          </cell>
          <cell r="AN50">
            <v>4</v>
          </cell>
          <cell r="AO50">
            <v>4</v>
          </cell>
          <cell r="AP50">
            <v>4</v>
          </cell>
          <cell r="AQ50">
            <v>4</v>
          </cell>
          <cell r="AR50">
            <v>4</v>
          </cell>
          <cell r="AS50">
            <v>4</v>
          </cell>
          <cell r="AT50">
            <v>4</v>
          </cell>
          <cell r="AU50">
            <v>4</v>
          </cell>
          <cell r="AV50">
            <v>4</v>
          </cell>
          <cell r="AW50">
            <v>4</v>
          </cell>
          <cell r="AX50">
            <v>4</v>
          </cell>
          <cell r="AY50">
            <v>4</v>
          </cell>
          <cell r="AZ50">
            <v>4</v>
          </cell>
          <cell r="BA50">
            <v>4</v>
          </cell>
          <cell r="BB50">
            <v>4</v>
          </cell>
          <cell r="BC50">
            <v>4</v>
          </cell>
          <cell r="BD50">
            <v>4</v>
          </cell>
          <cell r="BE50">
            <v>4</v>
          </cell>
          <cell r="BH50">
            <v>4</v>
          </cell>
          <cell r="BI50">
            <v>4</v>
          </cell>
          <cell r="BJ50">
            <v>4</v>
          </cell>
          <cell r="BK50">
            <v>4</v>
          </cell>
          <cell r="BL50">
            <v>4</v>
          </cell>
          <cell r="BM50">
            <v>4</v>
          </cell>
          <cell r="BN50">
            <v>4</v>
          </cell>
          <cell r="BO50">
            <v>4</v>
          </cell>
          <cell r="BP50">
            <v>4</v>
          </cell>
          <cell r="BQ50">
            <v>4</v>
          </cell>
          <cell r="BR50">
            <v>4</v>
          </cell>
          <cell r="BS50">
            <v>4</v>
          </cell>
          <cell r="BT50">
            <v>4</v>
          </cell>
          <cell r="BU50">
            <v>4</v>
          </cell>
          <cell r="BV50">
            <v>4</v>
          </cell>
          <cell r="BW50">
            <v>4</v>
          </cell>
          <cell r="BX50">
            <v>4</v>
          </cell>
          <cell r="BY50">
            <v>4</v>
          </cell>
          <cell r="BZ50">
            <v>4</v>
          </cell>
          <cell r="CA50">
            <v>4</v>
          </cell>
          <cell r="CB50">
            <v>4</v>
          </cell>
          <cell r="CC50">
            <v>4</v>
          </cell>
          <cell r="CD50">
            <v>4</v>
          </cell>
          <cell r="CE50">
            <v>4</v>
          </cell>
          <cell r="CF50">
            <v>4</v>
          </cell>
          <cell r="CG50">
            <v>4</v>
          </cell>
          <cell r="CJ50">
            <v>4</v>
          </cell>
          <cell r="CK50">
            <v>4</v>
          </cell>
          <cell r="CL50">
            <v>4</v>
          </cell>
          <cell r="CM50">
            <v>4</v>
          </cell>
          <cell r="CN50">
            <v>4</v>
          </cell>
          <cell r="CO50">
            <v>4</v>
          </cell>
          <cell r="CP50">
            <v>4</v>
          </cell>
          <cell r="CQ50">
            <v>4</v>
          </cell>
          <cell r="CR50">
            <v>4</v>
          </cell>
          <cell r="CS50">
            <v>4</v>
          </cell>
          <cell r="CT50">
            <v>4</v>
          </cell>
          <cell r="CU50">
            <v>4</v>
          </cell>
          <cell r="CV50">
            <v>4</v>
          </cell>
          <cell r="CW50">
            <v>4</v>
          </cell>
          <cell r="CX50">
            <v>4</v>
          </cell>
          <cell r="CY50">
            <v>4</v>
          </cell>
          <cell r="CZ50">
            <v>4</v>
          </cell>
          <cell r="DA50">
            <v>4</v>
          </cell>
          <cell r="DB50">
            <v>4</v>
          </cell>
          <cell r="DC50">
            <v>4</v>
          </cell>
          <cell r="DE50">
            <v>4</v>
          </cell>
          <cell r="DF50">
            <v>4</v>
          </cell>
          <cell r="DH50">
            <v>4</v>
          </cell>
          <cell r="DI50">
            <v>4</v>
          </cell>
          <cell r="DJ50">
            <v>4</v>
          </cell>
          <cell r="DK50">
            <v>4</v>
          </cell>
          <cell r="DL50">
            <v>4</v>
          </cell>
          <cell r="DQ50">
            <v>4</v>
          </cell>
          <cell r="DR50">
            <v>4</v>
          </cell>
          <cell r="DS50">
            <v>4</v>
          </cell>
          <cell r="DT50">
            <v>4</v>
          </cell>
          <cell r="DU50">
            <v>4</v>
          </cell>
          <cell r="DV50">
            <v>4</v>
          </cell>
          <cell r="DW50">
            <v>4</v>
          </cell>
          <cell r="DX50">
            <v>4</v>
          </cell>
          <cell r="DY50">
            <v>4</v>
          </cell>
          <cell r="DZ50">
            <v>4</v>
          </cell>
          <cell r="EA50">
            <v>4</v>
          </cell>
          <cell r="EB50">
            <v>4</v>
          </cell>
          <cell r="EC50">
            <v>4</v>
          </cell>
          <cell r="ED50">
            <v>4</v>
          </cell>
          <cell r="EE50">
            <v>4</v>
          </cell>
          <cell r="EF50">
            <v>4</v>
          </cell>
          <cell r="EG50">
            <v>4</v>
          </cell>
          <cell r="EH50">
            <v>4</v>
          </cell>
          <cell r="EI50">
            <v>4</v>
          </cell>
          <cell r="EJ50">
            <v>4</v>
          </cell>
          <cell r="EK50">
            <v>4</v>
          </cell>
          <cell r="EL50">
            <v>4</v>
          </cell>
          <cell r="EM50">
            <v>4</v>
          </cell>
          <cell r="EN50">
            <v>4</v>
          </cell>
          <cell r="EO50">
            <v>4</v>
          </cell>
          <cell r="EQ50">
            <v>4</v>
          </cell>
          <cell r="ER50">
            <v>4</v>
          </cell>
          <cell r="ES50">
            <v>4</v>
          </cell>
          <cell r="ET50">
            <v>4</v>
          </cell>
          <cell r="EU50">
            <v>4</v>
          </cell>
          <cell r="EW50">
            <v>4</v>
          </cell>
          <cell r="EX50">
            <v>4</v>
          </cell>
          <cell r="EY50">
            <v>4</v>
          </cell>
          <cell r="EZ50">
            <v>4</v>
          </cell>
          <cell r="FA50">
            <v>4</v>
          </cell>
          <cell r="FB50">
            <v>4</v>
          </cell>
          <cell r="FC50">
            <v>4</v>
          </cell>
          <cell r="FD50">
            <v>4</v>
          </cell>
          <cell r="FE50">
            <v>4</v>
          </cell>
          <cell r="FG50">
            <v>4</v>
          </cell>
          <cell r="FW50">
            <v>4</v>
          </cell>
          <cell r="FX50">
            <v>4</v>
          </cell>
          <cell r="FY50">
            <v>4</v>
          </cell>
          <cell r="FZ50">
            <v>4</v>
          </cell>
          <cell r="GA50">
            <v>4</v>
          </cell>
          <cell r="GB50">
            <v>4</v>
          </cell>
          <cell r="GC50">
            <v>4</v>
          </cell>
        </row>
        <row r="51">
          <cell r="A51" t="str">
            <v>International Costs as % of Home Video Rev.</v>
          </cell>
          <cell r="C51">
            <v>0.35</v>
          </cell>
          <cell r="D51">
            <v>0.35</v>
          </cell>
          <cell r="E51">
            <v>0.35</v>
          </cell>
          <cell r="F51">
            <v>0.35</v>
          </cell>
          <cell r="G51">
            <v>0.35</v>
          </cell>
          <cell r="H51">
            <v>0.35</v>
          </cell>
          <cell r="I51">
            <v>0.35</v>
          </cell>
          <cell r="J51">
            <v>0.35</v>
          </cell>
          <cell r="K51">
            <v>0.35</v>
          </cell>
          <cell r="L51">
            <v>0.35</v>
          </cell>
          <cell r="M51">
            <v>0.35</v>
          </cell>
          <cell r="N51">
            <v>0.35</v>
          </cell>
          <cell r="O51">
            <v>0.35</v>
          </cell>
          <cell r="P51">
            <v>0.35</v>
          </cell>
          <cell r="Q51">
            <v>0.35</v>
          </cell>
          <cell r="R51">
            <v>0.35</v>
          </cell>
          <cell r="S51">
            <v>0.35</v>
          </cell>
          <cell r="T51">
            <v>0.35</v>
          </cell>
          <cell r="U51">
            <v>0.35</v>
          </cell>
          <cell r="V51">
            <v>0.35</v>
          </cell>
          <cell r="W51">
            <v>0.35</v>
          </cell>
          <cell r="X51">
            <v>0.35</v>
          </cell>
          <cell r="Y51">
            <v>0.34999999999999987</v>
          </cell>
          <cell r="Z51">
            <v>0.34999999999999987</v>
          </cell>
          <cell r="AA51">
            <v>0.35</v>
          </cell>
          <cell r="AB51">
            <v>0.35</v>
          </cell>
          <cell r="AC51" t="str">
            <v>NA</v>
          </cell>
          <cell r="AE51">
            <v>0.35</v>
          </cell>
          <cell r="AF51">
            <v>0.35</v>
          </cell>
          <cell r="AG51">
            <v>0.35</v>
          </cell>
          <cell r="AH51">
            <v>0.35</v>
          </cell>
          <cell r="AI51">
            <v>0.35</v>
          </cell>
          <cell r="AJ51">
            <v>0.35</v>
          </cell>
          <cell r="AK51">
            <v>0.35</v>
          </cell>
          <cell r="AL51">
            <v>0.35</v>
          </cell>
          <cell r="AM51">
            <v>0.35</v>
          </cell>
          <cell r="AN51">
            <v>0.35</v>
          </cell>
          <cell r="AO51">
            <v>0.35</v>
          </cell>
          <cell r="AP51">
            <v>0.35</v>
          </cell>
          <cell r="AQ51">
            <v>0.35</v>
          </cell>
          <cell r="AR51">
            <v>0.35</v>
          </cell>
          <cell r="AS51">
            <v>0.35</v>
          </cell>
          <cell r="AT51">
            <v>0.35</v>
          </cell>
          <cell r="AU51">
            <v>0.35</v>
          </cell>
          <cell r="AV51">
            <v>0.35</v>
          </cell>
          <cell r="AW51">
            <v>0.35</v>
          </cell>
          <cell r="AX51">
            <v>0.35</v>
          </cell>
          <cell r="AY51">
            <v>0.35</v>
          </cell>
          <cell r="AZ51">
            <v>0.35</v>
          </cell>
          <cell r="BA51">
            <v>0.34999999999999987</v>
          </cell>
          <cell r="BB51">
            <v>0.34999999999999987</v>
          </cell>
          <cell r="BC51">
            <v>0.35</v>
          </cell>
          <cell r="BD51">
            <v>0.34999999999999987</v>
          </cell>
          <cell r="BE51">
            <v>0.34999999999999992</v>
          </cell>
          <cell r="BH51">
            <v>0.35</v>
          </cell>
          <cell r="BI51">
            <v>0.35</v>
          </cell>
          <cell r="BJ51">
            <v>0.35</v>
          </cell>
          <cell r="BK51">
            <v>0.35</v>
          </cell>
          <cell r="BL51">
            <v>0.35</v>
          </cell>
          <cell r="BM51">
            <v>0.35</v>
          </cell>
          <cell r="BN51">
            <v>0.35</v>
          </cell>
          <cell r="BO51">
            <v>0.35</v>
          </cell>
          <cell r="BP51">
            <v>0.35</v>
          </cell>
          <cell r="BQ51">
            <v>0.35</v>
          </cell>
          <cell r="BR51">
            <v>0.35</v>
          </cell>
          <cell r="BS51">
            <v>0.35</v>
          </cell>
          <cell r="BT51">
            <v>0.35</v>
          </cell>
          <cell r="BU51">
            <v>0.35</v>
          </cell>
          <cell r="BV51">
            <v>0.35</v>
          </cell>
          <cell r="BW51">
            <v>0.35</v>
          </cell>
          <cell r="BX51">
            <v>0.35</v>
          </cell>
          <cell r="BY51">
            <v>0.35</v>
          </cell>
          <cell r="BZ51">
            <v>0.35</v>
          </cell>
          <cell r="CA51">
            <v>0.35</v>
          </cell>
          <cell r="CB51">
            <v>0.35</v>
          </cell>
          <cell r="CC51">
            <v>0.34999999999999987</v>
          </cell>
          <cell r="CD51">
            <v>0.34999999999999987</v>
          </cell>
          <cell r="CE51">
            <v>0.34999999999999987</v>
          </cell>
          <cell r="CF51">
            <v>0.34999999999999987</v>
          </cell>
          <cell r="CG51">
            <v>0.34999999999999987</v>
          </cell>
          <cell r="CJ51">
            <v>0.35</v>
          </cell>
          <cell r="CK51">
            <v>0.35</v>
          </cell>
          <cell r="CL51">
            <v>0.35</v>
          </cell>
          <cell r="CM51">
            <v>0.35</v>
          </cell>
          <cell r="CN51">
            <v>0.35</v>
          </cell>
          <cell r="CO51">
            <v>0.35</v>
          </cell>
          <cell r="CP51">
            <v>0.35</v>
          </cell>
          <cell r="CQ51">
            <v>0.35</v>
          </cell>
          <cell r="CR51">
            <v>0.35</v>
          </cell>
          <cell r="CS51">
            <v>0.35</v>
          </cell>
          <cell r="CT51">
            <v>0.35</v>
          </cell>
          <cell r="CU51">
            <v>0.35</v>
          </cell>
          <cell r="CV51">
            <v>0.35</v>
          </cell>
          <cell r="CW51">
            <v>0.35</v>
          </cell>
          <cell r="CX51">
            <v>0.35</v>
          </cell>
          <cell r="CY51">
            <v>0.35</v>
          </cell>
          <cell r="CZ51">
            <v>0.35</v>
          </cell>
          <cell r="DA51">
            <v>0.35</v>
          </cell>
          <cell r="DB51">
            <v>0.35</v>
          </cell>
          <cell r="DC51">
            <v>0.35</v>
          </cell>
          <cell r="DE51">
            <v>0.35</v>
          </cell>
          <cell r="DF51">
            <v>0.35</v>
          </cell>
          <cell r="DH51">
            <v>0.34999999999999987</v>
          </cell>
          <cell r="DI51">
            <v>0.34999999999999987</v>
          </cell>
          <cell r="DJ51">
            <v>0.34999999999999987</v>
          </cell>
          <cell r="DK51">
            <v>0.34999999999999987</v>
          </cell>
          <cell r="DL51">
            <v>0.34999999999999987</v>
          </cell>
          <cell r="DQ51">
            <v>0.35</v>
          </cell>
          <cell r="DR51">
            <v>0.35</v>
          </cell>
          <cell r="DS51">
            <v>0.35</v>
          </cell>
          <cell r="DT51">
            <v>0.35</v>
          </cell>
          <cell r="DU51">
            <v>0.35</v>
          </cell>
          <cell r="DV51">
            <v>0.35</v>
          </cell>
          <cell r="DW51">
            <v>0.35</v>
          </cell>
          <cell r="DX51">
            <v>0.35</v>
          </cell>
          <cell r="DY51">
            <v>0.35</v>
          </cell>
          <cell r="DZ51">
            <v>0.35</v>
          </cell>
          <cell r="EA51">
            <v>0.35</v>
          </cell>
          <cell r="EB51">
            <v>0.35</v>
          </cell>
          <cell r="EC51">
            <v>0.35</v>
          </cell>
          <cell r="ED51">
            <v>0.35</v>
          </cell>
          <cell r="EE51">
            <v>0.35</v>
          </cell>
          <cell r="EF51">
            <v>0.35</v>
          </cell>
          <cell r="EG51">
            <v>0.35</v>
          </cell>
          <cell r="EH51">
            <v>0.35</v>
          </cell>
          <cell r="EI51">
            <v>0.35</v>
          </cell>
          <cell r="EJ51">
            <v>0.35</v>
          </cell>
          <cell r="EK51">
            <v>0.35</v>
          </cell>
          <cell r="EL51">
            <v>0.35</v>
          </cell>
          <cell r="EM51">
            <v>0.35</v>
          </cell>
          <cell r="EN51">
            <v>0.35</v>
          </cell>
          <cell r="EO51">
            <v>0.35</v>
          </cell>
          <cell r="EQ51">
            <v>0.34999999999999987</v>
          </cell>
          <cell r="ER51">
            <v>0.34999999999999987</v>
          </cell>
          <cell r="ES51">
            <v>0.34999999999999987</v>
          </cell>
          <cell r="ET51">
            <v>0.34999999999999987</v>
          </cell>
          <cell r="EU51">
            <v>0.34999999999999987</v>
          </cell>
          <cell r="EW51">
            <v>0.35</v>
          </cell>
          <cell r="EX51">
            <v>0.35</v>
          </cell>
          <cell r="EY51">
            <v>0.35</v>
          </cell>
          <cell r="EZ51">
            <v>0.35</v>
          </cell>
          <cell r="FA51">
            <v>0.35</v>
          </cell>
          <cell r="FB51">
            <v>0.35</v>
          </cell>
          <cell r="FC51">
            <v>0.35</v>
          </cell>
          <cell r="FD51">
            <v>0.35</v>
          </cell>
          <cell r="FE51">
            <v>0.35</v>
          </cell>
          <cell r="FG51">
            <v>0.35</v>
          </cell>
          <cell r="FW51">
            <v>0.35</v>
          </cell>
          <cell r="FX51">
            <v>0.35</v>
          </cell>
          <cell r="FY51">
            <v>0.35</v>
          </cell>
          <cell r="FZ51">
            <v>0.35</v>
          </cell>
          <cell r="GA51">
            <v>0.35</v>
          </cell>
          <cell r="GB51">
            <v>0.35</v>
          </cell>
          <cell r="GC51">
            <v>0.35</v>
          </cell>
        </row>
        <row r="52">
          <cell r="A52" t="str">
            <v>Distribution Costs</v>
          </cell>
          <cell r="C52">
            <v>16.520720000000001</v>
          </cell>
          <cell r="D52">
            <v>13.923900000000001</v>
          </cell>
          <cell r="E52">
            <v>8.8628000000000018</v>
          </cell>
          <cell r="F52">
            <v>50.956400000000002</v>
          </cell>
          <cell r="G52">
            <v>3.06</v>
          </cell>
          <cell r="H52">
            <v>1.9285999999999999</v>
          </cell>
          <cell r="I52">
            <v>11.57</v>
          </cell>
          <cell r="J52">
            <v>4.9134000000000002</v>
          </cell>
          <cell r="K52">
            <v>10.1302</v>
          </cell>
          <cell r="L52">
            <v>2.2784000000000004</v>
          </cell>
          <cell r="M52">
            <v>14.835000000000001</v>
          </cell>
          <cell r="N52">
            <v>6.5158000000000005</v>
          </cell>
          <cell r="O52">
            <v>11.118600000000001</v>
          </cell>
          <cell r="P52">
            <v>4.391</v>
          </cell>
          <cell r="Q52">
            <v>3.0140000000000002</v>
          </cell>
          <cell r="R52">
            <v>3.8424</v>
          </cell>
          <cell r="S52">
            <v>3.1799999999999997</v>
          </cell>
          <cell r="T52">
            <v>51.612400000000008</v>
          </cell>
          <cell r="U52">
            <v>8.1413999999999991</v>
          </cell>
          <cell r="V52">
            <v>4.2678000000000003</v>
          </cell>
          <cell r="W52">
            <v>15.604399999999998</v>
          </cell>
          <cell r="X52">
            <v>43.574600000000004</v>
          </cell>
          <cell r="Y52">
            <v>13.22481428571429</v>
          </cell>
          <cell r="Z52">
            <v>277.72110000000009</v>
          </cell>
          <cell r="AA52">
            <v>77.58832535723964</v>
          </cell>
          <cell r="AB52">
            <v>-130.0635400000001</v>
          </cell>
          <cell r="AC52">
            <v>225.24588535723962</v>
          </cell>
          <cell r="AE52">
            <v>4.0019999999999998</v>
          </cell>
          <cell r="AF52">
            <v>7.6864000000000008</v>
          </cell>
          <cell r="AG52">
            <v>7.5268000000000006</v>
          </cell>
          <cell r="AH52">
            <v>5.4161999999999999</v>
          </cell>
          <cell r="AI52">
            <v>6.1018000000000008</v>
          </cell>
          <cell r="AJ52">
            <v>5.9037000000000006</v>
          </cell>
          <cell r="AK52">
            <v>4.87</v>
          </cell>
          <cell r="AL52">
            <v>9.9231999999999996</v>
          </cell>
          <cell r="AM52">
            <v>14.730500000000001</v>
          </cell>
          <cell r="AN52">
            <v>5.1288000000000009</v>
          </cell>
          <cell r="AO52">
            <v>29.3797</v>
          </cell>
          <cell r="AP52">
            <v>12.460500000000001</v>
          </cell>
          <cell r="AQ52">
            <v>2.2624000000000004</v>
          </cell>
          <cell r="AR52">
            <v>14.3553</v>
          </cell>
          <cell r="AS52">
            <v>3.0552000000000006</v>
          </cell>
          <cell r="AT52">
            <v>54.893000000000001</v>
          </cell>
          <cell r="AU52">
            <v>2.1536000000000004</v>
          </cell>
          <cell r="AV52">
            <v>6.1790000000000012</v>
          </cell>
          <cell r="AW52">
            <v>2.2710000000000004</v>
          </cell>
          <cell r="AX52">
            <v>4.6526000000000005</v>
          </cell>
          <cell r="AY52">
            <v>2.1637999999999997</v>
          </cell>
          <cell r="AZ52">
            <v>12.149900000000001</v>
          </cell>
          <cell r="BA52">
            <v>9.8757000000000019</v>
          </cell>
          <cell r="BB52">
            <v>217.26540000000003</v>
          </cell>
          <cell r="BC52">
            <v>130.06354000000007</v>
          </cell>
          <cell r="BD52">
            <v>-105.45475000000003</v>
          </cell>
          <cell r="BE52">
            <v>241.87419000000006</v>
          </cell>
          <cell r="BH52">
            <v>23.258099999999999</v>
          </cell>
          <cell r="BI52">
            <v>3.1060000000000003</v>
          </cell>
          <cell r="BJ52">
            <v>2.5362</v>
          </cell>
          <cell r="BK52">
            <v>3.0192000000000001</v>
          </cell>
          <cell r="BL52">
            <v>11.991700000000002</v>
          </cell>
          <cell r="BM52">
            <v>29.991</v>
          </cell>
          <cell r="BN52">
            <v>4.3365999999999998</v>
          </cell>
          <cell r="BO52">
            <v>9.2716000000000012</v>
          </cell>
          <cell r="BP52">
            <v>30.8294</v>
          </cell>
          <cell r="BQ52">
            <v>3.7563920000000004</v>
          </cell>
          <cell r="BR52">
            <v>2.8155999999999999</v>
          </cell>
          <cell r="BS52">
            <v>3.2459600000000002</v>
          </cell>
          <cell r="BT52">
            <v>2.4468000000000001</v>
          </cell>
          <cell r="BU52">
            <v>2.2272000000000003</v>
          </cell>
          <cell r="BV52">
            <v>6.5725400000000009</v>
          </cell>
          <cell r="BW52">
            <v>4.6772000000000009</v>
          </cell>
          <cell r="BX52">
            <v>20.955200000000005</v>
          </cell>
          <cell r="BY52">
            <v>56.602000000000004</v>
          </cell>
          <cell r="BZ52">
            <v>25.438000000000002</v>
          </cell>
          <cell r="CA52">
            <v>7.1280000000000001</v>
          </cell>
          <cell r="CB52">
            <v>26.056000000000001</v>
          </cell>
          <cell r="CC52">
            <v>13.345747238095241</v>
          </cell>
          <cell r="CD52">
            <v>280.26069200000006</v>
          </cell>
          <cell r="CE52">
            <v>105.45475000000003</v>
          </cell>
          <cell r="CF52">
            <v>-99.043240000000011</v>
          </cell>
          <cell r="CG52">
            <v>286.67220200000008</v>
          </cell>
          <cell r="CJ52">
            <v>2.9128000000000003</v>
          </cell>
          <cell r="CK52">
            <v>42.026400000000002</v>
          </cell>
          <cell r="CL52">
            <v>7.6396000000000006</v>
          </cell>
          <cell r="CM52">
            <v>24.094399999999997</v>
          </cell>
          <cell r="CN52">
            <v>4.2280000000000006</v>
          </cell>
          <cell r="CO52">
            <v>2.883</v>
          </cell>
          <cell r="CP52">
            <v>3.3872</v>
          </cell>
          <cell r="CQ52">
            <v>10.351400000000002</v>
          </cell>
          <cell r="CR52">
            <v>16.537600000000001</v>
          </cell>
          <cell r="CS52">
            <v>5.551400000000001</v>
          </cell>
          <cell r="CT52">
            <v>5.5348000000000006</v>
          </cell>
          <cell r="CU52">
            <v>9.3567999999999998</v>
          </cell>
          <cell r="CV52">
            <v>8.3759999999999994</v>
          </cell>
          <cell r="CW52">
            <v>15.440199999999999</v>
          </cell>
          <cell r="CX52">
            <v>6.6376400000000011</v>
          </cell>
          <cell r="CY52">
            <v>3.0129999999999999</v>
          </cell>
          <cell r="CZ52">
            <v>35.151000000000003</v>
          </cell>
          <cell r="DA52">
            <v>4.3138000000000005</v>
          </cell>
          <cell r="DB52">
            <v>8.4846000000000004</v>
          </cell>
          <cell r="DC52">
            <v>26.902800000000003</v>
          </cell>
          <cell r="DE52">
            <v>94.305999999999997</v>
          </cell>
          <cell r="DF52">
            <v>46.050800000000002</v>
          </cell>
          <cell r="DH52">
            <v>12.141122000000001</v>
          </cell>
          <cell r="DI52">
            <v>242.82244000000003</v>
          </cell>
          <cell r="DJ52">
            <v>99.043240000000011</v>
          </cell>
          <cell r="DK52">
            <v>-67.77203999999999</v>
          </cell>
          <cell r="DL52">
            <v>274.09364000000005</v>
          </cell>
          <cell r="DQ52">
            <v>3.0177665600000001</v>
          </cell>
          <cell r="DR52">
            <v>37.230166779999998</v>
          </cell>
          <cell r="DS52">
            <v>1.5984</v>
          </cell>
          <cell r="DT52">
            <v>9.0649256600000001</v>
          </cell>
          <cell r="DU52">
            <v>3.2284836400000003</v>
          </cell>
          <cell r="DV52">
            <v>1.5882000000000003</v>
          </cell>
          <cell r="DW52">
            <v>8.5899780799999998</v>
          </cell>
          <cell r="DX52">
            <v>1.8982000000000001</v>
          </cell>
          <cell r="DY52">
            <v>21.766805399999999</v>
          </cell>
          <cell r="DZ52">
            <v>11.123281859999999</v>
          </cell>
          <cell r="EA52">
            <v>15.44763878</v>
          </cell>
          <cell r="EB52">
            <v>1.9043999999999999</v>
          </cell>
          <cell r="EC52">
            <v>3.0062294200000004</v>
          </cell>
          <cell r="ED52">
            <v>14.459075400000001</v>
          </cell>
          <cell r="EE52">
            <v>3.7845454000000007</v>
          </cell>
          <cell r="EF52">
            <v>9.3461034000000023</v>
          </cell>
          <cell r="EG52">
            <v>7.1572402000000013</v>
          </cell>
          <cell r="EH52">
            <v>1.6812000000000002</v>
          </cell>
          <cell r="EI52">
            <v>63.551932000000001</v>
          </cell>
          <cell r="EJ52">
            <v>7.9693264080000006</v>
          </cell>
          <cell r="EK52">
            <v>4.4273277836000009</v>
          </cell>
          <cell r="EL52">
            <v>46.994407448600001</v>
          </cell>
          <cell r="EM52">
            <v>9.0413100470000014</v>
          </cell>
          <cell r="EN52">
            <v>12.163675243600002</v>
          </cell>
          <cell r="EO52">
            <v>18.134643229200002</v>
          </cell>
          <cell r="EQ52">
            <v>12.727010509599998</v>
          </cell>
          <cell r="ER52">
            <v>238.58770088019998</v>
          </cell>
          <cell r="ES52">
            <v>67.77203999999999</v>
          </cell>
          <cell r="ET52">
            <v>22.139010278552991</v>
          </cell>
          <cell r="EU52">
            <v>328.49875115875295</v>
          </cell>
          <cell r="EW52">
            <v>5.7560386580000014</v>
          </cell>
          <cell r="EX52">
            <v>7.1355531350000012</v>
          </cell>
          <cell r="EY52">
            <v>3.4205145631999998</v>
          </cell>
          <cell r="EZ52">
            <v>3.7430626000000005</v>
          </cell>
          <cell r="FA52">
            <v>27.266642021000003</v>
          </cell>
          <cell r="FB52">
            <v>3.9554840000000002</v>
          </cell>
          <cell r="FC52">
            <v>6.2685870898000005</v>
          </cell>
          <cell r="FD52">
            <v>23.1014872692</v>
          </cell>
          <cell r="FE52">
            <v>51.501010730200008</v>
          </cell>
          <cell r="FG52">
            <v>2.8919220877999998</v>
          </cell>
          <cell r="FL52">
            <v>277.72110000000009</v>
          </cell>
          <cell r="FM52">
            <v>217.26540000000003</v>
          </cell>
          <cell r="FN52">
            <v>280.26069200000006</v>
          </cell>
          <cell r="FO52">
            <v>242.82244000000003</v>
          </cell>
          <cell r="FQ52">
            <v>13.22481428571429</v>
          </cell>
          <cell r="FR52">
            <v>9.8757000000000019</v>
          </cell>
          <cell r="FS52">
            <v>13.345747238095241</v>
          </cell>
          <cell r="FT52">
            <v>12.141122000000001</v>
          </cell>
          <cell r="FW52">
            <v>7.1192353534000006</v>
          </cell>
          <cell r="FX52">
            <v>3.5199603388977998</v>
          </cell>
          <cell r="FY52">
            <v>1.52</v>
          </cell>
          <cell r="FZ52">
            <v>1.52</v>
          </cell>
          <cell r="GA52">
            <v>1.52</v>
          </cell>
          <cell r="GB52">
            <v>1.52</v>
          </cell>
          <cell r="GC52">
            <v>1.52</v>
          </cell>
        </row>
        <row r="53">
          <cell r="A53" t="str">
            <v>Distribution as % of Revenue</v>
          </cell>
          <cell r="C53">
            <v>0.1</v>
          </cell>
          <cell r="D53">
            <v>0.1</v>
          </cell>
          <cell r="E53">
            <v>0.1</v>
          </cell>
          <cell r="F53">
            <v>0.1</v>
          </cell>
          <cell r="G53">
            <v>0.1</v>
          </cell>
          <cell r="H53">
            <v>0.1</v>
          </cell>
          <cell r="I53">
            <v>0.1</v>
          </cell>
          <cell r="J53">
            <v>0.1</v>
          </cell>
          <cell r="K53">
            <v>0.1</v>
          </cell>
          <cell r="L53">
            <v>0.1</v>
          </cell>
          <cell r="M53">
            <v>0.1</v>
          </cell>
          <cell r="N53">
            <v>0.1</v>
          </cell>
          <cell r="O53">
            <v>0.1</v>
          </cell>
          <cell r="P53">
            <v>0.1</v>
          </cell>
          <cell r="Q53">
            <v>0.1</v>
          </cell>
          <cell r="R53">
            <v>0.1</v>
          </cell>
          <cell r="S53">
            <v>0.1</v>
          </cell>
          <cell r="T53">
            <v>0.1</v>
          </cell>
          <cell r="U53">
            <v>0.1</v>
          </cell>
          <cell r="V53">
            <v>0.1</v>
          </cell>
          <cell r="W53">
            <v>0.1</v>
          </cell>
          <cell r="X53">
            <v>0.1</v>
          </cell>
          <cell r="Y53">
            <v>0.10000000000000006</v>
          </cell>
          <cell r="Z53">
            <v>0.10000000000000006</v>
          </cell>
          <cell r="AA53">
            <v>0.10000000000000006</v>
          </cell>
          <cell r="AB53">
            <v>0.10000000000000006</v>
          </cell>
          <cell r="AC53">
            <v>0.10000000000000005</v>
          </cell>
          <cell r="AE53">
            <v>0.1</v>
          </cell>
          <cell r="AF53">
            <v>0.1</v>
          </cell>
          <cell r="AG53">
            <v>0.1</v>
          </cell>
          <cell r="AH53">
            <v>0.1</v>
          </cell>
          <cell r="AI53">
            <v>0.1</v>
          </cell>
          <cell r="AJ53">
            <v>0.1</v>
          </cell>
          <cell r="AK53">
            <v>0.1</v>
          </cell>
          <cell r="AL53">
            <v>0.1</v>
          </cell>
          <cell r="AM53">
            <v>0.1</v>
          </cell>
          <cell r="AN53">
            <v>0.1</v>
          </cell>
          <cell r="AO53">
            <v>0.1</v>
          </cell>
          <cell r="AP53">
            <v>0.1</v>
          </cell>
          <cell r="AQ53">
            <v>0.1</v>
          </cell>
          <cell r="AR53">
            <v>0.1</v>
          </cell>
          <cell r="AS53">
            <v>0.1</v>
          </cell>
          <cell r="AT53">
            <v>0.1</v>
          </cell>
          <cell r="AU53">
            <v>0.1</v>
          </cell>
          <cell r="AV53">
            <v>0.1</v>
          </cell>
          <cell r="AW53">
            <v>0.1</v>
          </cell>
          <cell r="AX53">
            <v>0.1</v>
          </cell>
          <cell r="AY53">
            <v>0.1</v>
          </cell>
          <cell r="AZ53">
            <v>0.1</v>
          </cell>
          <cell r="BA53">
            <v>0.1</v>
          </cell>
          <cell r="BB53">
            <v>0.10000000000000002</v>
          </cell>
          <cell r="BC53">
            <v>0.10000000000000006</v>
          </cell>
          <cell r="BD53">
            <v>0.10000000000000002</v>
          </cell>
          <cell r="BE53">
            <v>0.10000000000000005</v>
          </cell>
          <cell r="BH53">
            <v>0.1</v>
          </cell>
          <cell r="BI53">
            <v>0.1</v>
          </cell>
          <cell r="BJ53">
            <v>0.1</v>
          </cell>
          <cell r="BK53">
            <v>0.1</v>
          </cell>
          <cell r="BL53">
            <v>0.1</v>
          </cell>
          <cell r="BM53">
            <v>0.1</v>
          </cell>
          <cell r="BN53">
            <v>0.1</v>
          </cell>
          <cell r="BO53">
            <v>0.1</v>
          </cell>
          <cell r="BP53">
            <v>0.1</v>
          </cell>
          <cell r="BQ53">
            <v>0.1</v>
          </cell>
          <cell r="BR53">
            <v>0.1</v>
          </cell>
          <cell r="BS53">
            <v>0.1</v>
          </cell>
          <cell r="BT53">
            <v>0.1</v>
          </cell>
          <cell r="BU53">
            <v>0.1</v>
          </cell>
          <cell r="BV53">
            <v>0.1</v>
          </cell>
          <cell r="BW53">
            <v>0.1</v>
          </cell>
          <cell r="BX53">
            <v>0.1</v>
          </cell>
          <cell r="BY53">
            <v>0.1</v>
          </cell>
          <cell r="BZ53">
            <v>0.1</v>
          </cell>
          <cell r="CA53">
            <v>0.1</v>
          </cell>
          <cell r="CB53">
            <v>0.1</v>
          </cell>
          <cell r="CC53">
            <v>0.1</v>
          </cell>
          <cell r="CD53">
            <v>0.10000000000000002</v>
          </cell>
          <cell r="CE53">
            <v>0.10000000000000002</v>
          </cell>
          <cell r="CF53">
            <v>0.10000000000000002</v>
          </cell>
          <cell r="CG53">
            <v>0.10000000000000002</v>
          </cell>
          <cell r="CJ53">
            <v>0.1</v>
          </cell>
          <cell r="CK53">
            <v>0.1</v>
          </cell>
          <cell r="CL53">
            <v>0.1</v>
          </cell>
          <cell r="CM53">
            <v>0.1</v>
          </cell>
          <cell r="CN53">
            <v>0.1</v>
          </cell>
          <cell r="CO53">
            <v>0.1</v>
          </cell>
          <cell r="CP53">
            <v>0.1</v>
          </cell>
          <cell r="CQ53">
            <v>0.1</v>
          </cell>
          <cell r="CR53">
            <v>0.1</v>
          </cell>
          <cell r="CS53">
            <v>0.1</v>
          </cell>
          <cell r="CT53">
            <v>0.1</v>
          </cell>
          <cell r="CU53">
            <v>0.1</v>
          </cell>
          <cell r="CV53">
            <v>0.1</v>
          </cell>
          <cell r="CW53">
            <v>0.1</v>
          </cell>
          <cell r="CX53">
            <v>0.1</v>
          </cell>
          <cell r="CY53">
            <v>0.1</v>
          </cell>
          <cell r="CZ53">
            <v>0.1</v>
          </cell>
          <cell r="DA53">
            <v>0.1</v>
          </cell>
          <cell r="DB53">
            <v>0.1</v>
          </cell>
          <cell r="DC53">
            <v>0.1</v>
          </cell>
          <cell r="DE53">
            <v>0.1</v>
          </cell>
          <cell r="DF53">
            <v>0.1</v>
          </cell>
          <cell r="DH53">
            <v>0.1</v>
          </cell>
          <cell r="DI53">
            <v>0.1</v>
          </cell>
          <cell r="DJ53">
            <v>0.10000000000000002</v>
          </cell>
          <cell r="DK53">
            <v>0.1</v>
          </cell>
          <cell r="DL53">
            <v>0.10000000000000003</v>
          </cell>
          <cell r="DQ53">
            <v>0.1</v>
          </cell>
          <cell r="DR53">
            <v>0.1</v>
          </cell>
          <cell r="DS53">
            <v>0.1</v>
          </cell>
          <cell r="DT53">
            <v>0.1</v>
          </cell>
          <cell r="DU53">
            <v>0.1</v>
          </cell>
          <cell r="DV53">
            <v>0.1</v>
          </cell>
          <cell r="DW53">
            <v>0.1</v>
          </cell>
          <cell r="DX53">
            <v>0.1</v>
          </cell>
          <cell r="DY53">
            <v>0.1</v>
          </cell>
          <cell r="DZ53">
            <v>0.1</v>
          </cell>
          <cell r="EA53">
            <v>0.1</v>
          </cell>
          <cell r="EB53">
            <v>0.1</v>
          </cell>
          <cell r="EC53">
            <v>0.1</v>
          </cell>
          <cell r="ED53">
            <v>0.1</v>
          </cell>
          <cell r="EE53">
            <v>0.1</v>
          </cell>
          <cell r="EF53">
            <v>0.1</v>
          </cell>
          <cell r="EG53">
            <v>0.1</v>
          </cell>
          <cell r="EH53">
            <v>0.1</v>
          </cell>
          <cell r="EI53">
            <v>0.1</v>
          </cell>
          <cell r="EJ53">
            <v>0.1</v>
          </cell>
          <cell r="EK53">
            <v>0.1</v>
          </cell>
          <cell r="EL53">
            <v>0.1</v>
          </cell>
          <cell r="EM53">
            <v>0.1</v>
          </cell>
          <cell r="EN53">
            <v>0.1</v>
          </cell>
          <cell r="EO53">
            <v>0.1</v>
          </cell>
          <cell r="EQ53">
            <v>9.9999999999999992E-2</v>
          </cell>
          <cell r="ER53">
            <v>7.4986250918935904E-2</v>
          </cell>
          <cell r="ES53">
            <v>0.1</v>
          </cell>
          <cell r="ET53">
            <v>7.4986250918935904E-2</v>
          </cell>
          <cell r="EU53">
            <v>7.9066514498169108E-2</v>
          </cell>
          <cell r="EW53">
            <v>0.1</v>
          </cell>
          <cell r="EX53">
            <v>0.1</v>
          </cell>
          <cell r="EY53">
            <v>0.1</v>
          </cell>
          <cell r="EZ53">
            <v>0.1</v>
          </cell>
          <cell r="FA53">
            <v>0.1</v>
          </cell>
          <cell r="FB53">
            <v>0.1</v>
          </cell>
          <cell r="FC53">
            <v>0.1</v>
          </cell>
          <cell r="FD53">
            <v>0.1</v>
          </cell>
          <cell r="FE53">
            <v>0.1</v>
          </cell>
          <cell r="FG53">
            <v>0.1</v>
          </cell>
          <cell r="FW53">
            <v>0.1</v>
          </cell>
          <cell r="FX53">
            <v>0.1</v>
          </cell>
          <cell r="FY53">
            <v>0.1</v>
          </cell>
          <cell r="FZ53">
            <v>0.1</v>
          </cell>
          <cell r="GA53">
            <v>0.1</v>
          </cell>
          <cell r="GB53">
            <v>0.1</v>
          </cell>
          <cell r="GC53">
            <v>0.1</v>
          </cell>
        </row>
        <row r="54">
          <cell r="A54" t="str">
            <v>Theatrical and Other Participation</v>
          </cell>
          <cell r="C54">
            <v>26.55424</v>
          </cell>
          <cell r="D54">
            <v>4.8564000000000007</v>
          </cell>
          <cell r="E54">
            <v>4.9928000000000017</v>
          </cell>
          <cell r="F54">
            <v>63.640999999999991</v>
          </cell>
          <cell r="G54">
            <v>1.62</v>
          </cell>
          <cell r="H54">
            <v>1.3285999999999998</v>
          </cell>
          <cell r="I54">
            <v>7.7</v>
          </cell>
          <cell r="J54">
            <v>3.2753999999999999</v>
          </cell>
          <cell r="K54">
            <v>5.7441999999999993</v>
          </cell>
          <cell r="L54">
            <v>1.1984000000000001</v>
          </cell>
          <cell r="M54">
            <v>10.856999999999999</v>
          </cell>
          <cell r="N54">
            <v>3.4738000000000002</v>
          </cell>
          <cell r="O54">
            <v>7.0686000000000009</v>
          </cell>
          <cell r="P54">
            <v>2.5190000000000001</v>
          </cell>
          <cell r="Q54">
            <v>2.0539999999999998</v>
          </cell>
          <cell r="R54">
            <v>2.4384000000000001</v>
          </cell>
          <cell r="S54">
            <v>1.6199999999999997</v>
          </cell>
          <cell r="T54">
            <v>26.727400000000006</v>
          </cell>
          <cell r="U54">
            <v>4.9493999999999998</v>
          </cell>
          <cell r="V54">
            <v>2.0477999999999996</v>
          </cell>
          <cell r="W54">
            <v>9.1783999999999999</v>
          </cell>
          <cell r="X54">
            <v>25.214600000000001</v>
          </cell>
          <cell r="Y54">
            <v>9.166914285714288</v>
          </cell>
          <cell r="Z54">
            <v>192.50520000000003</v>
          </cell>
          <cell r="AA54">
            <v>34.414693116541017</v>
          </cell>
          <cell r="AB54">
            <v>-65.983719971850846</v>
          </cell>
          <cell r="AC54">
            <v>160.9361731446902</v>
          </cell>
          <cell r="AE54">
            <v>2.0415999999999999</v>
          </cell>
          <cell r="AF54">
            <v>4.2364000000000006</v>
          </cell>
          <cell r="AG54">
            <v>3.1328000000000005</v>
          </cell>
          <cell r="AH54">
            <v>3.3621999999999996</v>
          </cell>
          <cell r="AI54">
            <v>3.7218000000000004</v>
          </cell>
          <cell r="AJ54">
            <v>1.3788499999999999</v>
          </cell>
          <cell r="AK54">
            <v>5.72</v>
          </cell>
          <cell r="AL54">
            <v>4.5711999999999993</v>
          </cell>
          <cell r="AM54">
            <v>7.8155000000000019</v>
          </cell>
          <cell r="AN54">
            <v>4.9016000000000011</v>
          </cell>
          <cell r="AO54">
            <v>34.476749999999996</v>
          </cell>
          <cell r="AP54">
            <v>2.9452500000000001</v>
          </cell>
          <cell r="AQ54">
            <v>0.67360000000000009</v>
          </cell>
          <cell r="AR54">
            <v>7.5383000000000013</v>
          </cell>
          <cell r="AS54">
            <v>1.7812000000000006</v>
          </cell>
          <cell r="AT54">
            <v>56.405999999999999</v>
          </cell>
          <cell r="AU54">
            <v>0</v>
          </cell>
          <cell r="AV54">
            <v>3.4490000000000003</v>
          </cell>
          <cell r="AW54">
            <v>0</v>
          </cell>
          <cell r="AX54">
            <v>2.7546000000000004</v>
          </cell>
          <cell r="AY54">
            <v>1.3037999999999998</v>
          </cell>
          <cell r="AZ54">
            <v>3.1839500000000003</v>
          </cell>
          <cell r="BA54">
            <v>7.0633818181818189</v>
          </cell>
          <cell r="BB54">
            <v>155.39440000000002</v>
          </cell>
          <cell r="BC54">
            <v>65.983719971850817</v>
          </cell>
          <cell r="BD54">
            <v>-53.028584689587433</v>
          </cell>
          <cell r="BE54">
            <v>168.34953528226339</v>
          </cell>
          <cell r="BH54">
            <v>13.806100000000001</v>
          </cell>
          <cell r="BI54">
            <v>1.8060000000000003</v>
          </cell>
          <cell r="BJ54">
            <v>1.6262000000000001</v>
          </cell>
          <cell r="BK54">
            <v>1.7192000000000001</v>
          </cell>
          <cell r="BL54">
            <v>12.3354</v>
          </cell>
          <cell r="BM54">
            <v>16.050999999999998</v>
          </cell>
          <cell r="BN54">
            <v>0</v>
          </cell>
          <cell r="BO54">
            <v>5.079600000000001</v>
          </cell>
          <cell r="BP54">
            <v>14.645399999999995</v>
          </cell>
          <cell r="BQ54">
            <v>2.0363920000000002</v>
          </cell>
          <cell r="BR54">
            <v>0</v>
          </cell>
          <cell r="BS54">
            <v>1.9039600000000001</v>
          </cell>
          <cell r="BT54">
            <v>0</v>
          </cell>
          <cell r="BU54">
            <v>0</v>
          </cell>
          <cell r="BV54">
            <v>2.9325400000000013</v>
          </cell>
          <cell r="BW54">
            <v>0</v>
          </cell>
          <cell r="BX54">
            <v>9.0552000000000028</v>
          </cell>
          <cell r="BY54">
            <v>36.541999999999994</v>
          </cell>
          <cell r="BZ54">
            <v>14.938000000000001</v>
          </cell>
          <cell r="CA54">
            <v>0</v>
          </cell>
          <cell r="CB54">
            <v>12.936000000000002</v>
          </cell>
          <cell r="CC54">
            <v>7.019666285714286</v>
          </cell>
          <cell r="CD54">
            <v>147.412992</v>
          </cell>
          <cell r="CE54">
            <v>53.028584689587433</v>
          </cell>
          <cell r="CF54">
            <v>-36.227563703724677</v>
          </cell>
          <cell r="CG54">
            <v>164.21401298586275</v>
          </cell>
          <cell r="CJ54">
            <v>1.7687999999999999</v>
          </cell>
          <cell r="CK54">
            <v>49.052800000000005</v>
          </cell>
          <cell r="CL54">
            <v>3.2195999999999998</v>
          </cell>
          <cell r="CM54">
            <v>13.182399999999999</v>
          </cell>
          <cell r="CN54">
            <v>1.992</v>
          </cell>
          <cell r="CO54">
            <v>1.6509999999999998</v>
          </cell>
          <cell r="CP54">
            <v>1.9672000000000001</v>
          </cell>
          <cell r="CQ54">
            <v>5.2514000000000012</v>
          </cell>
          <cell r="CR54">
            <v>8.3775999999999993</v>
          </cell>
          <cell r="CS54">
            <v>1.9114000000000004</v>
          </cell>
          <cell r="CT54">
            <v>2.7918000000000003</v>
          </cell>
          <cell r="CU54">
            <v>4.0007999999999999</v>
          </cell>
          <cell r="CV54">
            <v>4.4719999999999995</v>
          </cell>
          <cell r="CW54">
            <v>9.440199999999999</v>
          </cell>
          <cell r="CX54">
            <v>2.9976400000000005</v>
          </cell>
          <cell r="CY54">
            <v>1.7130000000000001</v>
          </cell>
          <cell r="CZ54">
            <v>19.151</v>
          </cell>
          <cell r="DA54">
            <v>2.2338000000000005</v>
          </cell>
          <cell r="DB54">
            <v>3.6846000000000005</v>
          </cell>
          <cell r="DC54">
            <v>15.982800000000005</v>
          </cell>
          <cell r="DE54">
            <v>55.265999999999998</v>
          </cell>
          <cell r="DF54">
            <v>29.250799999999998</v>
          </cell>
          <cell r="DH54">
            <v>7.7420919999999995</v>
          </cell>
          <cell r="DI54">
            <v>154.84183999999999</v>
          </cell>
          <cell r="DJ54">
            <v>36.227563703724677</v>
          </cell>
          <cell r="DK54">
            <v>-26.416286362948238</v>
          </cell>
          <cell r="DL54">
            <v>164.65311734077645</v>
          </cell>
          <cell r="DQ54">
            <v>2.085</v>
          </cell>
          <cell r="DR54">
            <v>23.429000000000002</v>
          </cell>
          <cell r="DS54">
            <v>1.1984000000000001</v>
          </cell>
          <cell r="DT54">
            <v>0</v>
          </cell>
          <cell r="DU54">
            <v>2.0850000000000004</v>
          </cell>
          <cell r="DV54">
            <v>1.0682000000000003</v>
          </cell>
          <cell r="DW54">
            <v>6.391</v>
          </cell>
          <cell r="DX54">
            <v>1.3782000000000001</v>
          </cell>
          <cell r="DY54">
            <v>13.659799999999999</v>
          </cell>
          <cell r="DZ54">
            <v>7.0531999999999986</v>
          </cell>
          <cell r="EA54">
            <v>9.8560000000000016</v>
          </cell>
          <cell r="EB54">
            <v>1.3843999999999999</v>
          </cell>
          <cell r="EC54">
            <v>2.0478000000000001</v>
          </cell>
          <cell r="ED54">
            <v>9.7790000000000017</v>
          </cell>
          <cell r="EE54">
            <v>2.5314000000000005</v>
          </cell>
          <cell r="EF54">
            <v>6.0368000000000013</v>
          </cell>
          <cell r="EG54">
            <v>4.6704000000000008</v>
          </cell>
          <cell r="EH54">
            <v>1.1612000000000002</v>
          </cell>
          <cell r="EI54">
            <v>37.1</v>
          </cell>
          <cell r="EJ54">
            <v>5.5318340000000008</v>
          </cell>
          <cell r="EK54">
            <v>3.2889160000000004</v>
          </cell>
          <cell r="EL54">
            <v>30.981406</v>
          </cell>
          <cell r="EM54">
            <v>6.2875120000000013</v>
          </cell>
          <cell r="EN54">
            <v>10.264485000000001</v>
          </cell>
          <cell r="EO54">
            <v>9.7314140000000009</v>
          </cell>
          <cell r="EQ54">
            <v>7.9600146799999996</v>
          </cell>
          <cell r="ER54">
            <v>199.00036699999998</v>
          </cell>
          <cell r="ES54">
            <v>26.416286362948238</v>
          </cell>
          <cell r="ET54">
            <v>-34.811525099786465</v>
          </cell>
          <cell r="EU54">
            <v>190.60512826316176</v>
          </cell>
          <cell r="EW54">
            <v>4.2609520000000005</v>
          </cell>
          <cell r="EX54">
            <v>4.3762720000000002</v>
          </cell>
          <cell r="EY54">
            <v>2.2008159999999997</v>
          </cell>
          <cell r="EZ54">
            <v>2.35284</v>
          </cell>
          <cell r="FA54">
            <v>18.509548000000002</v>
          </cell>
          <cell r="FB54">
            <v>3.4354839999999998</v>
          </cell>
          <cell r="FC54">
            <v>3.9124499999999998</v>
          </cell>
          <cell r="FD54">
            <v>18.029233999999999</v>
          </cell>
          <cell r="FE54">
            <v>34.853616000000009</v>
          </cell>
          <cell r="FG54">
            <v>1.9456239999999998</v>
          </cell>
          <cell r="FL54">
            <v>192.50520000000003</v>
          </cell>
          <cell r="FM54">
            <v>155.39440000000002</v>
          </cell>
          <cell r="FN54">
            <v>147.412992</v>
          </cell>
          <cell r="FO54">
            <v>154.84183999999999</v>
          </cell>
          <cell r="FQ54">
            <v>9.166914285714288</v>
          </cell>
          <cell r="FR54">
            <v>7.0633818181818189</v>
          </cell>
          <cell r="FS54">
            <v>7.019666285714286</v>
          </cell>
          <cell r="FT54">
            <v>7.7420919999999995</v>
          </cell>
          <cell r="FW54">
            <v>4.480308</v>
          </cell>
          <cell r="FX54">
            <v>2.2201831259999998</v>
          </cell>
          <cell r="FY54">
            <v>1</v>
          </cell>
          <cell r="FZ54">
            <v>1</v>
          </cell>
          <cell r="GA54">
            <v>1</v>
          </cell>
          <cell r="GB54">
            <v>1</v>
          </cell>
          <cell r="GC54">
            <v>1</v>
          </cell>
        </row>
        <row r="55">
          <cell r="A55" t="str">
            <v>Theatrical and Other Points</v>
          </cell>
          <cell r="C55">
            <v>0.2</v>
          </cell>
          <cell r="D55">
            <v>0.1</v>
          </cell>
          <cell r="E55">
            <v>0.1</v>
          </cell>
          <cell r="F55">
            <v>0.25</v>
          </cell>
          <cell r="G55">
            <v>0.1</v>
          </cell>
          <cell r="H55">
            <v>0.1</v>
          </cell>
          <cell r="I55">
            <v>0.1</v>
          </cell>
          <cell r="J55">
            <v>0.1</v>
          </cell>
          <cell r="K55">
            <v>0.1</v>
          </cell>
          <cell r="L55">
            <v>0.1</v>
          </cell>
          <cell r="M55">
            <v>0.1</v>
          </cell>
          <cell r="N55">
            <v>0.1</v>
          </cell>
          <cell r="O55">
            <v>0.1</v>
          </cell>
          <cell r="P55">
            <v>0.1</v>
          </cell>
          <cell r="Q55">
            <v>0.1</v>
          </cell>
          <cell r="R55">
            <v>0.1</v>
          </cell>
          <cell r="S55">
            <v>0.1</v>
          </cell>
          <cell r="T55">
            <v>0.1</v>
          </cell>
          <cell r="U55">
            <v>0.1</v>
          </cell>
          <cell r="V55">
            <v>0.1</v>
          </cell>
          <cell r="W55">
            <v>0.1</v>
          </cell>
          <cell r="X55">
            <v>0.1</v>
          </cell>
          <cell r="Y55">
            <v>0.12474368295613159</v>
          </cell>
          <cell r="Z55">
            <v>0.1247436829561316</v>
          </cell>
          <cell r="AA55">
            <v>0.1247436829561316</v>
          </cell>
          <cell r="AB55">
            <v>0.1247436829561316</v>
          </cell>
          <cell r="AC55">
            <v>0.11392010809411031</v>
          </cell>
          <cell r="AE55">
            <v>0.1</v>
          </cell>
          <cell r="AF55">
            <v>0.1</v>
          </cell>
          <cell r="AG55">
            <v>0.1</v>
          </cell>
          <cell r="AH55">
            <v>0.1</v>
          </cell>
          <cell r="AI55">
            <v>0.1</v>
          </cell>
          <cell r="AJ55">
            <v>0.05</v>
          </cell>
          <cell r="AK55">
            <v>0.2</v>
          </cell>
          <cell r="AL55">
            <v>0.1</v>
          </cell>
          <cell r="AM55">
            <v>0.1</v>
          </cell>
          <cell r="AN55">
            <v>0.2</v>
          </cell>
          <cell r="AO55">
            <v>0.25</v>
          </cell>
          <cell r="AP55">
            <v>0.05</v>
          </cell>
          <cell r="AQ55">
            <v>0.05</v>
          </cell>
          <cell r="AR55">
            <v>0.1</v>
          </cell>
          <cell r="AS55">
            <v>0.1</v>
          </cell>
          <cell r="AT55">
            <v>0.2</v>
          </cell>
          <cell r="AU55">
            <v>0</v>
          </cell>
          <cell r="AV55">
            <v>0.1</v>
          </cell>
          <cell r="AW55">
            <v>0</v>
          </cell>
          <cell r="AX55">
            <v>0.1</v>
          </cell>
          <cell r="AY55">
            <v>0.1</v>
          </cell>
          <cell r="AZ55">
            <v>0.05</v>
          </cell>
          <cell r="BA55">
            <v>0.16243939663192666</v>
          </cell>
          <cell r="BB55">
            <v>0.16243939663192669</v>
          </cell>
          <cell r="BC55">
            <v>0.1247436829561316</v>
          </cell>
          <cell r="BD55">
            <v>0.16243939663192669</v>
          </cell>
          <cell r="BE55">
            <v>0.15964688049728351</v>
          </cell>
          <cell r="BH55">
            <v>0.1</v>
          </cell>
          <cell r="BI55">
            <v>0.1</v>
          </cell>
          <cell r="BJ55">
            <v>0.1</v>
          </cell>
          <cell r="BK55">
            <v>0.1</v>
          </cell>
          <cell r="BL55">
            <v>0.2</v>
          </cell>
          <cell r="BM55">
            <v>0.1</v>
          </cell>
          <cell r="BN55">
            <v>0</v>
          </cell>
          <cell r="BO55">
            <v>0.1</v>
          </cell>
          <cell r="BP55">
            <v>0.1</v>
          </cell>
          <cell r="BQ55">
            <v>0.1</v>
          </cell>
          <cell r="BR55">
            <v>0</v>
          </cell>
          <cell r="BS55">
            <v>0.1</v>
          </cell>
          <cell r="BT55">
            <v>0</v>
          </cell>
          <cell r="BU55">
            <v>0</v>
          </cell>
          <cell r="BV55">
            <v>0.1</v>
          </cell>
          <cell r="BW55">
            <v>0</v>
          </cell>
          <cell r="BX55">
            <v>0.1</v>
          </cell>
          <cell r="BY55">
            <v>0.1</v>
          </cell>
          <cell r="BZ55">
            <v>0.1</v>
          </cell>
          <cell r="CA55">
            <v>0</v>
          </cell>
          <cell r="CB55">
            <v>0.1</v>
          </cell>
          <cell r="CC55">
            <v>0.11256655235372411</v>
          </cell>
          <cell r="CD55">
            <v>0.11256655235372409</v>
          </cell>
          <cell r="CE55">
            <v>0.16243939663192669</v>
          </cell>
          <cell r="CF55">
            <v>0.11256655235372409</v>
          </cell>
          <cell r="CG55">
            <v>0.13723888413169552</v>
          </cell>
          <cell r="CJ55">
            <v>0.1</v>
          </cell>
          <cell r="CK55">
            <v>0.2</v>
          </cell>
          <cell r="CL55">
            <v>0.1</v>
          </cell>
          <cell r="CM55">
            <v>0.1</v>
          </cell>
          <cell r="CN55">
            <v>0.1</v>
          </cell>
          <cell r="CO55">
            <v>0.1</v>
          </cell>
          <cell r="CP55">
            <v>0.1</v>
          </cell>
          <cell r="CQ55">
            <v>0.1</v>
          </cell>
          <cell r="CR55">
            <v>0.1</v>
          </cell>
          <cell r="CS55">
            <v>0.1</v>
          </cell>
          <cell r="CT55">
            <v>0.1</v>
          </cell>
          <cell r="CU55">
            <v>0.1</v>
          </cell>
          <cell r="CV55">
            <v>0.1</v>
          </cell>
          <cell r="CW55">
            <v>0.1</v>
          </cell>
          <cell r="CX55">
            <v>0.1</v>
          </cell>
          <cell r="CY55">
            <v>0.1</v>
          </cell>
          <cell r="CZ55">
            <v>0.1</v>
          </cell>
          <cell r="DA55">
            <v>0.1</v>
          </cell>
          <cell r="DB55">
            <v>0.1</v>
          </cell>
          <cell r="DC55">
            <v>0.1</v>
          </cell>
          <cell r="DE55">
            <v>0.1</v>
          </cell>
          <cell r="DF55">
            <v>0.1</v>
          </cell>
          <cell r="DH55">
            <v>0.11882079360665167</v>
          </cell>
          <cell r="DI55">
            <v>0.11882079360665168</v>
          </cell>
          <cell r="DJ55">
            <v>0.11256655235372409</v>
          </cell>
          <cell r="DK55">
            <v>0.11882079360665168</v>
          </cell>
          <cell r="DL55">
            <v>0.15266913949900662</v>
          </cell>
          <cell r="DQ55">
            <v>0.1</v>
          </cell>
          <cell r="DR55">
            <v>0.1</v>
          </cell>
          <cell r="DS55">
            <v>0.1</v>
          </cell>
          <cell r="DT55">
            <v>0</v>
          </cell>
          <cell r="DU55">
            <v>0.1</v>
          </cell>
          <cell r="DV55">
            <v>0.1</v>
          </cell>
          <cell r="DW55">
            <v>0.1</v>
          </cell>
          <cell r="DX55">
            <v>0.1</v>
          </cell>
          <cell r="DY55">
            <v>0.1</v>
          </cell>
          <cell r="DZ55">
            <v>0.1</v>
          </cell>
          <cell r="EA55">
            <v>0.1</v>
          </cell>
          <cell r="EB55">
            <v>0.1</v>
          </cell>
          <cell r="EC55">
            <v>0.1</v>
          </cell>
          <cell r="ED55">
            <v>0.1</v>
          </cell>
          <cell r="EE55">
            <v>0.1</v>
          </cell>
          <cell r="EF55">
            <v>0.1</v>
          </cell>
          <cell r="EG55">
            <v>0.1</v>
          </cell>
          <cell r="EH55">
            <v>0.1</v>
          </cell>
          <cell r="EI55">
            <v>0.1</v>
          </cell>
          <cell r="EJ55">
            <v>0.1</v>
          </cell>
          <cell r="EK55">
            <v>0.1</v>
          </cell>
          <cell r="EL55">
            <v>0.1</v>
          </cell>
          <cell r="EM55">
            <v>0.1</v>
          </cell>
          <cell r="EN55">
            <v>0.1</v>
          </cell>
          <cell r="EO55">
            <v>0.1</v>
          </cell>
          <cell r="EQ55">
            <v>9.6997470763931712E-2</v>
          </cell>
          <cell r="ER55">
            <v>9.6997470763931726E-2</v>
          </cell>
          <cell r="ES55">
            <v>0.11882079360665168</v>
          </cell>
          <cell r="ET55">
            <v>9.6997470763931726E-2</v>
          </cell>
          <cell r="EU55">
            <v>0.12438408905303668</v>
          </cell>
          <cell r="EW55">
            <v>0.1</v>
          </cell>
          <cell r="EX55">
            <v>0.1</v>
          </cell>
          <cell r="EY55">
            <v>0.1</v>
          </cell>
          <cell r="EZ55">
            <v>0.1</v>
          </cell>
          <cell r="FA55">
            <v>0.1</v>
          </cell>
          <cell r="FB55">
            <v>0.1</v>
          </cell>
          <cell r="FC55">
            <v>0.1</v>
          </cell>
          <cell r="FD55">
            <v>0.1</v>
          </cell>
          <cell r="FE55">
            <v>0.1</v>
          </cell>
          <cell r="FG55">
            <v>0.1</v>
          </cell>
          <cell r="FW55">
            <v>0.1</v>
          </cell>
          <cell r="FX55">
            <v>0.1</v>
          </cell>
          <cell r="FY55">
            <v>0.1</v>
          </cell>
          <cell r="FZ55">
            <v>0.1</v>
          </cell>
          <cell r="GA55">
            <v>0.1</v>
          </cell>
          <cell r="GB55">
            <v>0.1</v>
          </cell>
          <cell r="GC55">
            <v>0.1</v>
          </cell>
        </row>
        <row r="56">
          <cell r="A56" t="str">
            <v>Home Video Participation</v>
          </cell>
          <cell r="C56">
            <v>1.9461599999999999</v>
          </cell>
          <cell r="D56">
            <v>2.7202499999999996</v>
          </cell>
          <cell r="E56">
            <v>1.161</v>
          </cell>
          <cell r="F56">
            <v>19.125</v>
          </cell>
          <cell r="G56">
            <v>0.43199999999999994</v>
          </cell>
          <cell r="H56">
            <v>0.18</v>
          </cell>
          <cell r="I56">
            <v>1.161</v>
          </cell>
          <cell r="J56">
            <v>0.49140000000000006</v>
          </cell>
          <cell r="K56">
            <v>1.3157999999999999</v>
          </cell>
          <cell r="L56">
            <v>0.32400000000000001</v>
          </cell>
          <cell r="M56">
            <v>1.1934</v>
          </cell>
          <cell r="N56">
            <v>0.91259999999999986</v>
          </cell>
          <cell r="O56">
            <v>1.2149999999999999</v>
          </cell>
          <cell r="P56">
            <v>0.56159999999999999</v>
          </cell>
          <cell r="Q56">
            <v>0.28799999999999998</v>
          </cell>
          <cell r="R56">
            <v>0.42120000000000002</v>
          </cell>
          <cell r="S56">
            <v>0.46799999999999997</v>
          </cell>
          <cell r="T56">
            <v>7.4654999999999987</v>
          </cell>
          <cell r="U56">
            <v>0.95759999999999978</v>
          </cell>
          <cell r="V56">
            <v>0.66600000000000004</v>
          </cell>
          <cell r="W56">
            <v>1.9277999999999997</v>
          </cell>
          <cell r="X56">
            <v>5.508</v>
          </cell>
          <cell r="Y56">
            <v>2.3092928571428568</v>
          </cell>
          <cell r="Z56">
            <v>48.495149999999995</v>
          </cell>
          <cell r="AA56">
            <v>19.649494937216627</v>
          </cell>
          <cell r="AB56">
            <v>-30.326283805292526</v>
          </cell>
          <cell r="AC56">
            <v>37.8183611319241</v>
          </cell>
          <cell r="AE56">
            <v>0.78416000000000008</v>
          </cell>
          <cell r="AF56">
            <v>1.3800000000000003</v>
          </cell>
          <cell r="AG56">
            <v>1.7576000000000003</v>
          </cell>
          <cell r="AH56">
            <v>0.82160000000000011</v>
          </cell>
          <cell r="AI56">
            <v>0.95200000000000018</v>
          </cell>
          <cell r="AJ56">
            <v>0.6292000000000002</v>
          </cell>
          <cell r="AK56">
            <v>1.6080000000000001</v>
          </cell>
          <cell r="AL56">
            <v>2.1408</v>
          </cell>
          <cell r="AM56">
            <v>2.766</v>
          </cell>
          <cell r="AN56">
            <v>2.1424000000000003</v>
          </cell>
          <cell r="AO56">
            <v>15.588999999999999</v>
          </cell>
          <cell r="AP56">
            <v>1.3140000000000003</v>
          </cell>
          <cell r="AQ56">
            <v>0.18304000000000006</v>
          </cell>
          <cell r="AR56">
            <v>2.7267999999999999</v>
          </cell>
          <cell r="AS56">
            <v>0.50960000000000005</v>
          </cell>
          <cell r="AT56">
            <v>21.352000000000004</v>
          </cell>
          <cell r="AU56">
            <v>0</v>
          </cell>
          <cell r="AV56">
            <v>1.0920000000000003</v>
          </cell>
          <cell r="AW56">
            <v>0</v>
          </cell>
          <cell r="AX56">
            <v>0.75920000000000021</v>
          </cell>
          <cell r="AY56">
            <v>0.34400000000000003</v>
          </cell>
          <cell r="AZ56">
            <v>1.1564000000000001</v>
          </cell>
          <cell r="BA56">
            <v>2.7276272727272723</v>
          </cell>
          <cell r="BB56">
            <v>60.007799999999996</v>
          </cell>
          <cell r="BC56">
            <v>30.326283805292526</v>
          </cell>
          <cell r="BD56">
            <v>-41.555882354597252</v>
          </cell>
          <cell r="BE56">
            <v>48.778201450695271</v>
          </cell>
          <cell r="BH56">
            <v>3.7808000000000002</v>
          </cell>
          <cell r="BI56">
            <v>0.52000000000000013</v>
          </cell>
          <cell r="BJ56">
            <v>0.36400000000000005</v>
          </cell>
          <cell r="BK56">
            <v>0.52000000000000013</v>
          </cell>
          <cell r="BL56">
            <v>4.659200000000002</v>
          </cell>
          <cell r="BM56">
            <v>5.5760000000000014</v>
          </cell>
          <cell r="BN56">
            <v>0</v>
          </cell>
          <cell r="BO56">
            <v>1.6768000000000003</v>
          </cell>
          <cell r="BP56">
            <v>6.4736000000000029</v>
          </cell>
          <cell r="BQ56">
            <v>0.68800000000000028</v>
          </cell>
          <cell r="BR56">
            <v>0</v>
          </cell>
          <cell r="BS56">
            <v>0.53680000000000005</v>
          </cell>
          <cell r="BT56">
            <v>0</v>
          </cell>
          <cell r="BU56">
            <v>0</v>
          </cell>
          <cell r="BV56">
            <v>1.4560000000000002</v>
          </cell>
          <cell r="BW56">
            <v>0</v>
          </cell>
          <cell r="BX56">
            <v>4.7600000000000007</v>
          </cell>
          <cell r="BY56">
            <v>8.0240000000000009</v>
          </cell>
          <cell r="BZ56">
            <v>4.2000000000000011</v>
          </cell>
          <cell r="CA56">
            <v>0</v>
          </cell>
          <cell r="CB56">
            <v>5.2480000000000002</v>
          </cell>
          <cell r="CC56">
            <v>2.3087238095238098</v>
          </cell>
          <cell r="CD56">
            <v>48.483200000000004</v>
          </cell>
          <cell r="CE56">
            <v>41.555882354597252</v>
          </cell>
          <cell r="CF56">
            <v>-25.771877500397519</v>
          </cell>
          <cell r="CG56">
            <v>64.267204854199733</v>
          </cell>
          <cell r="CJ56">
            <v>0.45760000000000012</v>
          </cell>
          <cell r="CK56">
            <v>14.000000000000004</v>
          </cell>
          <cell r="CL56">
            <v>1.7680000000000005</v>
          </cell>
          <cell r="CM56">
            <v>4.3647999999999998</v>
          </cell>
          <cell r="CN56">
            <v>0.89440000000000031</v>
          </cell>
          <cell r="CO56">
            <v>0.49280000000000002</v>
          </cell>
          <cell r="CP56">
            <v>0.56800000000000006</v>
          </cell>
          <cell r="CQ56">
            <v>2.0400000000000005</v>
          </cell>
          <cell r="CR56">
            <v>3.2640000000000011</v>
          </cell>
          <cell r="CS56">
            <v>1.4560000000000002</v>
          </cell>
          <cell r="CT56">
            <v>1.0972000000000002</v>
          </cell>
          <cell r="CU56">
            <v>2.1424000000000003</v>
          </cell>
          <cell r="CV56">
            <v>1.5616000000000003</v>
          </cell>
          <cell r="CW56">
            <v>2.4000000000000004</v>
          </cell>
          <cell r="CX56">
            <v>1.4560000000000002</v>
          </cell>
          <cell r="CY56">
            <v>0.52000000000000013</v>
          </cell>
          <cell r="CZ56">
            <v>6.4000000000000012</v>
          </cell>
          <cell r="DA56">
            <v>0.83200000000000018</v>
          </cell>
          <cell r="DB56">
            <v>1.9200000000000004</v>
          </cell>
          <cell r="DC56">
            <v>4.3680000000000012</v>
          </cell>
          <cell r="DE56">
            <v>15.616000000000001</v>
          </cell>
          <cell r="DF56">
            <v>6.7200000000000015</v>
          </cell>
          <cell r="DH56">
            <v>2.6001400000000006</v>
          </cell>
          <cell r="DI56">
            <v>52.002800000000008</v>
          </cell>
          <cell r="DJ56">
            <v>25.771877500397519</v>
          </cell>
          <cell r="DK56">
            <v>-21.049423698081007</v>
          </cell>
          <cell r="DL56">
            <v>56.725253802316523</v>
          </cell>
          <cell r="DQ56">
            <v>0.37310662400000005</v>
          </cell>
          <cell r="DR56">
            <v>5.5204667120000002</v>
          </cell>
          <cell r="DS56">
            <v>0.16000000000000003</v>
          </cell>
          <cell r="DT56">
            <v>0</v>
          </cell>
          <cell r="DU56">
            <v>0.45739345600000009</v>
          </cell>
          <cell r="DV56">
            <v>0.20800000000000005</v>
          </cell>
          <cell r="DW56">
            <v>0.87959123200000022</v>
          </cell>
          <cell r="DX56">
            <v>0.20800000000000005</v>
          </cell>
          <cell r="DY56">
            <v>3.2428021600000005</v>
          </cell>
          <cell r="DZ56">
            <v>1.6280327440000002</v>
          </cell>
          <cell r="EA56">
            <v>2.2366555120000005</v>
          </cell>
          <cell r="EB56">
            <v>0.20800000000000005</v>
          </cell>
          <cell r="EC56">
            <v>0.38337176800000011</v>
          </cell>
          <cell r="ED56">
            <v>1.8720301600000002</v>
          </cell>
          <cell r="EE56">
            <v>0.50125816000000012</v>
          </cell>
          <cell r="EF56">
            <v>1.3237213600000004</v>
          </cell>
          <cell r="EG56">
            <v>0.99473608000000036</v>
          </cell>
          <cell r="EH56">
            <v>0.20800000000000005</v>
          </cell>
          <cell r="EI56">
            <v>10.580772800000002</v>
          </cell>
          <cell r="EJ56">
            <v>0.97499696320000029</v>
          </cell>
          <cell r="EK56">
            <v>0.45536471344000012</v>
          </cell>
          <cell r="EL56">
            <v>6.4052005794400007</v>
          </cell>
          <cell r="EM56">
            <v>1.1015192188000005</v>
          </cell>
          <cell r="EN56">
            <v>0.7596760974400002</v>
          </cell>
          <cell r="EO56">
            <v>3.3612916916800004</v>
          </cell>
          <cell r="EQ56">
            <v>1.7617595212800001</v>
          </cell>
          <cell r="ER56">
            <v>44.043988032000001</v>
          </cell>
          <cell r="ES56">
            <v>21.049423698081007</v>
          </cell>
          <cell r="ET56">
            <v>25.492729294272742</v>
          </cell>
          <cell r="EU56">
            <v>90.586141024353765</v>
          </cell>
          <cell r="EW56">
            <v>0.5980346632000002</v>
          </cell>
          <cell r="EX56">
            <v>1.1037124540000005</v>
          </cell>
          <cell r="EY56">
            <v>0.48787942528000011</v>
          </cell>
          <cell r="EZ56">
            <v>0.55608904000000026</v>
          </cell>
          <cell r="FA56">
            <v>3.5028376084000015</v>
          </cell>
          <cell r="FB56">
            <v>0.20800000000000005</v>
          </cell>
          <cell r="FC56">
            <v>0.94245483592000046</v>
          </cell>
          <cell r="FD56">
            <v>2.0289013076800004</v>
          </cell>
          <cell r="FE56">
            <v>6.658957892080001</v>
          </cell>
          <cell r="FG56">
            <v>0.37851923512000007</v>
          </cell>
          <cell r="FL56">
            <v>48.495149999999995</v>
          </cell>
          <cell r="FM56">
            <v>60.007799999999996</v>
          </cell>
          <cell r="FN56">
            <v>48.483200000000004</v>
          </cell>
          <cell r="FO56">
            <v>52.002800000000008</v>
          </cell>
          <cell r="FQ56">
            <v>2.3092928571428568</v>
          </cell>
          <cell r="FR56">
            <v>2.7276272727272723</v>
          </cell>
          <cell r="FS56">
            <v>2.3087238095238098</v>
          </cell>
          <cell r="FT56">
            <v>2.6001400000000006</v>
          </cell>
          <cell r="FW56">
            <v>1.0555709413600003</v>
          </cell>
          <cell r="FX56">
            <v>0.5199108851591201</v>
          </cell>
          <cell r="FY56">
            <v>0.20800000000000005</v>
          </cell>
          <cell r="FZ56">
            <v>0.20800000000000005</v>
          </cell>
          <cell r="GA56">
            <v>0.20800000000000005</v>
          </cell>
          <cell r="GB56">
            <v>0.20800000000000005</v>
          </cell>
          <cell r="GC56">
            <v>0.20800000000000005</v>
          </cell>
        </row>
        <row r="57">
          <cell r="A57" t="str">
            <v>Home Video Points</v>
          </cell>
          <cell r="C57">
            <v>0.06</v>
          </cell>
          <cell r="D57">
            <v>0.03</v>
          </cell>
          <cell r="E57">
            <v>0.03</v>
          </cell>
          <cell r="F57">
            <v>7.4999999999999997E-2</v>
          </cell>
          <cell r="G57">
            <v>0.03</v>
          </cell>
          <cell r="H57">
            <v>0.03</v>
          </cell>
          <cell r="I57">
            <v>0.03</v>
          </cell>
          <cell r="J57">
            <v>0.03</v>
          </cell>
          <cell r="K57">
            <v>0.03</v>
          </cell>
          <cell r="L57">
            <v>0.03</v>
          </cell>
          <cell r="M57">
            <v>0.03</v>
          </cell>
          <cell r="N57">
            <v>0.03</v>
          </cell>
          <cell r="O57">
            <v>0.03</v>
          </cell>
          <cell r="P57">
            <v>0.03</v>
          </cell>
          <cell r="Q57">
            <v>0.03</v>
          </cell>
          <cell r="R57">
            <v>0.03</v>
          </cell>
          <cell r="S57">
            <v>0.03</v>
          </cell>
          <cell r="T57">
            <v>0.03</v>
          </cell>
          <cell r="U57">
            <v>0.03</v>
          </cell>
          <cell r="V57">
            <v>0.03</v>
          </cell>
          <cell r="W57">
            <v>0.03</v>
          </cell>
          <cell r="X57">
            <v>0.03</v>
          </cell>
          <cell r="Y57">
            <v>3.9298989874433254E-2</v>
          </cell>
          <cell r="Z57">
            <v>3.9298989874433254E-2</v>
          </cell>
          <cell r="AA57">
            <v>3.9298989874433254E-2</v>
          </cell>
          <cell r="AB57">
            <v>3.9298989874433254E-2</v>
          </cell>
          <cell r="AC57">
            <v>3.9298989874433254E-2</v>
          </cell>
          <cell r="AE57">
            <v>4.0000000000000008E-2</v>
          </cell>
          <cell r="AF57">
            <v>4.0000000000000008E-2</v>
          </cell>
          <cell r="AG57">
            <v>4.0000000000000008E-2</v>
          </cell>
          <cell r="AH57">
            <v>4.0000000000000008E-2</v>
          </cell>
          <cell r="AI57">
            <v>4.0000000000000008E-2</v>
          </cell>
          <cell r="AJ57">
            <v>2.0000000000000004E-2</v>
          </cell>
          <cell r="AK57">
            <v>8.0000000000000016E-2</v>
          </cell>
          <cell r="AL57">
            <v>4.0000000000000008E-2</v>
          </cell>
          <cell r="AM57">
            <v>4.0000000000000008E-2</v>
          </cell>
          <cell r="AN57">
            <v>8.0000000000000016E-2</v>
          </cell>
          <cell r="AO57">
            <v>0.1</v>
          </cell>
          <cell r="AP57">
            <v>2.0000000000000004E-2</v>
          </cell>
          <cell r="AQ57">
            <v>2.0000000000000004E-2</v>
          </cell>
          <cell r="AR57">
            <v>4.0000000000000008E-2</v>
          </cell>
          <cell r="AS57">
            <v>4.0000000000000008E-2</v>
          </cell>
          <cell r="AT57">
            <v>8.0000000000000016E-2</v>
          </cell>
          <cell r="AU57">
            <v>0</v>
          </cell>
          <cell r="AV57">
            <v>4.0000000000000008E-2</v>
          </cell>
          <cell r="AW57">
            <v>0</v>
          </cell>
          <cell r="AX57">
            <v>4.0000000000000008E-2</v>
          </cell>
          <cell r="AY57">
            <v>4.0000000000000008E-2</v>
          </cell>
          <cell r="AZ57">
            <v>2.0000000000000004E-2</v>
          </cell>
          <cell r="BA57">
            <v>5.7074729643614631E-2</v>
          </cell>
          <cell r="BB57">
            <v>5.7074729643614645E-2</v>
          </cell>
          <cell r="BC57">
            <v>3.9298989874433254E-2</v>
          </cell>
          <cell r="BD57">
            <v>5.7074729643614645E-2</v>
          </cell>
          <cell r="BE57">
            <v>4.4547319756793782E-2</v>
          </cell>
          <cell r="BH57">
            <v>4.0000000000000008E-2</v>
          </cell>
          <cell r="BI57">
            <v>4.0000000000000008E-2</v>
          </cell>
          <cell r="BJ57">
            <v>4.0000000000000008E-2</v>
          </cell>
          <cell r="BK57">
            <v>4.0000000000000008E-2</v>
          </cell>
          <cell r="BL57">
            <v>8.0000000000000016E-2</v>
          </cell>
          <cell r="BM57">
            <v>4.0000000000000008E-2</v>
          </cell>
          <cell r="BN57">
            <v>0</v>
          </cell>
          <cell r="BO57">
            <v>4.0000000000000008E-2</v>
          </cell>
          <cell r="BP57">
            <v>4.0000000000000008E-2</v>
          </cell>
          <cell r="BQ57">
            <v>4.0000000000000008E-2</v>
          </cell>
          <cell r="BR57">
            <v>0</v>
          </cell>
          <cell r="BS57">
            <v>4.0000000000000008E-2</v>
          </cell>
          <cell r="BT57">
            <v>0</v>
          </cell>
          <cell r="BU57">
            <v>0</v>
          </cell>
          <cell r="BV57">
            <v>4.0000000000000008E-2</v>
          </cell>
          <cell r="BW57">
            <v>0</v>
          </cell>
          <cell r="BX57">
            <v>4.0000000000000008E-2</v>
          </cell>
          <cell r="BY57">
            <v>4.0000000000000008E-2</v>
          </cell>
          <cell r="BZ57">
            <v>4.0000000000000008E-2</v>
          </cell>
          <cell r="CA57">
            <v>0</v>
          </cell>
          <cell r="CB57">
            <v>4.0000000000000008E-2</v>
          </cell>
          <cell r="CC57">
            <v>3.8546032755605031E-2</v>
          </cell>
          <cell r="CD57">
            <v>3.8546032755605031E-2</v>
          </cell>
          <cell r="CE57">
            <v>5.7074729643614645E-2</v>
          </cell>
          <cell r="CF57">
            <v>3.8546032755605031E-2</v>
          </cell>
          <cell r="CG57">
            <v>4.8787216278042091E-2</v>
          </cell>
          <cell r="CJ57">
            <v>4.0000000000000008E-2</v>
          </cell>
          <cell r="CK57">
            <v>8.0000000000000016E-2</v>
          </cell>
          <cell r="CL57">
            <v>4.0000000000000008E-2</v>
          </cell>
          <cell r="CM57">
            <v>4.0000000000000008E-2</v>
          </cell>
          <cell r="CN57">
            <v>4.0000000000000008E-2</v>
          </cell>
          <cell r="CO57">
            <v>4.0000000000000008E-2</v>
          </cell>
          <cell r="CP57">
            <v>4.0000000000000008E-2</v>
          </cell>
          <cell r="CQ57">
            <v>4.0000000000000008E-2</v>
          </cell>
          <cell r="CR57">
            <v>4.0000000000000008E-2</v>
          </cell>
          <cell r="CS57">
            <v>4.0000000000000008E-2</v>
          </cell>
          <cell r="CT57">
            <v>4.0000000000000008E-2</v>
          </cell>
          <cell r="CU57">
            <v>4.0000000000000008E-2</v>
          </cell>
          <cell r="CV57">
            <v>4.0000000000000008E-2</v>
          </cell>
          <cell r="CW57">
            <v>4.0000000000000008E-2</v>
          </cell>
          <cell r="CX57">
            <v>4.0000000000000008E-2</v>
          </cell>
          <cell r="CY57">
            <v>4.0000000000000008E-2</v>
          </cell>
          <cell r="CZ57">
            <v>4.0000000000000008E-2</v>
          </cell>
          <cell r="DA57">
            <v>4.0000000000000008E-2</v>
          </cell>
          <cell r="DB57">
            <v>4.0000000000000008E-2</v>
          </cell>
          <cell r="DC57">
            <v>4.0000000000000008E-2</v>
          </cell>
          <cell r="DE57">
            <v>4.0000000000000008E-2</v>
          </cell>
          <cell r="DF57">
            <v>4.0000000000000008E-2</v>
          </cell>
          <cell r="DH57">
            <v>4.6221835085816891E-2</v>
          </cell>
          <cell r="DI57">
            <v>4.6221835085816884E-2</v>
          </cell>
          <cell r="DJ57">
            <v>3.8546032755605031E-2</v>
          </cell>
          <cell r="DK57">
            <v>4.6221835085816884E-2</v>
          </cell>
          <cell r="DL57">
            <v>4.2387002475073432E-2</v>
          </cell>
          <cell r="DQ57">
            <v>4.0000000000000008E-2</v>
          </cell>
          <cell r="DR57">
            <v>4.0000000000000008E-2</v>
          </cell>
          <cell r="DS57">
            <v>4.0000000000000008E-2</v>
          </cell>
          <cell r="DT57">
            <v>0</v>
          </cell>
          <cell r="DU57">
            <v>4.0000000000000008E-2</v>
          </cell>
          <cell r="DV57">
            <v>4.0000000000000008E-2</v>
          </cell>
          <cell r="DW57">
            <v>4.0000000000000008E-2</v>
          </cell>
          <cell r="DX57">
            <v>4.0000000000000008E-2</v>
          </cell>
          <cell r="DY57">
            <v>4.0000000000000008E-2</v>
          </cell>
          <cell r="DZ57">
            <v>4.0000000000000008E-2</v>
          </cell>
          <cell r="EA57">
            <v>4.0000000000000008E-2</v>
          </cell>
          <cell r="EB57">
            <v>4.0000000000000008E-2</v>
          </cell>
          <cell r="EC57">
            <v>4.0000000000000008E-2</v>
          </cell>
          <cell r="ED57">
            <v>4.0000000000000008E-2</v>
          </cell>
          <cell r="EE57">
            <v>4.0000000000000008E-2</v>
          </cell>
          <cell r="EF57">
            <v>4.0000000000000008E-2</v>
          </cell>
          <cell r="EG57">
            <v>4.0000000000000008E-2</v>
          </cell>
          <cell r="EH57">
            <v>4.0000000000000008E-2</v>
          </cell>
          <cell r="EI57">
            <v>4.0000000000000008E-2</v>
          </cell>
          <cell r="EJ57">
            <v>4.0000000000000008E-2</v>
          </cell>
          <cell r="EK57">
            <v>4.0000000000000008E-2</v>
          </cell>
          <cell r="EL57">
            <v>4.0000000000000008E-2</v>
          </cell>
          <cell r="EM57">
            <v>4.0000000000000008E-2</v>
          </cell>
          <cell r="EN57">
            <v>4.0000000000000008E-2</v>
          </cell>
          <cell r="EO57">
            <v>4.0000000000000008E-2</v>
          </cell>
          <cell r="EQ57">
            <v>3.8971843263322377E-2</v>
          </cell>
          <cell r="ER57">
            <v>3.8971843263322384E-2</v>
          </cell>
          <cell r="ES57">
            <v>4.6221835085816884E-2</v>
          </cell>
          <cell r="ET57">
            <v>3.8971843263322384E-2</v>
          </cell>
          <cell r="EU57">
            <v>4.0446002465924343E-2</v>
          </cell>
          <cell r="EW57">
            <v>4.0000000000000008E-2</v>
          </cell>
          <cell r="EX57">
            <v>4.0000000000000008E-2</v>
          </cell>
          <cell r="EY57">
            <v>4.0000000000000008E-2</v>
          </cell>
          <cell r="EZ57">
            <v>4.0000000000000008E-2</v>
          </cell>
          <cell r="FA57">
            <v>4.0000000000000008E-2</v>
          </cell>
          <cell r="FB57">
            <v>4.0000000000000008E-2</v>
          </cell>
          <cell r="FC57">
            <v>4.0000000000000008E-2</v>
          </cell>
          <cell r="FD57">
            <v>4.0000000000000008E-2</v>
          </cell>
          <cell r="FE57">
            <v>4.0000000000000008E-2</v>
          </cell>
          <cell r="FG57">
            <v>4.0000000000000008E-2</v>
          </cell>
          <cell r="FW57">
            <v>4.0000000000000008E-2</v>
          </cell>
          <cell r="FX57">
            <v>4.0000000000000008E-2</v>
          </cell>
          <cell r="FY57">
            <v>4.0000000000000008E-2</v>
          </cell>
          <cell r="FZ57">
            <v>4.0000000000000008E-2</v>
          </cell>
          <cell r="GA57">
            <v>4.0000000000000008E-2</v>
          </cell>
          <cell r="GB57">
            <v>4.0000000000000008E-2</v>
          </cell>
          <cell r="GC57">
            <v>4.0000000000000008E-2</v>
          </cell>
        </row>
        <row r="58">
          <cell r="A58" t="str">
            <v xml:space="preserve">Partners Share  </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E58">
            <v>0</v>
          </cell>
          <cell r="DF58">
            <v>0</v>
          </cell>
          <cell r="DH58">
            <v>0</v>
          </cell>
          <cell r="DI58">
            <v>0</v>
          </cell>
          <cell r="DJ58">
            <v>0</v>
          </cell>
          <cell r="DK58">
            <v>0</v>
          </cell>
          <cell r="DL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Q58">
            <v>0</v>
          </cell>
          <cell r="ER58">
            <v>0</v>
          </cell>
          <cell r="ES58">
            <v>0</v>
          </cell>
          <cell r="ET58">
            <v>0</v>
          </cell>
          <cell r="EU58">
            <v>0</v>
          </cell>
          <cell r="EW58">
            <v>0</v>
          </cell>
          <cell r="EX58">
            <v>0</v>
          </cell>
          <cell r="EY58">
            <v>0</v>
          </cell>
          <cell r="EZ58">
            <v>0</v>
          </cell>
          <cell r="FA58">
            <v>0</v>
          </cell>
          <cell r="FB58">
            <v>0</v>
          </cell>
          <cell r="FC58">
            <v>0</v>
          </cell>
          <cell r="FD58">
            <v>0</v>
          </cell>
          <cell r="FE58">
            <v>0</v>
          </cell>
          <cell r="FG58">
            <v>0</v>
          </cell>
          <cell r="FL58">
            <v>0</v>
          </cell>
          <cell r="FM58">
            <v>0</v>
          </cell>
          <cell r="FN58">
            <v>0</v>
          </cell>
          <cell r="FO58">
            <v>0</v>
          </cell>
          <cell r="FQ58">
            <v>0</v>
          </cell>
          <cell r="FR58">
            <v>0</v>
          </cell>
          <cell r="FS58">
            <v>0</v>
          </cell>
          <cell r="FT58">
            <v>0</v>
          </cell>
          <cell r="FW58">
            <v>0</v>
          </cell>
          <cell r="FX58">
            <v>0</v>
          </cell>
          <cell r="FY58">
            <v>0</v>
          </cell>
          <cell r="FZ58">
            <v>0</v>
          </cell>
          <cell r="GA58">
            <v>0</v>
          </cell>
          <cell r="GB58">
            <v>0</v>
          </cell>
          <cell r="GC58">
            <v>0</v>
          </cell>
        </row>
        <row r="59">
          <cell r="A59" t="str">
            <v>Partners Share of Adjusted Gross Revenues</v>
          </cell>
          <cell r="BH59">
            <v>0</v>
          </cell>
          <cell r="BI59">
            <v>0</v>
          </cell>
          <cell r="BJ59">
            <v>0</v>
          </cell>
          <cell r="BK59">
            <v>0</v>
          </cell>
          <cell r="BL59">
            <v>0</v>
          </cell>
          <cell r="BM59">
            <v>0.5</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G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E59">
            <v>0</v>
          </cell>
          <cell r="DF59">
            <v>0</v>
          </cell>
          <cell r="DH59">
            <v>0</v>
          </cell>
          <cell r="DI59">
            <v>0</v>
          </cell>
          <cell r="DL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Q59">
            <v>0</v>
          </cell>
          <cell r="ER59">
            <v>0</v>
          </cell>
          <cell r="EU59">
            <v>0</v>
          </cell>
          <cell r="EW59">
            <v>0</v>
          </cell>
          <cell r="EX59">
            <v>0</v>
          </cell>
          <cell r="EY59">
            <v>0</v>
          </cell>
          <cell r="EZ59">
            <v>0</v>
          </cell>
          <cell r="FA59">
            <v>0</v>
          </cell>
          <cell r="FB59">
            <v>0</v>
          </cell>
          <cell r="FC59">
            <v>0</v>
          </cell>
          <cell r="FD59">
            <v>0</v>
          </cell>
          <cell r="FE59">
            <v>0</v>
          </cell>
          <cell r="FG59">
            <v>0</v>
          </cell>
          <cell r="FQ59">
            <v>0</v>
          </cell>
          <cell r="FR59">
            <v>0</v>
          </cell>
          <cell r="FS59">
            <v>0</v>
          </cell>
          <cell r="FT59">
            <v>0</v>
          </cell>
          <cell r="FW59">
            <v>0</v>
          </cell>
          <cell r="FX59">
            <v>0</v>
          </cell>
          <cell r="FY59">
            <v>0</v>
          </cell>
          <cell r="FZ59">
            <v>0</v>
          </cell>
          <cell r="GA59">
            <v>0</v>
          </cell>
          <cell r="GB59">
            <v>0</v>
          </cell>
          <cell r="GC59">
            <v>0</v>
          </cell>
        </row>
        <row r="60">
          <cell r="A60" t="str">
            <v>Total Direct Costs</v>
          </cell>
          <cell r="C60">
            <v>138</v>
          </cell>
          <cell r="D60">
            <v>150.82429999999999</v>
          </cell>
          <cell r="E60">
            <v>79.131600000000006</v>
          </cell>
          <cell r="F60">
            <v>465.47239999999999</v>
          </cell>
          <cell r="G60">
            <v>52.312000000000005</v>
          </cell>
          <cell r="H60">
            <v>69.83720000000001</v>
          </cell>
          <cell r="I60">
            <v>95.546000000000006</v>
          </cell>
          <cell r="J60">
            <v>56.603200000000001</v>
          </cell>
          <cell r="K60">
            <v>94.111199999999997</v>
          </cell>
          <cell r="L60">
            <v>49.800799999999995</v>
          </cell>
          <cell r="M60">
            <v>113.41839999999999</v>
          </cell>
          <cell r="N60">
            <v>83.159199999999998</v>
          </cell>
          <cell r="O60">
            <v>95.127200000000002</v>
          </cell>
          <cell r="P60">
            <v>56.183599999999998</v>
          </cell>
          <cell r="Q60">
            <v>50.956000000000003</v>
          </cell>
          <cell r="R60">
            <v>16.436</v>
          </cell>
          <cell r="S60">
            <v>11.127999999999998</v>
          </cell>
          <cell r="T60">
            <v>356.53279999999995</v>
          </cell>
          <cell r="U60">
            <v>67.240399999999994</v>
          </cell>
          <cell r="V60">
            <v>56.781599999999997</v>
          </cell>
          <cell r="W60">
            <v>132.57159999999999</v>
          </cell>
          <cell r="X60">
            <v>348.75719999999995</v>
          </cell>
          <cell r="Y60">
            <v>119.13955714285714</v>
          </cell>
          <cell r="Z60">
            <v>2501.9306999999999</v>
          </cell>
          <cell r="AA60">
            <v>551.05454194019126</v>
          </cell>
          <cell r="AB60">
            <v>-907.37994938188467</v>
          </cell>
          <cell r="AC60">
            <v>2145.6052925583067</v>
          </cell>
          <cell r="AE60">
            <v>37.17116</v>
          </cell>
          <cell r="AF60">
            <v>63.727800000000002</v>
          </cell>
          <cell r="AG60">
            <v>50.966200000000008</v>
          </cell>
          <cell r="AH60">
            <v>55.259</v>
          </cell>
          <cell r="AI60">
            <v>52.555599999999998</v>
          </cell>
          <cell r="AJ60">
            <v>47.252749999999999</v>
          </cell>
          <cell r="AK60">
            <v>107.74300000000001</v>
          </cell>
          <cell r="AL60">
            <v>83.357200000000006</v>
          </cell>
          <cell r="AM60">
            <v>100.57950000000001</v>
          </cell>
          <cell r="AN60">
            <v>51.9358</v>
          </cell>
          <cell r="AO60">
            <v>316.31194999999997</v>
          </cell>
          <cell r="AP60">
            <v>60.939750000000004</v>
          </cell>
          <cell r="AQ60">
            <v>24.938239999999997</v>
          </cell>
          <cell r="AR60">
            <v>89.644899999999993</v>
          </cell>
          <cell r="AS60">
            <v>28.375</v>
          </cell>
          <cell r="AT60">
            <v>487.1160000000001</v>
          </cell>
          <cell r="AU60">
            <v>16.815000000000001</v>
          </cell>
          <cell r="AV60">
            <v>78.704999999999998</v>
          </cell>
          <cell r="AW60">
            <v>18.722000000000001</v>
          </cell>
          <cell r="AX60">
            <v>38.299400000000006</v>
          </cell>
          <cell r="AY60">
            <v>40.411600000000007</v>
          </cell>
          <cell r="AZ60">
            <v>59.872250000000001</v>
          </cell>
          <cell r="BA60">
            <v>86.849959090909081</v>
          </cell>
          <cell r="BB60">
            <v>1910.6990999999998</v>
          </cell>
          <cell r="BC60">
            <v>907.37994938188456</v>
          </cell>
          <cell r="BD60">
            <v>-766.05347202527628</v>
          </cell>
          <cell r="BE60">
            <v>2052.0255773566082</v>
          </cell>
          <cell r="BH60">
            <v>230.56700000000001</v>
          </cell>
          <cell r="BI60">
            <v>39.632000000000005</v>
          </cell>
          <cell r="BJ60">
            <v>10.761400000000002</v>
          </cell>
          <cell r="BK60">
            <v>70.208399999999997</v>
          </cell>
          <cell r="BL60">
            <v>147.83029999999999</v>
          </cell>
          <cell r="BM60">
            <v>301.70800000000003</v>
          </cell>
          <cell r="BN60">
            <v>34.364599999999996</v>
          </cell>
          <cell r="BO60">
            <v>90.83</v>
          </cell>
          <cell r="BP60">
            <v>180.33240000000001</v>
          </cell>
          <cell r="BQ60">
            <v>34.080784000000008</v>
          </cell>
          <cell r="BR60">
            <v>35.885599999999997</v>
          </cell>
          <cell r="BS60">
            <v>37.72672</v>
          </cell>
          <cell r="BT60">
            <v>28.844799999999999</v>
          </cell>
          <cell r="BU60">
            <v>29.2272</v>
          </cell>
          <cell r="BV60">
            <v>46.901080000000007</v>
          </cell>
          <cell r="BW60">
            <v>36.477200000000003</v>
          </cell>
          <cell r="BX60">
            <v>175.42040000000003</v>
          </cell>
          <cell r="BY60">
            <v>423.32799999999992</v>
          </cell>
          <cell r="BZ60">
            <v>180.32599999999996</v>
          </cell>
          <cell r="CA60">
            <v>27.777999999999999</v>
          </cell>
          <cell r="CB60">
            <v>136.45999999999998</v>
          </cell>
          <cell r="CC60">
            <v>109.46142304761904</v>
          </cell>
          <cell r="CD60">
            <v>2298.6898839999999</v>
          </cell>
          <cell r="CE60">
            <v>766.05347202527628</v>
          </cell>
          <cell r="CF60">
            <v>-704.51736545428275</v>
          </cell>
          <cell r="CG60">
            <v>2360.2259905709934</v>
          </cell>
          <cell r="CJ60">
            <v>38.813199999999995</v>
          </cell>
          <cell r="CK60">
            <v>408.32920000000001</v>
          </cell>
          <cell r="CL60">
            <v>31.722200000000001</v>
          </cell>
          <cell r="CM60">
            <v>200.7636</v>
          </cell>
          <cell r="CN60">
            <v>44.470399999999998</v>
          </cell>
          <cell r="CO60">
            <v>38.968800000000002</v>
          </cell>
          <cell r="CP60">
            <v>50.722399999999993</v>
          </cell>
          <cell r="CQ60">
            <v>87.742800000000003</v>
          </cell>
          <cell r="CR60">
            <v>87.69919999999999</v>
          </cell>
          <cell r="CS60">
            <v>42.808800000000005</v>
          </cell>
          <cell r="CT60">
            <v>85.2393</v>
          </cell>
          <cell r="CU60">
            <v>94.125999999999991</v>
          </cell>
          <cell r="CV60">
            <v>88.233599999999996</v>
          </cell>
          <cell r="CW60">
            <v>108.18040000000002</v>
          </cell>
          <cell r="CX60">
            <v>51.131280000000018</v>
          </cell>
          <cell r="CY60">
            <v>26.696000000000002</v>
          </cell>
          <cell r="CZ60">
            <v>267.85199999999998</v>
          </cell>
          <cell r="DA60">
            <v>33.959600000000002</v>
          </cell>
          <cell r="DB60">
            <v>90.789200000000008</v>
          </cell>
          <cell r="DC60">
            <v>304.67360000000002</v>
          </cell>
          <cell r="DE60">
            <v>466.32799999999997</v>
          </cell>
          <cell r="DF60">
            <v>336.02160000000003</v>
          </cell>
          <cell r="DH60">
            <v>109.14607899999999</v>
          </cell>
          <cell r="DI60">
            <v>2182.9215799999997</v>
          </cell>
          <cell r="DJ60">
            <v>704.51736545428275</v>
          </cell>
          <cell r="DK60">
            <v>-510.98778152265015</v>
          </cell>
          <cell r="DL60">
            <v>2376.4511639316324</v>
          </cell>
          <cell r="DN60">
            <v>2391.2036639316325</v>
          </cell>
          <cell r="DO60">
            <v>-477.80470152265013</v>
          </cell>
          <cell r="DQ60">
            <v>38.415894544000004</v>
          </cell>
          <cell r="DR60">
            <v>272.19732832199992</v>
          </cell>
          <cell r="DS60">
            <v>23.3568</v>
          </cell>
          <cell r="DT60">
            <v>55.72640577</v>
          </cell>
          <cell r="DU60">
            <v>28.693136035999999</v>
          </cell>
          <cell r="DV60">
            <v>23.6844</v>
          </cell>
          <cell r="DW60">
            <v>62.341738992000003</v>
          </cell>
          <cell r="DX60">
            <v>24.304399999999998</v>
          </cell>
          <cell r="DY60">
            <v>121.07123346</v>
          </cell>
          <cell r="DZ60">
            <v>68.594662413999998</v>
          </cell>
          <cell r="EA60">
            <v>125.46081992200001</v>
          </cell>
          <cell r="EB60">
            <v>24.316799999999997</v>
          </cell>
          <cell r="EC60">
            <v>47.735695258</v>
          </cell>
          <cell r="ED60">
            <v>120.95702645999999</v>
          </cell>
          <cell r="EE60">
            <v>40.109219459999998</v>
          </cell>
          <cell r="EF60">
            <v>66.931583660000001</v>
          </cell>
          <cell r="EG60">
            <v>50.274157980000005</v>
          </cell>
          <cell r="EH60">
            <v>23.8704</v>
          </cell>
          <cell r="EI60">
            <v>347.2878068</v>
          </cell>
          <cell r="EJ60">
            <v>92.111548439199993</v>
          </cell>
          <cell r="EK60">
            <v>81.426766177640005</v>
          </cell>
          <cell r="EL60">
            <v>207.79023686113996</v>
          </cell>
          <cell r="EM60">
            <v>95.132250065299999</v>
          </cell>
          <cell r="EN60">
            <v>99.008182931639993</v>
          </cell>
          <cell r="EO60">
            <v>128.97798080908001</v>
          </cell>
          <cell r="EQ60">
            <v>90.791058974479995</v>
          </cell>
          <cell r="ER60">
            <v>2269.776474362</v>
          </cell>
          <cell r="ES60">
            <v>510.98778152265015</v>
          </cell>
          <cell r="ET60">
            <v>365.69064931588053</v>
          </cell>
          <cell r="EU60">
            <v>3146.4549052005304</v>
          </cell>
          <cell r="EW60">
            <v>44.72281751420001</v>
          </cell>
          <cell r="EX60">
            <v>60.985934236500007</v>
          </cell>
          <cell r="EY60">
            <v>49.288450015679999</v>
          </cell>
          <cell r="EZ60">
            <v>50.406203740000009</v>
          </cell>
          <cell r="FA60">
            <v>113.87281900790001</v>
          </cell>
          <cell r="FB60">
            <v>78.418967999999992</v>
          </cell>
          <cell r="FC60">
            <v>58.134569549020007</v>
          </cell>
          <cell r="FD60">
            <v>259.32888680507995</v>
          </cell>
          <cell r="FE60">
            <v>188.21185146898</v>
          </cell>
          <cell r="FG60">
            <v>37.473455029220005</v>
          </cell>
          <cell r="FI60">
            <v>3148.7877427005305</v>
          </cell>
          <cell r="FJ60">
            <v>374.70442408866052</v>
          </cell>
          <cell r="FL60">
            <v>2501.9306999999999</v>
          </cell>
          <cell r="FM60">
            <v>1910.6990999999998</v>
          </cell>
          <cell r="FN60">
            <v>2298.6898839999999</v>
          </cell>
          <cell r="FO60">
            <v>2182.9215799999997</v>
          </cell>
          <cell r="FQ60">
            <v>119.13955714285714</v>
          </cell>
          <cell r="FR60">
            <v>86.849959090909081</v>
          </cell>
          <cell r="FS60">
            <v>109.46142304761904</v>
          </cell>
          <cell r="FT60">
            <v>109.14607899999999</v>
          </cell>
          <cell r="FW60">
            <v>90.619702678660005</v>
          </cell>
          <cell r="FX60">
            <v>79.709303157648222</v>
          </cell>
          <cell r="FY60">
            <v>73.547999999999988</v>
          </cell>
          <cell r="FZ60">
            <v>73.547999999999988</v>
          </cell>
          <cell r="GA60">
            <v>73.547999999999988</v>
          </cell>
          <cell r="GB60">
            <v>73.547999999999988</v>
          </cell>
          <cell r="GC60">
            <v>73.547999999999988</v>
          </cell>
        </row>
        <row r="61">
          <cell r="A61" t="str">
            <v>Total Profit</v>
          </cell>
          <cell r="C61">
            <v>27.2072</v>
          </cell>
          <cell r="D61">
            <v>-11.585299999999989</v>
          </cell>
          <cell r="E61">
            <v>9.4964000000000084</v>
          </cell>
          <cell r="F61">
            <v>44.091599999999971</v>
          </cell>
          <cell r="G61">
            <v>-21.712000000000007</v>
          </cell>
          <cell r="H61">
            <v>-50.551200000000009</v>
          </cell>
          <cell r="I61">
            <v>20.153999999999996</v>
          </cell>
          <cell r="J61">
            <v>-7.4692000000000007</v>
          </cell>
          <cell r="K61">
            <v>7.1907999999999959</v>
          </cell>
          <cell r="L61">
            <v>-27.016799999999993</v>
          </cell>
          <cell r="M61">
            <v>34.931600000000003</v>
          </cell>
          <cell r="N61">
            <v>-18.001199999999997</v>
          </cell>
          <cell r="O61">
            <v>16.058800000000005</v>
          </cell>
          <cell r="P61">
            <v>-12.273600000000002</v>
          </cell>
          <cell r="Q61">
            <v>-20.816000000000003</v>
          </cell>
          <cell r="R61">
            <v>21.988</v>
          </cell>
          <cell r="S61">
            <v>20.671999999999997</v>
          </cell>
          <cell r="T61">
            <v>159.59120000000007</v>
          </cell>
          <cell r="U61">
            <v>14.173599999999993</v>
          </cell>
          <cell r="V61">
            <v>-14.1036</v>
          </cell>
          <cell r="W61">
            <v>23.472399999999993</v>
          </cell>
          <cell r="X61">
            <v>86.988800000000026</v>
          </cell>
          <cell r="Y61">
            <v>13.108585714285681</v>
          </cell>
          <cell r="Z61">
            <v>275.28029999999944</v>
          </cell>
          <cell r="AA61">
            <v>224.82871163220466</v>
          </cell>
          <cell r="AB61">
            <v>-393.25545061811545</v>
          </cell>
          <cell r="AC61">
            <v>106.85356101408843</v>
          </cell>
          <cell r="AE61">
            <v>2.8488399999999956</v>
          </cell>
          <cell r="AF61">
            <v>13.136200000000002</v>
          </cell>
          <cell r="AG61">
            <v>24.301799999999993</v>
          </cell>
          <cell r="AH61">
            <v>-1.0970000000000084</v>
          </cell>
          <cell r="AI61">
            <v>8.4624000000000024</v>
          </cell>
          <cell r="AJ61">
            <v>11.78425</v>
          </cell>
          <cell r="AK61">
            <v>-59.043000000000013</v>
          </cell>
          <cell r="AL61">
            <v>15.874799999999979</v>
          </cell>
          <cell r="AM61">
            <v>46.725499999999997</v>
          </cell>
          <cell r="AN61">
            <v>-0.6477999999999966</v>
          </cell>
          <cell r="AO61">
            <v>-22.514949999999999</v>
          </cell>
          <cell r="AP61">
            <v>63.66525</v>
          </cell>
          <cell r="AQ61">
            <v>-2.3142399999999945</v>
          </cell>
          <cell r="AR61">
            <v>53.908100000000005</v>
          </cell>
          <cell r="AS61">
            <v>2.1770000000000032</v>
          </cell>
          <cell r="AT61">
            <v>61.813999999999851</v>
          </cell>
          <cell r="AU61">
            <v>4.7210000000000001</v>
          </cell>
          <cell r="AV61">
            <v>-16.914999999999992</v>
          </cell>
          <cell r="AW61">
            <v>3.9879999999999995</v>
          </cell>
          <cell r="AX61">
            <v>8.2265999999999977</v>
          </cell>
          <cell r="AY61">
            <v>-18.773600000000009</v>
          </cell>
          <cell r="AZ61">
            <v>61.626749999999994</v>
          </cell>
          <cell r="BA61">
            <v>11.907040909090938</v>
          </cell>
          <cell r="BB61">
            <v>261.95489999999978</v>
          </cell>
          <cell r="BC61">
            <v>393.25545061811533</v>
          </cell>
          <cell r="BD61">
            <v>-288.49402797472385</v>
          </cell>
          <cell r="BE61">
            <v>366.71632264339132</v>
          </cell>
          <cell r="BH61">
            <v>2.0139999999999816</v>
          </cell>
          <cell r="BI61">
            <v>-8.5720000000000027</v>
          </cell>
          <cell r="BJ61">
            <v>14.600599999999996</v>
          </cell>
          <cell r="BK61">
            <v>-40.016399999999997</v>
          </cell>
          <cell r="BL61">
            <v>-27.913299999999992</v>
          </cell>
          <cell r="BM61">
            <v>-1.7980000000000587</v>
          </cell>
          <cell r="BN61">
            <v>9.0014000000000038</v>
          </cell>
          <cell r="BO61">
            <v>1.8860000000000099</v>
          </cell>
          <cell r="BP61">
            <v>127.96159999999998</v>
          </cell>
          <cell r="BQ61">
            <v>3.4831359999999947</v>
          </cell>
          <cell r="BR61">
            <v>-7.7295999999999978</v>
          </cell>
          <cell r="BS61">
            <v>-5.2671199999999985</v>
          </cell>
          <cell r="BT61">
            <v>-4.3767999999999994</v>
          </cell>
          <cell r="BU61">
            <v>-6.9551999999999978</v>
          </cell>
          <cell r="BV61">
            <v>18.82432</v>
          </cell>
          <cell r="BW61">
            <v>10.294800000000002</v>
          </cell>
          <cell r="BX61">
            <v>34.131599999999992</v>
          </cell>
          <cell r="BY61">
            <v>142.69200000000006</v>
          </cell>
          <cell r="BZ61">
            <v>74.05400000000003</v>
          </cell>
          <cell r="CA61">
            <v>43.502000000000002</v>
          </cell>
          <cell r="CB61">
            <v>124.10000000000002</v>
          </cell>
          <cell r="CC61">
            <v>23.99604933333336</v>
          </cell>
          <cell r="CD61">
            <v>503.91703600000028</v>
          </cell>
          <cell r="CE61">
            <v>288.49402797472385</v>
          </cell>
          <cell r="CF61">
            <v>-285.91503454571716</v>
          </cell>
          <cell r="CG61">
            <v>506.49602942900674</v>
          </cell>
          <cell r="CJ61">
            <v>-9.6851999999999947</v>
          </cell>
          <cell r="CK61">
            <v>11.934799999999996</v>
          </cell>
          <cell r="CL61">
            <v>44.6738</v>
          </cell>
          <cell r="CM61">
            <v>40.180399999999963</v>
          </cell>
          <cell r="CN61">
            <v>-2.1903999999999968</v>
          </cell>
          <cell r="CO61">
            <v>-10.138800000000003</v>
          </cell>
          <cell r="CP61">
            <v>-16.850399999999993</v>
          </cell>
          <cell r="CQ61">
            <v>15.771200000000007</v>
          </cell>
          <cell r="CR61">
            <v>77.676800000000014</v>
          </cell>
          <cell r="CS61">
            <v>12.705199999999998</v>
          </cell>
          <cell r="CT61">
            <v>-29.891300000000001</v>
          </cell>
          <cell r="CU61">
            <v>-0.55799999999999272</v>
          </cell>
          <cell r="CV61">
            <v>-4.4736000000000047</v>
          </cell>
          <cell r="CW61">
            <v>46.221599999999967</v>
          </cell>
          <cell r="CX61">
            <v>15.245119999999986</v>
          </cell>
          <cell r="CY61">
            <v>3.4339999999999975</v>
          </cell>
          <cell r="CZ61">
            <v>83.658000000000015</v>
          </cell>
          <cell r="DA61">
            <v>9.1784000000000034</v>
          </cell>
          <cell r="DB61">
            <v>-5.9432000000000045</v>
          </cell>
          <cell r="DC61">
            <v>-35.645600000000002</v>
          </cell>
          <cell r="DE61">
            <v>476.73199999999997</v>
          </cell>
          <cell r="DF61">
            <v>124.48639999999995</v>
          </cell>
          <cell r="DH61">
            <v>12.265141000000014</v>
          </cell>
          <cell r="DI61">
            <v>245.30282000000034</v>
          </cell>
          <cell r="DJ61">
            <v>285.91503454571716</v>
          </cell>
          <cell r="DK61">
            <v>-166.73261847734977</v>
          </cell>
          <cell r="DL61">
            <v>364.48523606836716</v>
          </cell>
          <cell r="DN61">
            <v>404.64173606836766</v>
          </cell>
          <cell r="DO61">
            <v>-266.28185847734983</v>
          </cell>
          <cell r="DQ61">
            <v>-8.2382289440000065</v>
          </cell>
          <cell r="DR61">
            <v>100.10433947800004</v>
          </cell>
          <cell r="DS61">
            <v>-7.3727999999999998</v>
          </cell>
          <cell r="DT61">
            <v>34.922850830000002</v>
          </cell>
          <cell r="DU61">
            <v>3.5917003640000047</v>
          </cell>
          <cell r="DV61">
            <v>-7.8023999999999987</v>
          </cell>
          <cell r="DW61">
            <v>23.558041807999999</v>
          </cell>
          <cell r="DX61">
            <v>-5.3223999999999982</v>
          </cell>
          <cell r="DY61">
            <v>96.596820539999982</v>
          </cell>
          <cell r="DZ61">
            <v>42.638156185999989</v>
          </cell>
          <cell r="EA61">
            <v>29.015567877999985</v>
          </cell>
          <cell r="EB61">
            <v>-5.2728000000000002</v>
          </cell>
          <cell r="EC61">
            <v>-17.673401058</v>
          </cell>
          <cell r="ED61">
            <v>23.63372754000001</v>
          </cell>
          <cell r="EE61">
            <v>-2.2637654599999948</v>
          </cell>
          <cell r="EF61">
            <v>26.529450340000011</v>
          </cell>
          <cell r="EG61">
            <v>21.298244020000006</v>
          </cell>
          <cell r="EH61">
            <v>-7.0583999999999989</v>
          </cell>
          <cell r="EI61">
            <v>288.23151319999999</v>
          </cell>
          <cell r="EJ61">
            <v>-12.418284359199987</v>
          </cell>
          <cell r="EK61">
            <v>-37.153488341639999</v>
          </cell>
          <cell r="EL61">
            <v>262.15383762485999</v>
          </cell>
          <cell r="EM61">
            <v>-4.7191495952999816</v>
          </cell>
          <cell r="EN61">
            <v>22.628569504360016</v>
          </cell>
          <cell r="EO61">
            <v>52.368451482919994</v>
          </cell>
          <cell r="EQ61">
            <v>36.47904612152</v>
          </cell>
          <cell r="ER61">
            <v>911.97615303799967</v>
          </cell>
          <cell r="ES61">
            <v>166.73261847734977</v>
          </cell>
          <cell r="ET61">
            <v>-70.449721715880514</v>
          </cell>
          <cell r="EU61">
            <v>1008.2590497994688</v>
          </cell>
          <cell r="EW61">
            <v>12.837569065799997</v>
          </cell>
          <cell r="EX61">
            <v>10.369597113499999</v>
          </cell>
          <cell r="EY61">
            <v>-15.083304383680002</v>
          </cell>
          <cell r="EZ61">
            <v>-12.975577740000006</v>
          </cell>
          <cell r="FA61">
            <v>158.79360120210001</v>
          </cell>
          <cell r="FB61">
            <v>-38.864127999999994</v>
          </cell>
          <cell r="FC61">
            <v>4.5513013489799974</v>
          </cell>
          <cell r="FD61">
            <v>-28.314014113079963</v>
          </cell>
          <cell r="FE61">
            <v>326.79825583302005</v>
          </cell>
          <cell r="FG61">
            <v>-8.5542341512200082</v>
          </cell>
          <cell r="FI61">
            <v>1005.9262122994696</v>
          </cell>
          <cell r="FJ61">
            <v>-97.491046034220574</v>
          </cell>
          <cell r="FL61">
            <v>275.28029999999944</v>
          </cell>
          <cell r="FM61">
            <v>261.95489999999978</v>
          </cell>
          <cell r="FN61">
            <v>503.91703600000028</v>
          </cell>
          <cell r="FO61">
            <v>245.30282000000034</v>
          </cell>
          <cell r="FQ61">
            <v>13.108585714285681</v>
          </cell>
          <cell r="FR61">
            <v>11.907040909090938</v>
          </cell>
          <cell r="FS61">
            <v>23.99604933333336</v>
          </cell>
          <cell r="FT61">
            <v>12.265141000000014</v>
          </cell>
          <cell r="FW61">
            <v>-19.427349144659999</v>
          </cell>
          <cell r="FX61">
            <v>-44.509699768670224</v>
          </cell>
          <cell r="FY61">
            <v>-58.347999999999985</v>
          </cell>
          <cell r="FZ61">
            <v>-58.347999999999985</v>
          </cell>
          <cell r="GA61">
            <v>-58.347999999999985</v>
          </cell>
          <cell r="GB61">
            <v>-58.347999999999985</v>
          </cell>
          <cell r="GC61">
            <v>-58.347999999999985</v>
          </cell>
        </row>
        <row r="62">
          <cell r="A62" t="str">
            <v>Margin %</v>
          </cell>
          <cell r="C62">
            <v>0.16468531637846293</v>
          </cell>
          <cell r="D62">
            <v>-8.3204418302343375E-2</v>
          </cell>
          <cell r="E62">
            <v>0.10714898226294181</v>
          </cell>
          <cell r="F62">
            <v>8.6528090681445263E-2</v>
          </cell>
          <cell r="G62">
            <v>-0.70954248366013095</v>
          </cell>
          <cell r="H62">
            <v>-2.6211345017110865</v>
          </cell>
          <cell r="I62">
            <v>0.17419187554019011</v>
          </cell>
          <cell r="J62">
            <v>-0.15201693328448734</v>
          </cell>
          <cell r="K62">
            <v>7.0983791040650696E-2</v>
          </cell>
          <cell r="L62">
            <v>-1.1857794943820221</v>
          </cell>
          <cell r="M62">
            <v>0.23546747556454334</v>
          </cell>
          <cell r="N62">
            <v>-0.27626998987077561</v>
          </cell>
          <cell r="O62">
            <v>0.14443185293112445</v>
          </cell>
          <cell r="P62">
            <v>-0.27951719426098842</v>
          </cell>
          <cell r="Q62">
            <v>-0.69064366290643675</v>
          </cell>
          <cell r="R62">
            <v>0.572246512596294</v>
          </cell>
          <cell r="S62">
            <v>0.65006289308176102</v>
          </cell>
          <cell r="T62">
            <v>0.30921096480690702</v>
          </cell>
          <cell r="U62">
            <v>0.17409290785368603</v>
          </cell>
          <cell r="V62">
            <v>-0.33046534514269649</v>
          </cell>
          <cell r="W62">
            <v>0.15042167593755604</v>
          </cell>
          <cell r="X62">
            <v>0.1996318956456285</v>
          </cell>
          <cell r="Y62">
            <v>9.9121132675910967E-2</v>
          </cell>
          <cell r="Z62">
            <v>9.9121132675911022E-2</v>
          </cell>
          <cell r="AA62">
            <v>0.28977131623479019</v>
          </cell>
          <cell r="AB62">
            <v>0.3023564102730984</v>
          </cell>
          <cell r="AC62">
            <v>4.7438629497990117E-2</v>
          </cell>
          <cell r="AE62">
            <v>7.1185407296351727E-2</v>
          </cell>
          <cell r="AF62">
            <v>0.17090185262281435</v>
          </cell>
          <cell r="AG62">
            <v>0.3228702768772917</v>
          </cell>
          <cell r="AH62">
            <v>-2.0254052656844442E-2</v>
          </cell>
          <cell r="AI62">
            <v>0.13868694483595009</v>
          </cell>
          <cell r="AJ62">
            <v>0.19960787302877855</v>
          </cell>
          <cell r="AK62">
            <v>-1.2123819301848053</v>
          </cell>
          <cell r="AL62">
            <v>0.15997662044501754</v>
          </cell>
          <cell r="AM62">
            <v>0.31720240317708154</v>
          </cell>
          <cell r="AN62">
            <v>-1.2630634846357755E-2</v>
          </cell>
          <cell r="AO62">
            <v>-7.6634376797584725E-2</v>
          </cell>
          <cell r="AP62">
            <v>0.51093655952810879</v>
          </cell>
          <cell r="AQ62">
            <v>-0.10229137199434205</v>
          </cell>
          <cell r="AR62">
            <v>0.37552750552060915</v>
          </cell>
          <cell r="AS62">
            <v>7.1255564283844039E-2</v>
          </cell>
          <cell r="AT62">
            <v>0.11260816497549753</v>
          </cell>
          <cell r="AU62">
            <v>0.21921433878157504</v>
          </cell>
          <cell r="AV62">
            <v>-0.27374979770189334</v>
          </cell>
          <cell r="AW62">
            <v>0.17560546014971376</v>
          </cell>
          <cell r="AX62">
            <v>0.17681726346558907</v>
          </cell>
          <cell r="AY62">
            <v>-0.8676217765042985</v>
          </cell>
          <cell r="AZ62">
            <v>0.50722022403476574</v>
          </cell>
          <cell r="BA62">
            <v>0.12056908278998892</v>
          </cell>
          <cell r="BB62">
            <v>0.12056908278998855</v>
          </cell>
          <cell r="BC62">
            <v>0.30235641027309834</v>
          </cell>
          <cell r="BD62">
            <v>0.27357139244531309</v>
          </cell>
          <cell r="BE62">
            <v>0.15161449125406534</v>
          </cell>
          <cell r="BH62">
            <v>8.6593487860142562E-3</v>
          </cell>
          <cell r="BI62">
            <v>-0.2759819703799099</v>
          </cell>
          <cell r="BJ62">
            <v>0.57568803722103923</v>
          </cell>
          <cell r="BK62">
            <v>-1.3253974562798092</v>
          </cell>
          <cell r="BL62">
            <v>-0.23277183385174741</v>
          </cell>
          <cell r="BM62">
            <v>-5.9951318728953982E-3</v>
          </cell>
          <cell r="BN62">
            <v>0.20756814093990694</v>
          </cell>
          <cell r="BO62">
            <v>2.034168859743744E-2</v>
          </cell>
          <cell r="BP62">
            <v>0.41506354324119177</v>
          </cell>
          <cell r="BQ62">
            <v>9.2725572836913572E-2</v>
          </cell>
          <cell r="BR62">
            <v>-0.27452763176587575</v>
          </cell>
          <cell r="BS62">
            <v>-0.16226694105903949</v>
          </cell>
          <cell r="BT62">
            <v>-0.17887853522968772</v>
          </cell>
          <cell r="BU62">
            <v>-0.31228448275862059</v>
          </cell>
          <cell r="BV62">
            <v>0.28640860306669869</v>
          </cell>
          <cell r="BW62">
            <v>0.22010604635251863</v>
          </cell>
          <cell r="BX62">
            <v>0.162878903565702</v>
          </cell>
          <cell r="BY62">
            <v>0.25209709904243677</v>
          </cell>
          <cell r="BZ62">
            <v>0.29111565374636383</v>
          </cell>
          <cell r="CA62">
            <v>0.61029741863075204</v>
          </cell>
          <cell r="CB62">
            <v>0.47628185446730126</v>
          </cell>
          <cell r="CC62">
            <v>0.17980296573306132</v>
          </cell>
          <cell r="CD62">
            <v>0.17980296573306123</v>
          </cell>
          <cell r="CE62">
            <v>0.27357139244531309</v>
          </cell>
          <cell r="CF62">
            <v>0.28867698042361822</v>
          </cell>
          <cell r="CG62">
            <v>0.17668124983705491</v>
          </cell>
          <cell r="CJ62">
            <v>-0.33250480637187568</v>
          </cell>
          <cell r="CK62">
            <v>2.8398340090990414E-2</v>
          </cell>
          <cell r="CL62">
            <v>0.58476621812660345</v>
          </cell>
          <cell r="CM62">
            <v>0.16676240122186056</v>
          </cell>
          <cell r="CN62">
            <v>-5.1807000946073718E-2</v>
          </cell>
          <cell r="CO62">
            <v>-0.35167533818938618</v>
          </cell>
          <cell r="CP62">
            <v>-0.49747283892300403</v>
          </cell>
          <cell r="CQ62">
            <v>0.15235813513147986</v>
          </cell>
          <cell r="CR62">
            <v>0.46969814241486074</v>
          </cell>
          <cell r="CS62">
            <v>0.2288647908635659</v>
          </cell>
          <cell r="CT62">
            <v>-0.54006106815061072</v>
          </cell>
          <cell r="CU62">
            <v>-5.963577291381591E-3</v>
          </cell>
          <cell r="CV62">
            <v>-5.3409742120343905E-2</v>
          </cell>
          <cell r="CW62">
            <v>0.29935881659563979</v>
          </cell>
          <cell r="CX62">
            <v>0.22967681284311872</v>
          </cell>
          <cell r="CY62">
            <v>0.1139727846000663</v>
          </cell>
          <cell r="CZ62">
            <v>0.23799607408039605</v>
          </cell>
          <cell r="DA62">
            <v>0.21276832491075159</v>
          </cell>
          <cell r="DB62">
            <v>-7.004690851660661E-2</v>
          </cell>
          <cell r="DC62">
            <v>-0.13249773257802161</v>
          </cell>
          <cell r="DE62">
            <v>0.50551608593302655</v>
          </cell>
          <cell r="DF62">
            <v>0.27032407688900073</v>
          </cell>
          <cell r="DH62">
            <v>0.10102147890450335</v>
          </cell>
          <cell r="DI62">
            <v>0.10102147890450336</v>
          </cell>
          <cell r="DJ62">
            <v>0.28867698042361822</v>
          </cell>
          <cell r="DK62">
            <v>0.24601977227976285</v>
          </cell>
          <cell r="DL62">
            <v>0.13297836318579564</v>
          </cell>
          <cell r="DN62">
            <v>0.14472965353104561</v>
          </cell>
          <cell r="DO62">
            <v>0.35786408838959521</v>
          </cell>
          <cell r="DQ62">
            <v>-0.27299092823137411</v>
          </cell>
          <cell r="DR62">
            <v>0.26887964287008237</v>
          </cell>
          <cell r="DS62">
            <v>-0.46126126126126127</v>
          </cell>
          <cell r="DT62">
            <v>0.38525247905894022</v>
          </cell>
          <cell r="DU62">
            <v>0.11125038143293811</v>
          </cell>
          <cell r="DV62">
            <v>-0.49127313940309769</v>
          </cell>
          <cell r="DW62">
            <v>0.27425031343036904</v>
          </cell>
          <cell r="DX62">
            <v>-0.28039195026867553</v>
          </cell>
          <cell r="DY62">
            <v>0.4437804205296933</v>
          </cell>
          <cell r="DZ62">
            <v>0.38332352558042609</v>
          </cell>
          <cell r="EA62">
            <v>0.18783173461802027</v>
          </cell>
          <cell r="EB62">
            <v>-0.27687460617517334</v>
          </cell>
          <cell r="EC62">
            <v>-0.58789262524082408</v>
          </cell>
          <cell r="ED62">
            <v>0.16345255063819647</v>
          </cell>
          <cell r="EE62">
            <v>-5.9816047126822536E-2</v>
          </cell>
          <cell r="EF62">
            <v>0.28385573328880576</v>
          </cell>
          <cell r="EG62">
            <v>0.29757620849444177</v>
          </cell>
          <cell r="EH62">
            <v>-0.41984296930763731</v>
          </cell>
          <cell r="EI62">
            <v>0.4535369801188735</v>
          </cell>
          <cell r="EJ62">
            <v>-0.15582602246952645</v>
          </cell>
          <cell r="EK62">
            <v>-0.83918539935684</v>
          </cell>
          <cell r="EL62">
            <v>0.55784050030121146</v>
          </cell>
          <cell r="EM62">
            <v>-5.2195418260939333E-2</v>
          </cell>
          <cell r="EN62">
            <v>0.18603398274930258</v>
          </cell>
          <cell r="EO62">
            <v>0.28877574717652826</v>
          </cell>
          <cell r="EQ62">
            <v>0.2866269819923839</v>
          </cell>
          <cell r="ER62">
            <v>0.28662698199238384</v>
          </cell>
          <cell r="ES62">
            <v>0.24601977227976285</v>
          </cell>
          <cell r="ET62">
            <v>-0.23861773599129049</v>
          </cell>
          <cell r="EU62">
            <v>0.24267833134121722</v>
          </cell>
          <cell r="EW62">
            <v>0.22302784655481367</v>
          </cell>
          <cell r="EX62">
            <v>0.14532296119605587</v>
          </cell>
          <cell r="EY62">
            <v>-0.44096594547368606</v>
          </cell>
          <cell r="EZ62">
            <v>-0.34665671207315646</v>
          </cell>
          <cell r="FA62">
            <v>0.58237314693830522</v>
          </cell>
          <cell r="FB62">
            <v>-0.98253786388720055</v>
          </cell>
          <cell r="FC62">
            <v>7.2604899378134136E-2</v>
          </cell>
          <cell r="FD62">
            <v>-0.12256359853865147</v>
          </cell>
          <cell r="FE62">
            <v>0.63454726654789073</v>
          </cell>
          <cell r="FG62">
            <v>-0.2957975315900559</v>
          </cell>
          <cell r="FI62">
            <v>0.24211683961753502</v>
          </cell>
          <cell r="FJ62">
            <v>-0.35168232759342161</v>
          </cell>
          <cell r="FL62">
            <v>9.9121132675911022E-2</v>
          </cell>
          <cell r="FM62">
            <v>0.12056908278998855</v>
          </cell>
          <cell r="FN62">
            <v>0.17980296573306123</v>
          </cell>
          <cell r="FO62">
            <v>0.10102147890450336</v>
          </cell>
          <cell r="FQ62">
            <v>9.9121132675910967E-2</v>
          </cell>
          <cell r="FR62">
            <v>0.12056908278998892</v>
          </cell>
          <cell r="FS62">
            <v>0.17980296573306132</v>
          </cell>
          <cell r="FT62">
            <v>0.10102147890450335</v>
          </cell>
          <cell r="FW62">
            <v>-0.27288533361074929</v>
          </cell>
          <cell r="FX62">
            <v>-1.2644943545758098</v>
          </cell>
          <cell r="FY62">
            <v>-3.8386842105263148</v>
          </cell>
          <cell r="FZ62">
            <v>-3.8386842105263148</v>
          </cell>
          <cell r="GA62">
            <v>-3.8386842105263148</v>
          </cell>
          <cell r="GB62">
            <v>-3.8386842105263148</v>
          </cell>
          <cell r="GC62">
            <v>-3.8386842105263148</v>
          </cell>
        </row>
        <row r="63">
          <cell r="A63" t="str">
            <v>JV Participations</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16.419480000000021</v>
          </cell>
          <cell r="Y63">
            <v>0.78188000000000102</v>
          </cell>
          <cell r="Z63">
            <v>16.419480000000021</v>
          </cell>
          <cell r="AA63">
            <v>0</v>
          </cell>
          <cell r="AB63">
            <v>-12.314610000000016</v>
          </cell>
          <cell r="AC63">
            <v>4.1048700000000053</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12.314610000000016</v>
          </cell>
          <cell r="BD63">
            <v>0</v>
          </cell>
          <cell r="BE63">
            <v>12.314610000000016</v>
          </cell>
          <cell r="BH63">
            <v>-13.096620000000005</v>
          </cell>
          <cell r="BI63">
            <v>0</v>
          </cell>
          <cell r="BJ63">
            <v>0</v>
          </cell>
          <cell r="BK63">
            <v>0</v>
          </cell>
          <cell r="BL63">
            <v>-32.709979999999987</v>
          </cell>
          <cell r="BM63">
            <v>-20.837200000000028</v>
          </cell>
          <cell r="BN63">
            <v>0</v>
          </cell>
          <cell r="BO63">
            <v>0</v>
          </cell>
          <cell r="BP63">
            <v>0</v>
          </cell>
          <cell r="BQ63">
            <v>0</v>
          </cell>
          <cell r="BR63">
            <v>0</v>
          </cell>
          <cell r="BS63">
            <v>0</v>
          </cell>
          <cell r="BT63">
            <v>0</v>
          </cell>
          <cell r="BU63">
            <v>0</v>
          </cell>
          <cell r="BV63">
            <v>0</v>
          </cell>
          <cell r="BW63">
            <v>8.4239200000000025</v>
          </cell>
          <cell r="BX63">
            <v>0</v>
          </cell>
          <cell r="BY63">
            <v>0</v>
          </cell>
          <cell r="BZ63">
            <v>0</v>
          </cell>
          <cell r="CA63">
            <v>0</v>
          </cell>
          <cell r="CB63">
            <v>0</v>
          </cell>
          <cell r="CC63">
            <v>-2.7723752380952384</v>
          </cell>
          <cell r="CD63">
            <v>-58.219880000000011</v>
          </cell>
          <cell r="CE63">
            <v>0</v>
          </cell>
          <cell r="CF63">
            <v>7.068855000000001</v>
          </cell>
          <cell r="CG63">
            <v>-51.151025000000011</v>
          </cell>
          <cell r="CJ63">
            <v>0</v>
          </cell>
          <cell r="CK63">
            <v>0</v>
          </cell>
          <cell r="CL63">
            <v>16.38898</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-28.182426666666665</v>
          </cell>
          <cell r="DE63">
            <v>0</v>
          </cell>
          <cell r="DF63">
            <v>106.06607999999994</v>
          </cell>
          <cell r="DH63">
            <v>-0.58967233333333324</v>
          </cell>
          <cell r="DI63">
            <v>-11.793446666666664</v>
          </cell>
          <cell r="DJ63">
            <v>0</v>
          </cell>
          <cell r="DK63">
            <v>0</v>
          </cell>
          <cell r="DL63">
            <v>-11.793446666666664</v>
          </cell>
          <cell r="DN63">
            <v>-11.793446666666664</v>
          </cell>
          <cell r="DO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Q63">
            <v>0</v>
          </cell>
          <cell r="ER63">
            <v>0</v>
          </cell>
          <cell r="ES63">
            <v>0</v>
          </cell>
          <cell r="ET63">
            <v>0</v>
          </cell>
          <cell r="EU63">
            <v>0</v>
          </cell>
          <cell r="EW63">
            <v>0</v>
          </cell>
          <cell r="EX63">
            <v>0</v>
          </cell>
          <cell r="EY63">
            <v>0</v>
          </cell>
          <cell r="EZ63">
            <v>0</v>
          </cell>
          <cell r="FA63">
            <v>0</v>
          </cell>
          <cell r="FB63">
            <v>0</v>
          </cell>
          <cell r="FC63">
            <v>0</v>
          </cell>
          <cell r="FD63">
            <v>0</v>
          </cell>
          <cell r="FE63">
            <v>0</v>
          </cell>
          <cell r="FG63">
            <v>0</v>
          </cell>
          <cell r="FI63">
            <v>0</v>
          </cell>
          <cell r="FJ63">
            <v>0</v>
          </cell>
          <cell r="FL63">
            <v>16.419480000000021</v>
          </cell>
          <cell r="FM63">
            <v>0</v>
          </cell>
          <cell r="FN63">
            <v>-58.219880000000011</v>
          </cell>
          <cell r="FO63">
            <v>-11.793446666666664</v>
          </cell>
          <cell r="FQ63">
            <v>0.78188000000000102</v>
          </cell>
          <cell r="FR63">
            <v>0</v>
          </cell>
          <cell r="FS63">
            <v>-2.7723752380952384</v>
          </cell>
          <cell r="FT63">
            <v>-0.58967233333333324</v>
          </cell>
          <cell r="FW63">
            <v>0</v>
          </cell>
          <cell r="FX63">
            <v>0</v>
          </cell>
          <cell r="FY63">
            <v>0</v>
          </cell>
          <cell r="FZ63">
            <v>0</v>
          </cell>
          <cell r="GA63">
            <v>0</v>
          </cell>
          <cell r="GB63">
            <v>0</v>
          </cell>
          <cell r="GC63">
            <v>0</v>
          </cell>
        </row>
        <row r="64">
          <cell r="A64" t="str">
            <v>Fox Profit</v>
          </cell>
          <cell r="D64">
            <v>-11.585299999999989</v>
          </cell>
          <cell r="E64">
            <v>9.4964000000000084</v>
          </cell>
          <cell r="F64">
            <v>44.091599999999971</v>
          </cell>
          <cell r="G64">
            <v>-21.712000000000007</v>
          </cell>
          <cell r="H64">
            <v>-50.551200000000009</v>
          </cell>
          <cell r="I64">
            <v>20.153999999999996</v>
          </cell>
          <cell r="J64">
            <v>-7.4692000000000007</v>
          </cell>
          <cell r="K64">
            <v>7.1907999999999959</v>
          </cell>
          <cell r="L64">
            <v>-27.016799999999993</v>
          </cell>
          <cell r="M64">
            <v>34.931600000000003</v>
          </cell>
          <cell r="N64">
            <v>-18.001199999999997</v>
          </cell>
          <cell r="O64">
            <v>16.058800000000005</v>
          </cell>
          <cell r="P64">
            <v>-12.273600000000002</v>
          </cell>
          <cell r="Q64">
            <v>-20.816000000000003</v>
          </cell>
          <cell r="R64">
            <v>21.988</v>
          </cell>
          <cell r="S64">
            <v>20.671999999999997</v>
          </cell>
          <cell r="T64">
            <v>159.59120000000007</v>
          </cell>
          <cell r="U64">
            <v>14.173599999999993</v>
          </cell>
          <cell r="V64">
            <v>-14.1036</v>
          </cell>
          <cell r="W64">
            <v>23.472399999999993</v>
          </cell>
          <cell r="X64">
            <v>70.569320000000005</v>
          </cell>
          <cell r="Y64">
            <v>12.326705714285717</v>
          </cell>
          <cell r="Z64">
            <v>258.86082000000005</v>
          </cell>
          <cell r="AA64">
            <v>224.82871163220466</v>
          </cell>
          <cell r="AB64">
            <v>-380.94084061811543</v>
          </cell>
          <cell r="AC64">
            <v>102.74869101408927</v>
          </cell>
          <cell r="AE64">
            <v>2.8488399999999956</v>
          </cell>
          <cell r="AF64">
            <v>13.136200000000002</v>
          </cell>
          <cell r="AG64">
            <v>24.301799999999993</v>
          </cell>
          <cell r="AH64">
            <v>-1.0970000000000084</v>
          </cell>
          <cell r="AI64">
            <v>8.4624000000000024</v>
          </cell>
          <cell r="AJ64">
            <v>11.78425</v>
          </cell>
          <cell r="AK64">
            <v>-59.043000000000013</v>
          </cell>
          <cell r="AL64">
            <v>15.874799999999979</v>
          </cell>
          <cell r="AM64">
            <v>46.725499999999997</v>
          </cell>
          <cell r="AN64">
            <v>-0.6477999999999966</v>
          </cell>
          <cell r="AO64">
            <v>-22.514949999999999</v>
          </cell>
          <cell r="AP64">
            <v>63.66525</v>
          </cell>
          <cell r="AQ64">
            <v>-2.3142399999999945</v>
          </cell>
          <cell r="AR64">
            <v>53.908100000000005</v>
          </cell>
          <cell r="AS64">
            <v>2.1770000000000032</v>
          </cell>
          <cell r="AT64">
            <v>61.813999999999851</v>
          </cell>
          <cell r="AU64">
            <v>4.7210000000000001</v>
          </cell>
          <cell r="AV64">
            <v>-16.914999999999992</v>
          </cell>
          <cell r="AW64">
            <v>3.9879999999999995</v>
          </cell>
          <cell r="AX64">
            <v>8.2265999999999977</v>
          </cell>
          <cell r="AY64">
            <v>-18.773600000000009</v>
          </cell>
          <cell r="AZ64">
            <v>61.626749999999994</v>
          </cell>
          <cell r="BA64">
            <v>11.907040909090899</v>
          </cell>
          <cell r="BB64">
            <v>261.95489999999978</v>
          </cell>
          <cell r="BC64">
            <v>380.94084061811532</v>
          </cell>
          <cell r="BD64">
            <v>-288.49402797472385</v>
          </cell>
          <cell r="BE64">
            <v>354.40171264339119</v>
          </cell>
          <cell r="BH64">
            <v>15.110619999999987</v>
          </cell>
          <cell r="BI64">
            <v>-8.5720000000000027</v>
          </cell>
          <cell r="BJ64">
            <v>14.600599999999996</v>
          </cell>
          <cell r="BK64">
            <v>-40.016399999999997</v>
          </cell>
          <cell r="BL64">
            <v>4.7966799999999985</v>
          </cell>
          <cell r="BM64">
            <v>19.039199999999969</v>
          </cell>
          <cell r="BN64">
            <v>9.0014000000000038</v>
          </cell>
          <cell r="BO64">
            <v>1.8860000000000099</v>
          </cell>
          <cell r="BP64">
            <v>127.96159999999998</v>
          </cell>
          <cell r="BQ64">
            <v>3.4831359999999947</v>
          </cell>
          <cell r="BR64">
            <v>-7.7295999999999978</v>
          </cell>
          <cell r="BS64">
            <v>-5.2671199999999985</v>
          </cell>
          <cell r="BT64">
            <v>-4.3767999999999994</v>
          </cell>
          <cell r="BU64">
            <v>-6.9551999999999978</v>
          </cell>
          <cell r="BV64">
            <v>18.82432</v>
          </cell>
          <cell r="BW64">
            <v>1.8708800000000005</v>
          </cell>
          <cell r="BX64">
            <v>34.131599999999992</v>
          </cell>
          <cell r="BY64">
            <v>142.69200000000006</v>
          </cell>
          <cell r="BZ64">
            <v>74.05400000000003</v>
          </cell>
          <cell r="CA64">
            <v>43.502000000000002</v>
          </cell>
          <cell r="CB64">
            <v>124.10000000000002</v>
          </cell>
          <cell r="CC64">
            <v>26.768424571428575</v>
          </cell>
          <cell r="CD64">
            <v>562.13691600000004</v>
          </cell>
          <cell r="CE64">
            <v>288.49402797472385</v>
          </cell>
          <cell r="CF64">
            <v>-292.98388954571715</v>
          </cell>
          <cell r="CG64">
            <v>557.64705442900674</v>
          </cell>
          <cell r="CJ64">
            <v>-9.6851999999999947</v>
          </cell>
          <cell r="CK64">
            <v>11.934799999999996</v>
          </cell>
          <cell r="CL64">
            <v>28.28482</v>
          </cell>
          <cell r="CM64">
            <v>40.180399999999963</v>
          </cell>
          <cell r="CN64">
            <v>-2.1903999999999968</v>
          </cell>
          <cell r="CO64">
            <v>-10.138800000000003</v>
          </cell>
          <cell r="CP64">
            <v>-16.850399999999993</v>
          </cell>
          <cell r="CQ64">
            <v>15.771200000000007</v>
          </cell>
          <cell r="CR64">
            <v>77.676800000000014</v>
          </cell>
          <cell r="CS64">
            <v>12.705199999999998</v>
          </cell>
          <cell r="CT64">
            <v>-29.891300000000001</v>
          </cell>
          <cell r="CU64">
            <v>-0.55799999999999272</v>
          </cell>
          <cell r="CV64">
            <v>-4.4736000000000047</v>
          </cell>
          <cell r="CW64">
            <v>46.221599999999967</v>
          </cell>
          <cell r="CX64">
            <v>15.245119999999986</v>
          </cell>
          <cell r="CY64">
            <v>3.4339999999999975</v>
          </cell>
          <cell r="CZ64">
            <v>83.658000000000015</v>
          </cell>
          <cell r="DA64">
            <v>9.1784000000000034</v>
          </cell>
          <cell r="DB64">
            <v>-5.9432000000000045</v>
          </cell>
          <cell r="DC64">
            <v>-7.4631733333333372</v>
          </cell>
          <cell r="DE64">
            <v>476.73199999999997</v>
          </cell>
          <cell r="DF64">
            <v>18.420319999999997</v>
          </cell>
          <cell r="DH64">
            <v>12.854813333333331</v>
          </cell>
          <cell r="DI64">
            <v>257.09626666666662</v>
          </cell>
          <cell r="DJ64">
            <v>285.91503454571716</v>
          </cell>
          <cell r="DK64">
            <v>-166.73261847734977</v>
          </cell>
          <cell r="DL64">
            <v>376.27868273503407</v>
          </cell>
          <cell r="DN64">
            <v>416.43518273503435</v>
          </cell>
          <cell r="DO64">
            <v>-266.28185847734983</v>
          </cell>
          <cell r="DQ64">
            <v>-8.2382289440000065</v>
          </cell>
          <cell r="DR64">
            <v>100.10433947800004</v>
          </cell>
          <cell r="DS64">
            <v>-7.3727999999999998</v>
          </cell>
          <cell r="DT64">
            <v>34.922850830000002</v>
          </cell>
          <cell r="DU64">
            <v>3.5917003640000047</v>
          </cell>
          <cell r="DV64">
            <v>-7.8023999999999987</v>
          </cell>
          <cell r="DW64">
            <v>23.558041807999999</v>
          </cell>
          <cell r="DX64">
            <v>-5.3223999999999982</v>
          </cell>
          <cell r="DY64">
            <v>96.596820539999982</v>
          </cell>
          <cell r="DZ64">
            <v>42.638156185999989</v>
          </cell>
          <cell r="EA64">
            <v>29.015567877999985</v>
          </cell>
          <cell r="EB64">
            <v>-5.2728000000000002</v>
          </cell>
          <cell r="EC64">
            <v>-17.673401058</v>
          </cell>
          <cell r="ED64">
            <v>23.63372754000001</v>
          </cell>
          <cell r="EE64">
            <v>-2.2637654599999948</v>
          </cell>
          <cell r="EF64">
            <v>26.529450340000011</v>
          </cell>
          <cell r="EG64">
            <v>21.298244020000006</v>
          </cell>
          <cell r="EH64">
            <v>-7.0583999999999989</v>
          </cell>
          <cell r="EI64">
            <v>288.23151319999999</v>
          </cell>
          <cell r="EJ64">
            <v>-12.418284359199987</v>
          </cell>
          <cell r="EK64">
            <v>-37.153488341639999</v>
          </cell>
          <cell r="EL64">
            <v>262.15383762485999</v>
          </cell>
          <cell r="EM64">
            <v>-4.7191495952999816</v>
          </cell>
          <cell r="EN64">
            <v>22.628569504360016</v>
          </cell>
          <cell r="EO64">
            <v>52.368451482919994</v>
          </cell>
          <cell r="EQ64">
            <v>36.47904612152</v>
          </cell>
          <cell r="ER64">
            <v>911.97615303800001</v>
          </cell>
          <cell r="ES64">
            <v>166.73261847734977</v>
          </cell>
          <cell r="ET64">
            <v>-70.449721715880514</v>
          </cell>
          <cell r="EU64">
            <v>1008.2590497994693</v>
          </cell>
          <cell r="EW64">
            <v>12.837569065799997</v>
          </cell>
          <cell r="EX64">
            <v>10.369597113499999</v>
          </cell>
          <cell r="EY64">
            <v>-15.083304383680002</v>
          </cell>
          <cell r="EZ64">
            <v>-12.975577740000006</v>
          </cell>
          <cell r="FA64">
            <v>158.79360120210001</v>
          </cell>
          <cell r="FB64">
            <v>-38.864127999999994</v>
          </cell>
          <cell r="FC64">
            <v>4.5513013489799974</v>
          </cell>
          <cell r="FD64">
            <v>-28.314014113079963</v>
          </cell>
          <cell r="FE64">
            <v>326.79825583302005</v>
          </cell>
          <cell r="FG64">
            <v>-8.5542341512200082</v>
          </cell>
          <cell r="FI64">
            <v>1005.9262122994696</v>
          </cell>
          <cell r="FJ64">
            <v>-97.491046034220574</v>
          </cell>
          <cell r="FL64">
            <v>258.86082000000005</v>
          </cell>
          <cell r="FM64">
            <v>261.95489999999978</v>
          </cell>
          <cell r="FN64">
            <v>562.13691600000004</v>
          </cell>
          <cell r="FO64">
            <v>257.09626666666662</v>
          </cell>
          <cell r="FQ64">
            <v>12.326705714285717</v>
          </cell>
          <cell r="FR64">
            <v>11.907040909090899</v>
          </cell>
          <cell r="FS64">
            <v>26.768424571428575</v>
          </cell>
          <cell r="FT64">
            <v>12.854813333333331</v>
          </cell>
          <cell r="FW64">
            <v>-19.427349144659999</v>
          </cell>
          <cell r="FX64">
            <v>-44.509699768670224</v>
          </cell>
          <cell r="FY64">
            <v>-58.347999999999985</v>
          </cell>
          <cell r="FZ64">
            <v>-58.347999999999985</v>
          </cell>
          <cell r="GA64">
            <v>-58.347999999999985</v>
          </cell>
          <cell r="GB64">
            <v>-58.347999999999985</v>
          </cell>
          <cell r="GC64">
            <v>-58.347999999999985</v>
          </cell>
        </row>
        <row r="66">
          <cell r="A66" t="str">
            <v>Distribution Films</v>
          </cell>
        </row>
        <row r="67">
          <cell r="A67" t="str">
            <v>Distribution Advance</v>
          </cell>
          <cell r="BL67">
            <v>35</v>
          </cell>
          <cell r="BW67">
            <v>35</v>
          </cell>
          <cell r="DF67">
            <v>35</v>
          </cell>
        </row>
        <row r="68">
          <cell r="A68" t="str">
            <v>Distribution Advance Recoupment</v>
          </cell>
          <cell r="BL68">
            <v>35</v>
          </cell>
          <cell r="BW68">
            <v>35</v>
          </cell>
          <cell r="DF68">
            <v>35</v>
          </cell>
        </row>
        <row r="69">
          <cell r="A69" t="str">
            <v>Net Loss on Advance</v>
          </cell>
          <cell r="BL69">
            <v>0</v>
          </cell>
          <cell r="BW69">
            <v>0</v>
          </cell>
          <cell r="DF69">
            <v>0</v>
          </cell>
        </row>
        <row r="71">
          <cell r="A71" t="str">
            <v>Distribution Fee %</v>
          </cell>
          <cell r="BL71">
            <v>0.14000000000000001</v>
          </cell>
          <cell r="BW71">
            <v>0.14000000000000001</v>
          </cell>
          <cell r="DF71">
            <v>0.14000000000000001</v>
          </cell>
        </row>
        <row r="72">
          <cell r="A72" t="str">
            <v>Distribution Fees</v>
          </cell>
          <cell r="BL72">
            <v>16.78838</v>
          </cell>
          <cell r="BW72">
            <v>6.5480800000000015</v>
          </cell>
          <cell r="DF72">
            <v>64.471119999999999</v>
          </cell>
        </row>
        <row r="73">
          <cell r="A73" t="str">
            <v>Distribution  Costs</v>
          </cell>
          <cell r="BL73">
            <v>-11.991700000000002</v>
          </cell>
          <cell r="BW73">
            <v>-4.6772000000000009</v>
          </cell>
          <cell r="DF73">
            <v>-46.050800000000002</v>
          </cell>
        </row>
        <row r="74">
          <cell r="A74" t="str">
            <v>Net Fee</v>
          </cell>
          <cell r="BL74">
            <v>4.7966799999999985</v>
          </cell>
          <cell r="BW74">
            <v>1.8708800000000005</v>
          </cell>
          <cell r="DF74">
            <v>18.420319999999997</v>
          </cell>
        </row>
        <row r="76">
          <cell r="A76" t="str">
            <v>Fox Profit</v>
          </cell>
          <cell r="BL76">
            <v>4.7966799999999985</v>
          </cell>
          <cell r="BW76">
            <v>1.8708800000000005</v>
          </cell>
          <cell r="DF76">
            <v>18.420319999999997</v>
          </cell>
        </row>
        <row r="78">
          <cell r="A78" t="str">
            <v>Joint Venture Films</v>
          </cell>
        </row>
        <row r="79">
          <cell r="A79" t="str">
            <v>Fox Ownership %</v>
          </cell>
          <cell r="X79">
            <v>0.5</v>
          </cell>
          <cell r="BH79">
            <v>0.5</v>
          </cell>
          <cell r="BM79">
            <v>0.5</v>
          </cell>
          <cell r="CL79">
            <v>0.5</v>
          </cell>
          <cell r="DC79">
            <v>0.66666666666666663</v>
          </cell>
        </row>
        <row r="80">
          <cell r="A80" t="str">
            <v>Share of Losses Before Fees</v>
          </cell>
          <cell r="X80">
            <v>43.494400000000013</v>
          </cell>
          <cell r="BH80">
            <v>1.0069999999999908</v>
          </cell>
          <cell r="BM80">
            <v>-0.89900000000002933</v>
          </cell>
          <cell r="CL80">
            <v>22.3369</v>
          </cell>
          <cell r="DC80">
            <v>-23.763733333333334</v>
          </cell>
        </row>
        <row r="82">
          <cell r="A82" t="str">
            <v>Distribution Fee %</v>
          </cell>
          <cell r="X82">
            <v>0.12</v>
          </cell>
          <cell r="BH82">
            <v>0.12</v>
          </cell>
          <cell r="BM82">
            <v>0.12</v>
          </cell>
          <cell r="CL82">
            <v>0.12</v>
          </cell>
          <cell r="DC82">
            <v>0.12</v>
          </cell>
        </row>
        <row r="83">
          <cell r="A83" t="str">
            <v>Distribution Fees</v>
          </cell>
          <cell r="X83">
            <v>52.289519999999996</v>
          </cell>
          <cell r="BH83">
            <v>27.909719999999997</v>
          </cell>
          <cell r="BM83">
            <v>35.989199999999997</v>
          </cell>
          <cell r="CL83">
            <v>9.1675199999999997</v>
          </cell>
          <cell r="DC83">
            <v>32.283360000000002</v>
          </cell>
        </row>
        <row r="84">
          <cell r="A84" t="str">
            <v>Distribution  Costs</v>
          </cell>
          <cell r="X84">
            <v>-25.214600000000001</v>
          </cell>
          <cell r="BH84">
            <v>-13.806100000000001</v>
          </cell>
          <cell r="BM84">
            <v>-16.050999999999998</v>
          </cell>
          <cell r="CL84">
            <v>-3.2195999999999998</v>
          </cell>
          <cell r="DC84">
            <v>-15.982800000000005</v>
          </cell>
        </row>
        <row r="85">
          <cell r="A85" t="str">
            <v>Net Fee</v>
          </cell>
          <cell r="X85">
            <v>27.074919999999995</v>
          </cell>
          <cell r="BH85">
            <v>14.103619999999996</v>
          </cell>
          <cell r="BM85">
            <v>19.938199999999998</v>
          </cell>
          <cell r="CL85">
            <v>5.9479199999999999</v>
          </cell>
          <cell r="DC85">
            <v>16.300559999999997</v>
          </cell>
        </row>
        <row r="87">
          <cell r="A87" t="str">
            <v>Fox Profit</v>
          </cell>
          <cell r="X87">
            <v>70.569320000000005</v>
          </cell>
          <cell r="BH87">
            <v>15.110619999999987</v>
          </cell>
          <cell r="BM87">
            <v>19.039199999999969</v>
          </cell>
          <cell r="CL87">
            <v>28.28482</v>
          </cell>
          <cell r="DC87">
            <v>-7.4631733333333372</v>
          </cell>
        </row>
        <row r="89">
          <cell r="A89" t="str">
            <v>Fox Investment</v>
          </cell>
          <cell r="D89">
            <v>45</v>
          </cell>
          <cell r="E89">
            <v>25</v>
          </cell>
          <cell r="F89">
            <v>115</v>
          </cell>
          <cell r="G89">
            <v>20</v>
          </cell>
          <cell r="H89">
            <v>30</v>
          </cell>
          <cell r="I89">
            <v>30</v>
          </cell>
          <cell r="J89">
            <v>20</v>
          </cell>
          <cell r="K89">
            <v>30</v>
          </cell>
          <cell r="L89">
            <v>20</v>
          </cell>
          <cell r="M89">
            <v>35</v>
          </cell>
          <cell r="N89">
            <v>30</v>
          </cell>
          <cell r="O89">
            <v>30</v>
          </cell>
          <cell r="P89">
            <v>20</v>
          </cell>
          <cell r="Q89">
            <v>20</v>
          </cell>
          <cell r="R89">
            <v>3</v>
          </cell>
          <cell r="S89">
            <v>1</v>
          </cell>
          <cell r="T89">
            <v>85</v>
          </cell>
          <cell r="U89">
            <v>20</v>
          </cell>
          <cell r="V89">
            <v>20</v>
          </cell>
          <cell r="W89">
            <v>40</v>
          </cell>
          <cell r="X89">
            <v>50</v>
          </cell>
          <cell r="Y89">
            <v>32.80952380952381</v>
          </cell>
          <cell r="Z89">
            <v>689</v>
          </cell>
          <cell r="AE89">
            <v>10</v>
          </cell>
          <cell r="AF89">
            <v>20</v>
          </cell>
          <cell r="AG89">
            <v>10</v>
          </cell>
          <cell r="AH89">
            <v>20</v>
          </cell>
          <cell r="AI89">
            <v>15</v>
          </cell>
          <cell r="AJ89">
            <v>15</v>
          </cell>
          <cell r="AK89">
            <v>55</v>
          </cell>
          <cell r="AL89">
            <v>25</v>
          </cell>
          <cell r="AM89">
            <v>25</v>
          </cell>
          <cell r="AN89">
            <v>20</v>
          </cell>
          <cell r="AO89">
            <v>85</v>
          </cell>
          <cell r="AP89">
            <v>5</v>
          </cell>
          <cell r="AQ89">
            <v>5</v>
          </cell>
          <cell r="AR89">
            <v>20</v>
          </cell>
          <cell r="AS89">
            <v>10</v>
          </cell>
          <cell r="AT89">
            <v>120</v>
          </cell>
          <cell r="AU89">
            <v>3</v>
          </cell>
          <cell r="AV89">
            <v>35</v>
          </cell>
          <cell r="AW89">
            <v>5</v>
          </cell>
          <cell r="AX89">
            <v>5</v>
          </cell>
          <cell r="AY89">
            <v>15</v>
          </cell>
          <cell r="AZ89">
            <v>15</v>
          </cell>
          <cell r="BA89">
            <v>24.454545454545453</v>
          </cell>
          <cell r="BB89">
            <v>538</v>
          </cell>
          <cell r="BH89">
            <v>39</v>
          </cell>
          <cell r="BI89">
            <v>15</v>
          </cell>
          <cell r="BJ89">
            <v>2</v>
          </cell>
          <cell r="BK89">
            <v>30</v>
          </cell>
          <cell r="BL89">
            <v>35</v>
          </cell>
          <cell r="BM89">
            <v>62.5</v>
          </cell>
          <cell r="BN89">
            <v>10</v>
          </cell>
          <cell r="BO89">
            <v>30</v>
          </cell>
          <cell r="BP89">
            <v>40</v>
          </cell>
          <cell r="BQ89">
            <v>12</v>
          </cell>
          <cell r="BR89">
            <v>15</v>
          </cell>
          <cell r="BS89">
            <v>15</v>
          </cell>
          <cell r="BT89">
            <v>9</v>
          </cell>
          <cell r="BU89">
            <v>10</v>
          </cell>
          <cell r="BV89">
            <v>12</v>
          </cell>
          <cell r="BW89">
            <v>35</v>
          </cell>
          <cell r="BX89">
            <v>50</v>
          </cell>
          <cell r="BY89">
            <v>125</v>
          </cell>
          <cell r="BZ89">
            <v>50</v>
          </cell>
          <cell r="CA89">
            <v>5</v>
          </cell>
          <cell r="CB89">
            <v>20</v>
          </cell>
          <cell r="CC89">
            <v>29.595238095238095</v>
          </cell>
          <cell r="CD89">
            <v>621.5</v>
          </cell>
          <cell r="CJ89">
            <v>15</v>
          </cell>
          <cell r="CK89">
            <v>120</v>
          </cell>
          <cell r="CL89">
            <v>1.25</v>
          </cell>
          <cell r="CM89">
            <v>60</v>
          </cell>
          <cell r="CN89">
            <v>15</v>
          </cell>
          <cell r="CO89">
            <v>15</v>
          </cell>
          <cell r="CP89">
            <v>20</v>
          </cell>
          <cell r="CQ89">
            <v>25</v>
          </cell>
          <cell r="CR89">
            <v>16</v>
          </cell>
          <cell r="CS89">
            <v>11</v>
          </cell>
          <cell r="CT89">
            <v>45</v>
          </cell>
          <cell r="CU89">
            <v>30</v>
          </cell>
          <cell r="CV89">
            <v>30</v>
          </cell>
          <cell r="CW89">
            <v>30</v>
          </cell>
          <cell r="CX89">
            <v>14</v>
          </cell>
          <cell r="CY89">
            <v>10</v>
          </cell>
          <cell r="CZ89">
            <v>75</v>
          </cell>
          <cell r="DA89">
            <v>10</v>
          </cell>
          <cell r="DB89">
            <v>30</v>
          </cell>
          <cell r="DC89">
            <v>86.666666666666657</v>
          </cell>
          <cell r="DE89">
            <v>113</v>
          </cell>
          <cell r="DF89">
            <v>35</v>
          </cell>
          <cell r="DH89">
            <v>32.945833333333333</v>
          </cell>
          <cell r="DI89">
            <v>658.91666666666663</v>
          </cell>
          <cell r="DQ89">
            <v>15</v>
          </cell>
          <cell r="DR89">
            <v>80</v>
          </cell>
          <cell r="DS89">
            <v>10</v>
          </cell>
          <cell r="DT89">
            <v>18</v>
          </cell>
          <cell r="DU89">
            <v>10</v>
          </cell>
          <cell r="DV89">
            <v>10</v>
          </cell>
          <cell r="DW89">
            <v>20</v>
          </cell>
          <cell r="DX89">
            <v>10</v>
          </cell>
          <cell r="DY89">
            <v>28</v>
          </cell>
          <cell r="DZ89">
            <v>18</v>
          </cell>
          <cell r="EA89">
            <v>40</v>
          </cell>
          <cell r="EB89">
            <v>10</v>
          </cell>
          <cell r="EC89">
            <v>20</v>
          </cell>
          <cell r="ED89">
            <v>40</v>
          </cell>
          <cell r="EE89">
            <v>15</v>
          </cell>
          <cell r="EF89">
            <v>20</v>
          </cell>
          <cell r="EG89">
            <v>15</v>
          </cell>
          <cell r="EH89">
            <v>10</v>
          </cell>
          <cell r="EI89">
            <v>70</v>
          </cell>
          <cell r="EJ89">
            <v>35.174999999999997</v>
          </cell>
          <cell r="EK89">
            <v>35.174999999999997</v>
          </cell>
          <cell r="EL89">
            <v>35.174999999999997</v>
          </cell>
          <cell r="EM89">
            <v>35.174999999999997</v>
          </cell>
          <cell r="EN89">
            <v>35.174999999999997</v>
          </cell>
          <cell r="EO89">
            <v>35.174999999999997</v>
          </cell>
          <cell r="EQ89">
            <v>26.801999999999992</v>
          </cell>
          <cell r="ER89">
            <v>670.04999999999984</v>
          </cell>
          <cell r="EW89">
            <v>15</v>
          </cell>
          <cell r="EX89">
            <v>20</v>
          </cell>
          <cell r="EY89">
            <v>20</v>
          </cell>
          <cell r="EZ89">
            <v>20</v>
          </cell>
          <cell r="FA89">
            <v>18</v>
          </cell>
          <cell r="FB89">
            <v>35</v>
          </cell>
          <cell r="FC89">
            <v>20</v>
          </cell>
          <cell r="FD89">
            <v>100</v>
          </cell>
          <cell r="FE89">
            <v>20</v>
          </cell>
          <cell r="FG89">
            <v>15</v>
          </cell>
          <cell r="FL89">
            <v>689</v>
          </cell>
          <cell r="FM89">
            <v>538</v>
          </cell>
          <cell r="FN89">
            <v>621.5</v>
          </cell>
          <cell r="FO89">
            <v>658.91666666666663</v>
          </cell>
          <cell r="FQ89">
            <v>32.80952380952381</v>
          </cell>
          <cell r="FR89">
            <v>24.454545454545453</v>
          </cell>
          <cell r="FS89">
            <v>29.595238095238095</v>
          </cell>
          <cell r="FT89">
            <v>32.945833333333333</v>
          </cell>
          <cell r="FW89">
            <v>35</v>
          </cell>
          <cell r="FX89">
            <v>35</v>
          </cell>
          <cell r="FY89">
            <v>35</v>
          </cell>
          <cell r="FZ89">
            <v>35</v>
          </cell>
          <cell r="GA89">
            <v>35</v>
          </cell>
          <cell r="GB89">
            <v>35</v>
          </cell>
          <cell r="GC89">
            <v>35</v>
          </cell>
        </row>
        <row r="91">
          <cell r="A91" t="str">
            <v>(in millions)</v>
          </cell>
        </row>
        <row r="92">
          <cell r="A92" t="str">
            <v>F2002 Film Slate IRR</v>
          </cell>
        </row>
        <row r="93">
          <cell r="A93" t="str">
            <v>Total Film Slate Investment</v>
          </cell>
          <cell r="C93">
            <v>599.36644813447742</v>
          </cell>
        </row>
        <row r="95">
          <cell r="A95" t="str">
            <v>(in millions)</v>
          </cell>
          <cell r="C95" t="str">
            <v>-18-6months</v>
          </cell>
          <cell r="D95" t="str">
            <v>+/- 6 months</v>
          </cell>
          <cell r="E95" t="str">
            <v>24-36 months</v>
          </cell>
          <cell r="F95" t="str">
            <v>-6-12 months</v>
          </cell>
          <cell r="I95" t="str">
            <v>12-18 months</v>
          </cell>
        </row>
        <row r="96">
          <cell r="A96" t="str">
            <v>Negative Costs</v>
          </cell>
          <cell r="C96">
            <v>-209.7782568470671</v>
          </cell>
          <cell r="D96">
            <v>-389.58819128741033</v>
          </cell>
        </row>
        <row r="98">
          <cell r="A98" t="str">
            <v>Revenue</v>
          </cell>
          <cell r="D98">
            <v>922.49080000000015</v>
          </cell>
          <cell r="E98">
            <v>212.61002678619798</v>
          </cell>
          <cell r="F98">
            <v>462.32399999999973</v>
          </cell>
          <cell r="I98">
            <v>212.61002678619798</v>
          </cell>
          <cell r="J98">
            <v>-333.45925357239639</v>
          </cell>
          <cell r="K98">
            <v>1476.5755999999992</v>
          </cell>
        </row>
        <row r="99">
          <cell r="A99" t="str">
            <v>Direct Costs</v>
          </cell>
          <cell r="D99">
            <v>1105.0277945332102</v>
          </cell>
          <cell r="E99">
            <v>104.35707540275435</v>
          </cell>
          <cell r="F99">
            <v>423.08213127158677</v>
          </cell>
          <cell r="I99">
            <v>104.35707540275435</v>
          </cell>
          <cell r="K99">
            <v>2639.9306999999999</v>
          </cell>
          <cell r="N99">
            <v>903.10662338969405</v>
          </cell>
        </row>
        <row r="100">
          <cell r="A100" t="str">
            <v>% of Revenue</v>
          </cell>
          <cell r="D100">
            <v>1.1978740541729089</v>
          </cell>
          <cell r="E100">
            <v>0.49083797683585495</v>
          </cell>
          <cell r="F100">
            <v>0.91512041614016804</v>
          </cell>
          <cell r="I100">
            <v>0.49083797683585495</v>
          </cell>
        </row>
        <row r="101">
          <cell r="A101" t="str">
            <v>Film Slate EBIT</v>
          </cell>
          <cell r="D101">
            <v>-182.53699453321008</v>
          </cell>
          <cell r="E101">
            <v>108.25295138344363</v>
          </cell>
          <cell r="F101">
            <v>39.241868728412953</v>
          </cell>
          <cell r="I101">
            <v>108.25295138344363</v>
          </cell>
          <cell r="K101">
            <v>302.48750000000007</v>
          </cell>
          <cell r="N101">
            <v>229.27672303790993</v>
          </cell>
        </row>
        <row r="102">
          <cell r="A102" t="str">
            <v>G&amp;A</v>
          </cell>
          <cell r="C102">
            <v>25</v>
          </cell>
          <cell r="D102">
            <v>25</v>
          </cell>
          <cell r="E102">
            <v>25</v>
          </cell>
          <cell r="F102">
            <v>25</v>
          </cell>
          <cell r="I102">
            <v>25</v>
          </cell>
          <cell r="K102">
            <v>-125</v>
          </cell>
          <cell r="N102">
            <v>0</v>
          </cell>
        </row>
        <row r="103">
          <cell r="A103" t="str">
            <v>Film EBIT</v>
          </cell>
          <cell r="C103">
            <v>-25</v>
          </cell>
          <cell r="D103">
            <v>-207.53699453321008</v>
          </cell>
          <cell r="E103">
            <v>83.25295138344363</v>
          </cell>
          <cell r="F103">
            <v>14.241868728412953</v>
          </cell>
          <cell r="I103">
            <v>83.25295138344363</v>
          </cell>
        </row>
        <row r="104">
          <cell r="A104" t="str">
            <v>Implied Tax</v>
          </cell>
          <cell r="C104">
            <v>10</v>
          </cell>
          <cell r="D104">
            <v>83.014797813284034</v>
          </cell>
          <cell r="E104">
            <v>-33.301180553377456</v>
          </cell>
          <cell r="F104">
            <v>-5.6967474913651817</v>
          </cell>
          <cell r="I104">
            <v>-33.301180553377456</v>
          </cell>
        </row>
        <row r="105">
          <cell r="A105" t="str">
            <v>Add Back Amortization</v>
          </cell>
          <cell r="C105">
            <v>0</v>
          </cell>
          <cell r="D105">
            <v>305.46927488245632</v>
          </cell>
          <cell r="E105">
            <v>70.40268663396914</v>
          </cell>
          <cell r="F105">
            <v>153.09179998408291</v>
          </cell>
          <cell r="I105">
            <v>70.40268663396914</v>
          </cell>
          <cell r="K105">
            <v>599.36644813447742</v>
          </cell>
          <cell r="N105">
            <v>0</v>
          </cell>
        </row>
        <row r="106">
          <cell r="A106" t="str">
            <v>Current Cash Flow</v>
          </cell>
          <cell r="C106">
            <v>-15</v>
          </cell>
          <cell r="D106">
            <v>180.94707816253026</v>
          </cell>
          <cell r="E106">
            <v>120.35445746403531</v>
          </cell>
          <cell r="F106">
            <v>161.63692122113068</v>
          </cell>
          <cell r="I106">
            <v>120.35445746403531</v>
          </cell>
        </row>
        <row r="108">
          <cell r="A108" t="str">
            <v>Net Cash Flow</v>
          </cell>
          <cell r="C108">
            <v>-224.7782568470671</v>
          </cell>
          <cell r="D108">
            <v>-208.64111312488006</v>
          </cell>
          <cell r="E108">
            <v>120.35445746403531</v>
          </cell>
          <cell r="F108">
            <v>161.63692122113068</v>
          </cell>
          <cell r="I108">
            <v>120.35445746403531</v>
          </cell>
        </row>
        <row r="110">
          <cell r="A110" t="str">
            <v>F2002 Film Slate IRR</v>
          </cell>
          <cell r="C110">
            <v>-2.9047222717247703E-2</v>
          </cell>
        </row>
        <row r="112">
          <cell r="A112" t="str">
            <v>(In millions)</v>
          </cell>
        </row>
        <row r="113">
          <cell r="A113" t="str">
            <v>F2003 Film Slate IRR</v>
          </cell>
        </row>
        <row r="114">
          <cell r="A114" t="str">
            <v>Total Film Slate Investment</v>
          </cell>
          <cell r="C114">
            <v>508</v>
          </cell>
        </row>
        <row r="116">
          <cell r="A116" t="str">
            <v>Time Relative to Release Date</v>
          </cell>
          <cell r="C116" t="str">
            <v>-18-6months</v>
          </cell>
          <cell r="D116" t="str">
            <v>+/- 6 months</v>
          </cell>
          <cell r="E116" t="str">
            <v>24-36 months</v>
          </cell>
          <cell r="F116" t="str">
            <v>-6-12 months</v>
          </cell>
          <cell r="I116" t="str">
            <v>12-18 months</v>
          </cell>
        </row>
        <row r="117">
          <cell r="A117" t="str">
            <v>Negative Costs</v>
          </cell>
          <cell r="C117">
            <v>-177.79999999999998</v>
          </cell>
          <cell r="D117">
            <v>-330.20000000000005</v>
          </cell>
        </row>
        <row r="119">
          <cell r="A119" t="str">
            <v>Revenue</v>
          </cell>
          <cell r="C119">
            <v>0</v>
          </cell>
          <cell r="D119">
            <v>651.47500000000002</v>
          </cell>
          <cell r="E119">
            <v>203.50450000000004</v>
          </cell>
          <cell r="F119">
            <v>997.28599999999983</v>
          </cell>
          <cell r="I119">
            <v>203.50450000000004</v>
          </cell>
        </row>
        <row r="120">
          <cell r="A120" t="str">
            <v>Direct Costs</v>
          </cell>
          <cell r="D120">
            <v>807.90624555863383</v>
          </cell>
          <cell r="E120">
            <v>103.80007716000109</v>
          </cell>
          <cell r="F120">
            <v>801.59714350031572</v>
          </cell>
          <cell r="I120">
            <v>103.80007716000109</v>
          </cell>
          <cell r="K120">
            <v>1809.8001399999998</v>
          </cell>
          <cell r="N120">
            <v>-7.3034033789519981</v>
          </cell>
        </row>
        <row r="121">
          <cell r="A121" t="str">
            <v>% of Revenue</v>
          </cell>
          <cell r="D121">
            <v>1.240118570257698</v>
          </cell>
          <cell r="E121">
            <v>0.51006281020813338</v>
          </cell>
          <cell r="F121">
            <v>0.80377859861696233</v>
          </cell>
          <cell r="I121">
            <v>0.51006281020813338</v>
          </cell>
        </row>
        <row r="122">
          <cell r="A122" t="str">
            <v>Film Slate EBIT</v>
          </cell>
          <cell r="D122">
            <v>-156.4312455586338</v>
          </cell>
          <cell r="E122">
            <v>99.704422839998941</v>
          </cell>
          <cell r="F122">
            <v>195.68885649968411</v>
          </cell>
          <cell r="I122">
            <v>99.704422839998941</v>
          </cell>
          <cell r="K122">
            <v>245.96985999999978</v>
          </cell>
          <cell r="N122">
            <v>7.3034033789516286</v>
          </cell>
        </row>
        <row r="123">
          <cell r="A123" t="str">
            <v>G&amp;A</v>
          </cell>
          <cell r="C123">
            <v>26</v>
          </cell>
          <cell r="D123">
            <v>26</v>
          </cell>
          <cell r="E123">
            <v>26</v>
          </cell>
          <cell r="F123">
            <v>26</v>
          </cell>
          <cell r="I123">
            <v>26</v>
          </cell>
          <cell r="K123">
            <v>130</v>
          </cell>
          <cell r="N123">
            <v>0</v>
          </cell>
        </row>
        <row r="124">
          <cell r="A124" t="str">
            <v>Film EBIT</v>
          </cell>
          <cell r="C124">
            <v>-26</v>
          </cell>
          <cell r="D124">
            <v>-182.4312455586338</v>
          </cell>
          <cell r="E124">
            <v>73.704422839998941</v>
          </cell>
          <cell r="F124">
            <v>169.68885649968411</v>
          </cell>
          <cell r="I124">
            <v>73.704422839998941</v>
          </cell>
        </row>
        <row r="125">
          <cell r="A125" t="str">
            <v>Implied Tax</v>
          </cell>
          <cell r="C125">
            <v>10.4</v>
          </cell>
          <cell r="D125">
            <v>72.972498223453528</v>
          </cell>
          <cell r="E125">
            <v>-29.481769135999578</v>
          </cell>
          <cell r="F125">
            <v>-67.87554259987364</v>
          </cell>
          <cell r="I125">
            <v>-29.481769135999578</v>
          </cell>
        </row>
        <row r="126">
          <cell r="A126" t="str">
            <v>Add Back Amortization</v>
          </cell>
          <cell r="C126">
            <v>0</v>
          </cell>
          <cell r="D126">
            <v>161.32046335955928</v>
          </cell>
          <cell r="E126">
            <v>50.392478968119171</v>
          </cell>
          <cell r="F126">
            <v>246.95136363176087</v>
          </cell>
          <cell r="I126">
            <v>50.392478968119171</v>
          </cell>
          <cell r="K126">
            <v>508</v>
          </cell>
          <cell r="N126">
            <v>-1.0567849275585104</v>
          </cell>
        </row>
        <row r="127">
          <cell r="A127" t="str">
            <v>Current Cash Flow</v>
          </cell>
          <cell r="C127">
            <v>-15.6</v>
          </cell>
          <cell r="D127">
            <v>51.861716024379007</v>
          </cell>
          <cell r="E127">
            <v>94.615132672118534</v>
          </cell>
          <cell r="F127">
            <v>348.76467753157135</v>
          </cell>
          <cell r="I127">
            <v>94.615132672118534</v>
          </cell>
        </row>
        <row r="129">
          <cell r="A129" t="str">
            <v>Net Cash Flow</v>
          </cell>
          <cell r="C129">
            <v>-193.39999999999998</v>
          </cell>
          <cell r="D129">
            <v>-278.33828397562104</v>
          </cell>
          <cell r="E129">
            <v>94.615132672118534</v>
          </cell>
          <cell r="F129">
            <v>348.76467753157135</v>
          </cell>
          <cell r="I129">
            <v>94.615132672118534</v>
          </cell>
        </row>
        <row r="131">
          <cell r="A131" t="str">
            <v>F2003 Film Slate IRR</v>
          </cell>
          <cell r="C131">
            <v>5.6119336868760597E-2</v>
          </cell>
        </row>
        <row r="133">
          <cell r="A133" t="str">
            <v>X-Men II IRR</v>
          </cell>
        </row>
        <row r="134">
          <cell r="A134" t="str">
            <v>Negative Cost</v>
          </cell>
          <cell r="C134">
            <v>-42</v>
          </cell>
          <cell r="D134">
            <v>-78</v>
          </cell>
        </row>
        <row r="135">
          <cell r="A135" t="str">
            <v>Revenue</v>
          </cell>
          <cell r="D135">
            <v>203.25</v>
          </cell>
          <cell r="E135">
            <v>39.39</v>
          </cell>
          <cell r="F135">
            <v>266.89999999999998</v>
          </cell>
          <cell r="I135">
            <v>39.39</v>
          </cell>
        </row>
        <row r="136">
          <cell r="A136" t="str">
            <v>Margin</v>
          </cell>
          <cell r="D136">
            <v>-0.10901301243351469</v>
          </cell>
          <cell r="E136">
            <v>0.48139289162552601</v>
          </cell>
          <cell r="F136">
            <v>0.17252440155433835</v>
          </cell>
          <cell r="I136">
            <v>0.48139289162552601</v>
          </cell>
        </row>
        <row r="137">
          <cell r="A137" t="str">
            <v>Film EBIT</v>
          </cell>
          <cell r="D137">
            <v>-22.156894777111859</v>
          </cell>
          <cell r="E137">
            <v>18.962066001129468</v>
          </cell>
          <cell r="F137">
            <v>46.046762774852901</v>
          </cell>
          <cell r="I137">
            <v>18.962066001129468</v>
          </cell>
          <cell r="K137">
            <v>61.813999999999851</v>
          </cell>
          <cell r="N137">
            <v>-1.2789769243681803E-13</v>
          </cell>
        </row>
        <row r="138">
          <cell r="A138" t="str">
            <v>G&amp;A</v>
          </cell>
          <cell r="C138">
            <v>5</v>
          </cell>
          <cell r="D138">
            <v>5</v>
          </cell>
          <cell r="E138">
            <v>5</v>
          </cell>
          <cell r="F138">
            <v>5</v>
          </cell>
          <cell r="I138">
            <v>5</v>
          </cell>
          <cell r="K138">
            <v>25</v>
          </cell>
          <cell r="N138">
            <v>0</v>
          </cell>
        </row>
        <row r="139">
          <cell r="A139" t="str">
            <v>Implied Tax</v>
          </cell>
          <cell r="C139">
            <v>-2</v>
          </cell>
          <cell r="D139">
            <v>-10.862757910844744</v>
          </cell>
          <cell r="E139">
            <v>5.5848264004517878</v>
          </cell>
          <cell r="F139">
            <v>16.418705109941161</v>
          </cell>
          <cell r="I139">
            <v>5.5848264004517878</v>
          </cell>
        </row>
        <row r="140">
          <cell r="A140" t="str">
            <v>Add Back Amortization</v>
          </cell>
          <cell r="C140">
            <v>0</v>
          </cell>
          <cell r="D140">
            <v>44.431894777111843</v>
          </cell>
          <cell r="E140">
            <v>8.6109339988705305</v>
          </cell>
          <cell r="F140">
            <v>58.346237225147107</v>
          </cell>
          <cell r="I140">
            <v>8.6109339988705305</v>
          </cell>
        </row>
        <row r="141">
          <cell r="A141" t="str">
            <v>Current Cash Flow</v>
          </cell>
          <cell r="C141">
            <v>-3</v>
          </cell>
          <cell r="D141">
            <v>28.137757910844726</v>
          </cell>
          <cell r="E141">
            <v>16.988173599548212</v>
          </cell>
          <cell r="F141">
            <v>82.974294890058843</v>
          </cell>
          <cell r="I141">
            <v>16.988173599548212</v>
          </cell>
          <cell r="J141">
            <v>626</v>
          </cell>
        </row>
        <row r="142">
          <cell r="A142" t="str">
            <v>Net Cash Flow</v>
          </cell>
          <cell r="C142">
            <v>-45</v>
          </cell>
          <cell r="D142">
            <v>-49.862242089155274</v>
          </cell>
          <cell r="E142">
            <v>16.988173599548212</v>
          </cell>
          <cell r="F142">
            <v>82.974294890058843</v>
          </cell>
          <cell r="I142">
            <v>16.988173599548212</v>
          </cell>
          <cell r="J142">
            <v>375.59999999999997</v>
          </cell>
        </row>
        <row r="143">
          <cell r="A143" t="str">
            <v>X-Men II IRR</v>
          </cell>
          <cell r="C143">
            <v>8.83436614230967E-2</v>
          </cell>
        </row>
        <row r="145">
          <cell r="A145" t="str">
            <v>Total Cash Flow</v>
          </cell>
          <cell r="C145">
            <v>-193.39999999999998</v>
          </cell>
          <cell r="D145">
            <v>-278.33828397562104</v>
          </cell>
          <cell r="E145">
            <v>94.615132672118534</v>
          </cell>
          <cell r="F145">
            <v>348.76467753157135</v>
          </cell>
          <cell r="I145">
            <v>94.615132672118534</v>
          </cell>
        </row>
        <row r="146">
          <cell r="A146" t="str">
            <v>X-Men II Net Cash Flow</v>
          </cell>
          <cell r="C146">
            <v>-45</v>
          </cell>
          <cell r="D146">
            <v>-49.862242089155274</v>
          </cell>
          <cell r="E146">
            <v>16.988173599548212</v>
          </cell>
          <cell r="F146">
            <v>82.974294890058843</v>
          </cell>
          <cell r="I146">
            <v>16.988173599548212</v>
          </cell>
        </row>
        <row r="147">
          <cell r="A147" t="str">
            <v>Net Cash Flow (ex. Harry Potter)</v>
          </cell>
          <cell r="C147">
            <v>-148.39999999999998</v>
          </cell>
          <cell r="D147">
            <v>-228.47604188646577</v>
          </cell>
          <cell r="E147">
            <v>77.626959072570315</v>
          </cell>
          <cell r="F147">
            <v>265.79038264151251</v>
          </cell>
          <cell r="I147">
            <v>77.626959072570315</v>
          </cell>
        </row>
        <row r="148">
          <cell r="A148" t="str">
            <v>F2003 IRR ex. X-Men II</v>
          </cell>
          <cell r="C148">
            <v>4.7445172817186999E-2</v>
          </cell>
        </row>
        <row r="150">
          <cell r="C150">
            <v>8.6741640515735977E-3</v>
          </cell>
        </row>
      </sheetData>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CircularReferenceAlert"/>
      <sheetName val="Cover"/>
      <sheetName val="MW-Cache"/>
      <sheetName val="__FDSCACHE__"/>
      <sheetName val="MS vs Consensus"/>
      <sheetName val="Valuation"/>
      <sheetName val="IS"/>
      <sheetName val="CFS"/>
      <sheetName val="BS"/>
      <sheetName val="Segments"/>
      <sheetName val="As Reported 06"/>
      <sheetName val="WIN ELNK PRO FORMA"/>
      <sheetName val="Pension"/>
      <sheetName val="OPEB"/>
      <sheetName val="charts 2"/>
      <sheetName val="Charts"/>
      <sheetName val="MW Valuation"/>
      <sheetName val="Sheet2"/>
      <sheetName val="IndexInformation"/>
      <sheetName val="ModPubIndex"/>
      <sheetName val="Segments (OLD)"/>
      <sheetName val="Segments OLD"/>
      <sheetName val="Value"/>
      <sheetName val="Deal Impact"/>
      <sheetName val="Global links"/>
      <sheetName val="Old Links"/>
      <sheetName val="Segments bef CT"/>
      <sheetName val="Valor IS"/>
      <sheetName val="OLD Segments"/>
      <sheetName val="AT Comm Sppt Svs"/>
      <sheetName val="AT Wireline"/>
      <sheetName val="VCG Wireline"/>
      <sheetName val="Cash Taxes"/>
      <sheetName val="Sheet1"/>
      <sheetName val="Links"/>
      <sheetName val="Inputs"/>
      <sheetName val="WIN Morgan Stanley"/>
      <sheetName val="Pensions"/>
      <sheetName val="MWA RR"/>
      <sheetName val="ModPubIndexInternal"/>
      <sheetName val="#REF"/>
      <sheetName val="IS (PF for REIT)"/>
      <sheetName val="Sheet3"/>
    </sheetNames>
    <sheetDataSet>
      <sheetData sheetId="0">
        <row r="2">
          <cell r="A2" t="str">
            <v>1585 Broadway</v>
          </cell>
        </row>
        <row r="3">
          <cell r="A3" t="str">
            <v>New York, NY  10036-8293</v>
          </cell>
        </row>
        <row r="4">
          <cell r="A4" t="str">
            <v>United States</v>
          </cell>
        </row>
        <row r="5">
          <cell r="A5" t="str">
            <v>Tel: +1 (1)212 761 4000</v>
          </cell>
        </row>
        <row r="7">
          <cell r="A7" t="str">
            <v>Authors: Simon Flannery</v>
          </cell>
        </row>
        <row r="8">
          <cell r="A8" t="str">
            <v>Date: 25 Aug 2016</v>
          </cell>
        </row>
        <row r="10">
          <cell r="A10" t="str">
            <v>Ticker: WIN.O</v>
          </cell>
        </row>
        <row r="11">
          <cell r="A11" t="str">
            <v>Stock Rating: Equal-Weight</v>
          </cell>
        </row>
        <row r="12">
          <cell r="A12" t="str">
            <v>Industry: Telecom Services</v>
          </cell>
        </row>
        <row r="13">
          <cell r="A13" t="str">
            <v>Industry View: Cautious</v>
          </cell>
        </row>
        <row r="14">
          <cell r="A14" t="str">
            <v>Price as of 25 Aug 2016: 8.39</v>
          </cell>
        </row>
        <row r="15">
          <cell r="A15" t="str">
            <v>Target Price: 9</v>
          </cell>
        </row>
        <row r="17">
          <cell r="A17" t="str">
            <v>e = Morgan Stanley Research estimates unless otherwise noted</v>
          </cell>
        </row>
        <row r="19">
          <cell r="A19" t="str">
            <v>Source: Morgan Stanley Research unless otherwise noted</v>
          </cell>
        </row>
        <row r="21">
          <cell r="A21" t="str">
            <v>Stocks ratings are relative to the analyst's industry coverage universe.</v>
          </cell>
        </row>
        <row r="23">
          <cell r="A23" t="str">
            <v>Morgan Stanley does and seeks to do business with companies covered in Morgan Stanley Research. As a</v>
          </cell>
        </row>
        <row r="24">
          <cell r="A24" t="str">
            <v>result, investors should be aware that the firm may have a conflict of interest that could affect the</v>
          </cell>
        </row>
        <row r="25">
          <cell r="A25" t="str">
            <v>objectivity of Morgan Stanley Research. Investors should consider Morgan Stanley Research as only a</v>
          </cell>
        </row>
        <row r="26">
          <cell r="A26" t="str">
            <v>single factor in making their investment decision.</v>
          </cell>
        </row>
        <row r="29">
          <cell r="A29" t="str">
            <v>The information and opinions in Morgan Stanley Research were prepared by Morgan Stanley &amp; Co. LLC,</v>
          </cell>
        </row>
        <row r="30">
          <cell r="A30" t="str">
            <v>and/or Morgan Stanley C.T.V.M. S.A., and/or Morgan Stanley Mexico, Casa de Bolsa, S.A. de C.V., and/or</v>
          </cell>
        </row>
        <row r="31">
          <cell r="A31" t="str">
            <v>Morgan Stanley Canada Limited. As used in this disclosure section, "Morgan Stanley" includes Morgan</v>
          </cell>
        </row>
        <row r="32">
          <cell r="A32" t="str">
            <v>Stanley &amp; Co. LLC, Morgan Stanley C.T.V.M. S.A., Morgan Stanley Mexico, Casa de Bolsa, S.A. de C.V.,</v>
          </cell>
        </row>
        <row r="33">
          <cell r="A33" t="str">
            <v>Morgan Stanley Canada Limited and their affiliates as necessary.</v>
          </cell>
        </row>
        <row r="35">
          <cell r="A35" t="str">
            <v>For important disclosures, stock price charts and equity rating histories regarding companies that are</v>
          </cell>
        </row>
        <row r="36">
          <cell r="A36" t="str">
            <v>the subject of this report, please see the Morgan Stanley Research Disclosure Website at</v>
          </cell>
        </row>
        <row r="37">
          <cell r="A37" t="str">
            <v>www.morganstanley.com/researchdisclosures, or contact your investment representative or Morgan Stanley</v>
          </cell>
        </row>
        <row r="38">
          <cell r="A38" t="str">
            <v>Research at 1585 Broadway, (Attention: Research Management), New York, NY, 10036 USA.</v>
          </cell>
        </row>
        <row r="40">
          <cell r="A40" t="str">
            <v>For valuation methodology and risks associated with any recommendation, rating or price target</v>
          </cell>
        </row>
        <row r="41">
          <cell r="A41" t="str">
            <v>referenced in this research report, please contact the Client Support Team as follows: US/Canada +1 800</v>
          </cell>
        </row>
        <row r="42">
          <cell r="A42" t="str">
            <v>303-2495; Hong Kong +852 2848-5999; Latin America +1 718 754-5444 (U.S.); London +44 (0)20-7425-8169;</v>
          </cell>
        </row>
        <row r="43">
          <cell r="A43" t="str">
            <v>Singapore +65 6834-6860; Sydney +61 (0)2-9770-1505; Tokyo +81 (0)3-6836-9000. Alternatively you may</v>
          </cell>
        </row>
        <row r="44">
          <cell r="A44" t="str">
            <v>contact your investment representative or Morgan Stanley Research at 1585 Broadway, (Attention: Research</v>
          </cell>
        </row>
        <row r="45">
          <cell r="A45" t="str">
            <v>Management), New York, NY 10036 USA.</v>
          </cell>
        </row>
        <row r="47">
          <cell r="A47" t="str">
            <v>Analyst Certification</v>
          </cell>
        </row>
        <row r="49">
          <cell r="A49" t="str">
            <v>The following analysts hereby certify that their views about the companies and their securities</v>
          </cell>
        </row>
        <row r="50">
          <cell r="A50" t="str">
            <v>discussed in this report are accurately expressed and that they have not received and will not receive</v>
          </cell>
        </row>
        <row r="51">
          <cell r="A51" t="str">
            <v>direct or indirect compensation in exchange for expressing specific recommendations or views in this</v>
          </cell>
        </row>
        <row r="52">
          <cell r="A52" t="str">
            <v>report: Simon Flannery.</v>
          </cell>
        </row>
        <row r="54">
          <cell r="A54" t="str">
            <v>Unless otherwise stated, the individuals listed on the cover page of this report are research analysts.</v>
          </cell>
        </row>
        <row r="56">
          <cell r="A56" t="str">
            <v>Global Research Conflict Management Policy</v>
          </cell>
        </row>
        <row r="58">
          <cell r="A58" t="str">
            <v>Morgan Stanley Research has been published in accordance with our conflict management policy, which is</v>
          </cell>
        </row>
        <row r="59">
          <cell r="A59" t="str">
            <v>available at www.morganstanley.com/institutional/research/conflictpolicies.</v>
          </cell>
        </row>
        <row r="61">
          <cell r="A61" t="str">
            <v>Important US Regulatory Disclosures on Subject Companies</v>
          </cell>
        </row>
        <row r="63">
          <cell r="A63" t="str">
            <v>As of July 29, 2016, Morgan Stanley beneficially owned 1% or more of a class of common equity securities</v>
          </cell>
        </row>
        <row r="64">
          <cell r="A64" t="str">
            <v>of the following companies covered in Morgan Stanley Research: Windstream Corp..</v>
          </cell>
        </row>
        <row r="66">
          <cell r="A66" t="str">
            <v>Within the last 12 months, Morgan Stanley has received compensation for investment banking services from</v>
          </cell>
        </row>
        <row r="67">
          <cell r="A67" t="str">
            <v>Windstream Corp..</v>
          </cell>
        </row>
        <row r="69">
          <cell r="A69" t="str">
            <v>In the next 3 months, Morgan Stanley expects to receive or intends to seek compensation for investment</v>
          </cell>
        </row>
        <row r="70">
          <cell r="A70" t="str">
            <v>banking services from Windstream Corp..</v>
          </cell>
        </row>
        <row r="72">
          <cell r="A72" t="str">
            <v>Within the last 12 months, Morgan Stanley has received compensation for products and services other than</v>
          </cell>
        </row>
        <row r="73">
          <cell r="A73" t="str">
            <v>investment banking services from Windstream Corp..</v>
          </cell>
        </row>
        <row r="75">
          <cell r="A75" t="str">
            <v>Within the last 12 months, Morgan Stanley has provided or is providing investment banking services to,</v>
          </cell>
        </row>
        <row r="76">
          <cell r="A76" t="str">
            <v>or has an investment banking client relationship with, the following company: Windstream Corp..</v>
          </cell>
        </row>
        <row r="77">
          <cell r="A77" t="str">
            <v>has a client relationship with the following company: Windstream Corp..</v>
          </cell>
        </row>
        <row r="78">
          <cell r="A78" t="str">
            <v>Within the last 12 months, Morgan Stanley has either provided or is providing non-investment banking,</v>
          </cell>
        </row>
        <row r="79">
          <cell r="A79" t="str">
            <v>securities-related services to and/or in the past has entered into an agreement to provide services or</v>
          </cell>
        </row>
        <row r="80">
          <cell r="A80" t="str">
            <v>has a client relationship with the following company: Windstream Corp..</v>
          </cell>
        </row>
        <row r="81">
          <cell r="A81" t="str">
            <v>The equity research analysts or strategists principally responsible for the preparation of Morgan</v>
          </cell>
        </row>
        <row r="82">
          <cell r="A82" t="str">
            <v>Morgan Stanley &amp; Co. LLC makes a market in the securities of Windstream Corp..</v>
          </cell>
        </row>
        <row r="83">
          <cell r="A83" t="str">
            <v>investor client feedback, stock picking, competitive factors, firm revenues and overall investment</v>
          </cell>
        </row>
        <row r="84">
          <cell r="A84" t="str">
            <v>The equity research analysts or strategists principally responsible for the preparation of Morgan</v>
          </cell>
        </row>
        <row r="85">
          <cell r="A85" t="str">
            <v>Stanley Research have received compensation based upon various factors, including quality of research,</v>
          </cell>
        </row>
        <row r="86">
          <cell r="A86" t="str">
            <v>investor client feedback, stock picking, competitive factors, firm revenues and overall investment</v>
          </cell>
        </row>
        <row r="87">
          <cell r="A87" t="str">
            <v>banking revenues. Equity Research analysts' or strategists' compensation is not linked to investment</v>
          </cell>
        </row>
        <row r="88">
          <cell r="A88" t="str">
            <v>banking or capital markets transactions performed by Morgan Stanley or the profitability or revenues of</v>
          </cell>
        </row>
        <row r="89">
          <cell r="A89" t="str">
            <v>particular trading desks.</v>
          </cell>
        </row>
        <row r="90">
          <cell r="A90" t="str">
            <v>extension of credit, investment services and investment banking. Morgan Stanley sells to and buys from</v>
          </cell>
        </row>
        <row r="91">
          <cell r="A91" t="str">
            <v>Morgan Stanley and its affiliates do business that relates to companies/instruments covered in Morgan</v>
          </cell>
        </row>
        <row r="92">
          <cell r="A92" t="str">
            <v>Stanley Research, including market making, providing liquidity, fund management, commercial banking,</v>
          </cell>
        </row>
        <row r="93">
          <cell r="A93" t="str">
            <v>extension of credit, investment services and investment banking. Morgan Stanley sells to and buys from</v>
          </cell>
        </row>
        <row r="94">
          <cell r="A94" t="str">
            <v>customers the securities/instruments of companies covered in Morgan Stanley Research on a principal</v>
          </cell>
        </row>
        <row r="95">
          <cell r="A95" t="str">
            <v>basis. Morgan Stanley may have a position in the debt of the Company or instruments discussed in this</v>
          </cell>
        </row>
        <row r="96">
          <cell r="A96" t="str">
            <v>report. Morgan Stanley trades or may trade as principal in the debt securities (or in related</v>
          </cell>
        </row>
        <row r="97">
          <cell r="A97" t="str">
            <v>derivatives) that are the subject of the debt research report.</v>
          </cell>
        </row>
        <row r="99">
          <cell r="A99" t="str">
            <v>Certain disclosures listed above are also for compliance with applicable regulations in non-US</v>
          </cell>
        </row>
        <row r="100">
          <cell r="A100" t="str">
            <v>jurisdictions.</v>
          </cell>
        </row>
        <row r="101">
          <cell r="A101" t="str">
            <v>Morgan Stanley uses a relative rating system using terms such as Overweight, Equal-weight, Not-Rated or</v>
          </cell>
        </row>
        <row r="102">
          <cell r="A102" t="str">
            <v>STOCK RATINGS</v>
          </cell>
        </row>
        <row r="103">
          <cell r="A103" t="str">
            <v>stocks we cover. Overweight, Equal-weight, Not-Rated and Underweight are not the equivalent of buy, hold</v>
          </cell>
        </row>
        <row r="104">
          <cell r="A104" t="str">
            <v>Morgan Stanley uses a relative rating system using terms such as Overweight, Equal-weight, Not-Rated or</v>
          </cell>
        </row>
        <row r="105">
          <cell r="A105" t="str">
            <v>Underweight (see definitions below). Morgan Stanley does not assign ratings of Buy, Hold or Sell to the</v>
          </cell>
        </row>
        <row r="106">
          <cell r="A106" t="str">
            <v>stocks we cover. Overweight, Equal-weight, Not-Rated and Underweight are not the equivalent of buy, hold</v>
          </cell>
        </row>
        <row r="107">
          <cell r="A107" t="str">
            <v>and sell. Investors should carefully read the definitions of all ratings used in Morgan Stanley</v>
          </cell>
        </row>
        <row r="108">
          <cell r="A108" t="str">
            <v>Research. In addition, since Morgan Stanley Research contains more complete information concerning the</v>
          </cell>
        </row>
        <row r="109">
          <cell r="A109" t="str">
            <v>analyst's views, investors should carefully read Morgan Stanley Research, in its entirety, and not infer</v>
          </cell>
        </row>
        <row r="110">
          <cell r="A110" t="str">
            <v>the contents from the rating alone. In any case, ratings (or research) should not be used or relied upon</v>
          </cell>
        </row>
        <row r="111">
          <cell r="A111" t="str">
            <v>as investment advice. An investor's decision to buy or sell a stock should depend on individual</v>
          </cell>
        </row>
        <row r="112">
          <cell r="A112" t="str">
            <v>circumstances (such as the investor's existing holdings) and other considerations.</v>
          </cell>
        </row>
        <row r="114">
          <cell r="A114" t="str">
            <v>Global Stock Ratings Distribution</v>
          </cell>
        </row>
        <row r="115">
          <cell r="A115" t="str">
            <v>(as of July 31, 2016)</v>
          </cell>
        </row>
        <row r="117">
          <cell r="A117" t="str">
            <v>The Stock Ratings described below apply to Morgan Stanley's Fundamental Equity Research and do not apply</v>
          </cell>
        </row>
        <row r="118">
          <cell r="A118" t="str">
            <v>to Debt Research produced by the Firm.</v>
          </cell>
        </row>
        <row r="119">
          <cell r="A119" t="str">
            <v>Underweight. Morgan Stanley does not assign ratings of Buy, Hold or Sell to the stocks we cover.</v>
          </cell>
        </row>
        <row r="120">
          <cell r="A120" t="str">
            <v>For disclosure purposes only (in accordance with NASD and NYSE requirements), we include the category</v>
          </cell>
        </row>
        <row r="121">
          <cell r="A121" t="str">
            <v>headings of Buy, Hold, and Sell alongside our ratings of Overweight, Equal-weight, Not-Rated and</v>
          </cell>
        </row>
        <row r="122">
          <cell r="A122" t="str">
            <v>Underweight. Morgan Stanley does not assign ratings of Buy, Hold or Sell to the stocks we cover.</v>
          </cell>
        </row>
        <row r="123">
          <cell r="A123" t="str">
            <v>Overweight, Equal-weight, Not-Rated and Underweight are not the equivalent of buy, hold, and sell but</v>
          </cell>
        </row>
        <row r="124">
          <cell r="A124" t="str">
            <v>represent recommended relative weightings (see definitions below). To satisfy regulatory requirements,</v>
          </cell>
        </row>
        <row r="125">
          <cell r="A125" t="str">
            <v>we correspond Overweight, our most positive stock rating, with a buy recommendation; we correspond</v>
          </cell>
          <cell r="B125" t="str">
            <v>Coverage Universe</v>
          </cell>
          <cell r="D125" t="str">
            <v>Investment Banking Clients (IBC)</v>
          </cell>
          <cell r="G125" t="str">
            <v>Other Material Investment Services Clients (MISC)</v>
          </cell>
        </row>
        <row r="126">
          <cell r="A126" t="str">
            <v>Equal-weight and Not-Rated to hold and Underweight to sell recommendations, respectively.</v>
          </cell>
          <cell r="B126" t="str">
            <v>Count</v>
          </cell>
          <cell r="C126" t="str">
            <v>% of Total</v>
          </cell>
          <cell r="D126" t="str">
            <v>Count</v>
          </cell>
          <cell r="E126" t="str">
            <v>% of Total IBC</v>
          </cell>
          <cell r="F126" t="str">
            <v>% of Rating Category</v>
          </cell>
          <cell r="G126" t="str">
            <v>Count</v>
          </cell>
          <cell r="H126" t="str">
            <v>% of Total Other MISC</v>
          </cell>
        </row>
        <row r="127">
          <cell r="A127" t="str">
            <v>Overweight/Buy</v>
          </cell>
          <cell r="B127">
            <v>1148</v>
          </cell>
          <cell r="C127">
            <v>0.35</v>
          </cell>
          <cell r="D127">
            <v>286</v>
          </cell>
          <cell r="E127">
            <v>0.43</v>
          </cell>
          <cell r="F127">
            <v>0.25</v>
          </cell>
          <cell r="G127">
            <v>551</v>
          </cell>
          <cell r="H127">
            <v>0.36</v>
          </cell>
        </row>
        <row r="128">
          <cell r="A128" t="str">
            <v>Equal-weight/Hold</v>
          </cell>
          <cell r="B128" t="str">
            <v>Coverage Universe</v>
          </cell>
          <cell r="C128">
            <v>0.43</v>
          </cell>
          <cell r="D128" t="str">
            <v>Investment Banking Clients (IBC)</v>
          </cell>
          <cell r="E128">
            <v>0.45</v>
          </cell>
          <cell r="F128">
            <v>0.21</v>
          </cell>
          <cell r="G128" t="str">
            <v>Other Material Investment Services Clients (MISC)</v>
          </cell>
          <cell r="H128">
            <v>0.46</v>
          </cell>
        </row>
        <row r="129">
          <cell r="A129" t="str">
            <v>Stock Rating Category</v>
          </cell>
          <cell r="B129" t="str">
            <v>Count</v>
          </cell>
          <cell r="C129" t="str">
            <v>% of Total</v>
          </cell>
          <cell r="D129" t="str">
            <v>Count</v>
          </cell>
          <cell r="E129" t="str">
            <v>% of Total IBC</v>
          </cell>
          <cell r="F129" t="str">
            <v>% of Rating Category</v>
          </cell>
          <cell r="G129" t="str">
            <v>Count</v>
          </cell>
          <cell r="H129" t="str">
            <v>% of Total Other MISC</v>
          </cell>
        </row>
        <row r="130">
          <cell r="A130" t="str">
            <v>Overweight/Buy</v>
          </cell>
          <cell r="B130">
            <v>1149</v>
          </cell>
          <cell r="C130">
            <v>0.34</v>
          </cell>
          <cell r="D130">
            <v>274</v>
          </cell>
          <cell r="E130">
            <v>0.38</v>
          </cell>
          <cell r="F130">
            <v>0.24</v>
          </cell>
          <cell r="G130">
            <v>566</v>
          </cell>
          <cell r="H130">
            <v>0.35</v>
          </cell>
        </row>
        <row r="131">
          <cell r="A131" t="str">
            <v>Equal-weight/Hold</v>
          </cell>
          <cell r="B131">
            <v>1461</v>
          </cell>
          <cell r="C131">
            <v>0.44</v>
          </cell>
          <cell r="D131">
            <v>726</v>
          </cell>
          <cell r="E131">
            <v>0.48</v>
          </cell>
          <cell r="F131">
            <v>0.24</v>
          </cell>
          <cell r="G131">
            <v>1509</v>
          </cell>
          <cell r="H131">
            <v>0.46</v>
          </cell>
        </row>
        <row r="132">
          <cell r="A132" t="str">
            <v>Not-Rated/Hold</v>
          </cell>
          <cell r="B132">
            <v>77</v>
          </cell>
          <cell r="C132">
            <v>0.02</v>
          </cell>
          <cell r="D132">
            <v>8</v>
          </cell>
          <cell r="E132">
            <v>0.01</v>
          </cell>
          <cell r="F132">
            <v>0.1</v>
          </cell>
          <cell r="G132">
            <v>11</v>
          </cell>
          <cell r="H132">
            <v>0.01</v>
          </cell>
        </row>
        <row r="133">
          <cell r="A133" t="str">
            <v>Underweight/Sell</v>
          </cell>
          <cell r="B133">
            <v>647</v>
          </cell>
          <cell r="C133">
            <v>0.19</v>
          </cell>
          <cell r="D133">
            <v>95</v>
          </cell>
          <cell r="E133">
            <v>0.13</v>
          </cell>
          <cell r="F133">
            <v>0.15</v>
          </cell>
          <cell r="G133">
            <v>289</v>
          </cell>
          <cell r="H133">
            <v>0.18</v>
          </cell>
        </row>
        <row r="134">
          <cell r="A134" t="str">
            <v>Total</v>
          </cell>
          <cell r="B134">
            <v>3334</v>
          </cell>
          <cell r="D134">
            <v>728</v>
          </cell>
          <cell r="G134">
            <v>1595</v>
          </cell>
        </row>
        <row r="136">
          <cell r="A136" t="str">
            <v>Data include common stock and ADRs currently assigned ratings. Investment Banking Clients are companies</v>
          </cell>
        </row>
        <row r="137">
          <cell r="A137" t="str">
            <v>from whom Morgan Stanley received investment banking compensation in the last 12 months.</v>
          </cell>
        </row>
        <row r="138">
          <cell r="A138" t="str">
            <v>Overweight (O). The stock's total return is expected to exceed the average total return of the analyst's</v>
          </cell>
        </row>
        <row r="139">
          <cell r="A139" t="str">
            <v>Analyst Stock Ratings</v>
          </cell>
        </row>
        <row r="141">
          <cell r="A141" t="str">
            <v>Overweight (O). The stock's total return is expected to exceed the average total return of the analyst's</v>
          </cell>
        </row>
        <row r="142">
          <cell r="A142" t="str">
            <v>industry (or industry team's) coverage universe, on a risk-adjusted basis, over the next 12-18 months.</v>
          </cell>
        </row>
        <row r="143">
          <cell r="A143" t="str">
            <v>12-18 months.</v>
          </cell>
        </row>
        <row r="144">
          <cell r="A144" t="str">
            <v>Equal-weight (E). The stock's total return is expected to be in line with the average total return of</v>
          </cell>
        </row>
        <row r="145">
          <cell r="A145" t="str">
            <v>the analyst's industry (or industry team's) coverage universe, on a risk-adjusted basis, over the next</v>
          </cell>
        </row>
        <row r="146">
          <cell r="A146" t="str">
            <v>12-18 months.</v>
          </cell>
        </row>
        <row r="147">
          <cell r="A147" t="str">
            <v>on a risk-adjusted basis, over the next 12-18 months.</v>
          </cell>
        </row>
        <row r="148">
          <cell r="A148" t="str">
            <v>Not-Rated (NR). Currently the analyst does not have adequate conviction about the stock's total return</v>
          </cell>
        </row>
        <row r="149">
          <cell r="A149" t="str">
            <v>relative to the average total return of the analyst's industry (or industry team's) coverage universe,</v>
          </cell>
        </row>
        <row r="150">
          <cell r="A150" t="str">
            <v>on a risk-adjusted basis, over the next 12-18 months.</v>
          </cell>
        </row>
        <row r="151">
          <cell r="A151" t="str">
            <v>months.</v>
          </cell>
        </row>
        <row r="152">
          <cell r="A152" t="str">
            <v>Underweight (U). The stock's total return is expected to be below the average total return of the</v>
          </cell>
        </row>
        <row r="153">
          <cell r="A153" t="str">
            <v>analyst's industry (or industry team's) coverage universe, on a risk-adjusted basis, over the next 12-18</v>
          </cell>
        </row>
        <row r="154">
          <cell r="A154" t="str">
            <v>months.</v>
          </cell>
        </row>
        <row r="156">
          <cell r="A156" t="str">
            <v>Unless otherwise specified, the time frame for price targets included in Morgan Stanley Research is 12</v>
          </cell>
        </row>
        <row r="157">
          <cell r="A157" t="str">
            <v>to 18 months.</v>
          </cell>
        </row>
        <row r="158">
          <cell r="A158" t="str">
            <v>Attractive (A): The analyst expects the performance of his or her industry coverage universe over the</v>
          </cell>
        </row>
        <row r="159">
          <cell r="A159" t="str">
            <v>Analyst Industry Views</v>
          </cell>
        </row>
        <row r="161">
          <cell r="A161" t="str">
            <v>Attractive (A): The analyst expects the performance of his or her industry coverage universe over the</v>
          </cell>
        </row>
        <row r="162">
          <cell r="A162" t="str">
            <v>next 12-18 months to be attractive vs. the relevant broad market benchmark, as indicated below.</v>
          </cell>
        </row>
        <row r="164">
          <cell r="A164" t="str">
            <v>In-Line (I): The analyst expects the performance of his or her industry coverage universe over the next</v>
          </cell>
        </row>
        <row r="165">
          <cell r="A165" t="str">
            <v>12-18 months to be in line with the relevant broad market benchmark, as indicated below.</v>
          </cell>
        </row>
        <row r="167">
          <cell r="A167" t="str">
            <v>Cautious (C): The analyst views the performance of his or her industry coverage universe over the next</v>
          </cell>
        </row>
        <row r="168">
          <cell r="A168" t="str">
            <v>12-18 months with caution vs. the relevant broad market benchmark, as indicated below.</v>
          </cell>
        </row>
        <row r="169">
          <cell r="A169" t="str">
            <v>country index or MSCI sub-regional index or MSCI AC Asia Pacific ex Japan Index.</v>
          </cell>
        </row>
        <row r="170">
          <cell r="A170" t="str">
            <v>Benchmarks for each region are as follows: North America - S&amp;P 500; Latin America - relevant MSCI</v>
          </cell>
        </row>
        <row r="171">
          <cell r="A171" t="str">
            <v>country index or MSCI Latin America Index; Europe - MSCI Europe; Japan - TOPIX; Asia - relevant MSCI</v>
          </cell>
        </row>
        <row r="172">
          <cell r="A172" t="str">
            <v>country index or MSCI sub-regional index or MSCI AC Asia Pacific ex Japan Index.</v>
          </cell>
        </row>
        <row r="174">
          <cell r="A174" t="str">
            <v>Stock Price, Price Target and Rating History (See Rating Definitions)</v>
          </cell>
        </row>
        <row r="175">
          <cell r="A175" t="str">
            <v>.</v>
          </cell>
        </row>
        <row r="177">
          <cell r="A177" t="str">
            <v>Stock Price, Price Target and Rating History (See Rating Definitions)</v>
          </cell>
        </row>
        <row r="201">
          <cell r="A201" t="str">
            <v>Important Disclosures for Morgan Stanley Smith Barney LLC Customers</v>
          </cell>
        </row>
        <row r="203">
          <cell r="A203" t="str">
            <v>Important disclosures regarding the relationship between the companies that are the subject of Morgan</v>
          </cell>
        </row>
        <row r="204">
          <cell r="A204" t="str">
            <v>Important Disclosures for Morgan Stanley Smith Barney LLC Customers</v>
          </cell>
        </row>
        <row r="205">
          <cell r="A205" t="str">
            <v>available on the Morgan Stanley Wealth Management disclosure website at</v>
          </cell>
        </row>
        <row r="206">
          <cell r="A206" t="str">
            <v>Important disclosures regarding the relationship between the companies that are the subject of Morgan</v>
          </cell>
        </row>
        <row r="207">
          <cell r="A207" t="str">
            <v>Stanley Research and Morgan Stanley Smith Barney LLC or Morgan Stanley or any of their affiliates, are</v>
          </cell>
        </row>
        <row r="208">
          <cell r="A208" t="str">
            <v>available on the Morgan Stanley Wealth Management disclosure website at</v>
          </cell>
        </row>
        <row r="209">
          <cell r="A209" t="str">
            <v>www.morganstanley.com/online/researchdisclosures. For Morgan Stanley specific disclosures, you may refer</v>
          </cell>
        </row>
        <row r="210">
          <cell r="A210" t="str">
            <v>to www.morganstanley.com/researchdisclosures.</v>
          </cell>
        </row>
        <row r="211">
          <cell r="A211" t="str">
            <v>report on behalf of Morgan Stanley. This could create a conflict of interest.</v>
          </cell>
        </row>
        <row r="212">
          <cell r="A212" t="str">
            <v>Each Morgan Stanley Equity Research report is reviewed and approved on behalf of Morgan Stanley Smith</v>
          </cell>
        </row>
        <row r="213">
          <cell r="A213" t="str">
            <v>Barney LLC. This review and approval is conducted by the same person who reviews the Equity Research</v>
          </cell>
        </row>
        <row r="214">
          <cell r="A214" t="str">
            <v>report on behalf of Morgan Stanley. This could create a conflict of interest.</v>
          </cell>
        </row>
        <row r="215">
          <cell r="A215" t="str">
            <v>Other Important Disclosures</v>
          </cell>
        </row>
        <row r="217">
          <cell r="A217" t="str">
            <v>Morgan Stanley &amp; Co. International PLC and its affiliates have a significant financial interest in the</v>
          </cell>
        </row>
        <row r="218">
          <cell r="A218" t="str">
            <v>debt securities of Windstream Corp..</v>
          </cell>
        </row>
        <row r="219">
          <cell r="A219" t="str">
            <v>that may have a material impact on the research views or opinions stated therein. In addition, certain</v>
          </cell>
        </row>
        <row r="220">
          <cell r="A220" t="str">
            <v>Morgan Stanley Research policy is to update research reports as and when the Research Analyst and</v>
          </cell>
        </row>
        <row r="221">
          <cell r="A221" t="str">
            <v>Research Management deem appropriate, based on developments with the issuer, the sector, or the market</v>
          </cell>
        </row>
        <row r="222">
          <cell r="A222" t="str">
            <v>that may have a material impact on the research views or opinions stated therein. In addition, certain</v>
          </cell>
        </row>
        <row r="223">
          <cell r="A223" t="str">
            <v>Research publications are intended to be updated on a regular periodic basis</v>
          </cell>
        </row>
        <row r="224">
          <cell r="A224" t="str">
            <v>(weekly/monthly/quarterly/annual) and will ordinarily be updated with that frequency, unless the</v>
          </cell>
        </row>
        <row r="225">
          <cell r="A225" t="str">
            <v>Research Analyst and Research Management determine that a different publication schedule is appropriate</v>
          </cell>
        </row>
        <row r="226">
          <cell r="A226" t="str">
            <v>based on current conditions.</v>
          </cell>
        </row>
        <row r="227">
          <cell r="A227" t="str">
            <v>Street Reform and Consumer Protection Act.</v>
          </cell>
        </row>
        <row r="228">
          <cell r="A228" t="str">
            <v>Morgan Stanley is not acting as a municipal advisor and the opinions or views contained herein are not</v>
          </cell>
        </row>
        <row r="229">
          <cell r="A229" t="str">
            <v>intended to be, and do not constitute, advice within the meaning of Section 975 of the Dodd-Frank Wall</v>
          </cell>
        </row>
        <row r="230">
          <cell r="A230" t="str">
            <v>Street Reform and Consumer Protection Act.</v>
          </cell>
        </row>
        <row r="231">
          <cell r="A231" t="str">
            <v>research on the same stock. This may be the result of differing time horizons, methodologies, market</v>
          </cell>
        </row>
        <row r="232">
          <cell r="A232" t="str">
            <v>Morgan Stanley produces an equity research product called a "Tactical Idea." Views contained in a</v>
          </cell>
        </row>
        <row r="233">
          <cell r="A233" t="str">
            <v>"Tactical Idea" on a particular stock may be contrary to the recommendations or views expressed in</v>
          </cell>
        </row>
        <row r="234">
          <cell r="A234" t="str">
            <v>research on the same stock. This may be the result of differing time horizons, methodologies, market</v>
          </cell>
        </row>
        <row r="235">
          <cell r="A235" t="str">
            <v>events, or other factors. For all research available on a particular stock, please contact your sales</v>
          </cell>
        </row>
        <row r="236">
          <cell r="A236" t="str">
            <v>representative or go to Matrix at http://www.morganstanley.com/matrix.</v>
          </cell>
        </row>
        <row r="237">
          <cell r="A237" t="str">
            <v>Research products are also made available to clients through third-party vendors or redistributed to</v>
          </cell>
        </row>
        <row r="238">
          <cell r="A238" t="str">
            <v>Morgan Stanley Research is provided to our clients through our proprietary research portal on Matrix and</v>
          </cell>
        </row>
        <row r="239">
          <cell r="A239" t="str">
            <v>also distributed electronically by Morgan Stanley to clients. Certain, but not all, Morgan Stanley</v>
          </cell>
        </row>
        <row r="240">
          <cell r="A240" t="str">
            <v>Research products are also made available to clients through third-party vendors or redistributed to</v>
          </cell>
        </row>
        <row r="241">
          <cell r="A241" t="str">
            <v>clients through alternate electronic means as a convenience. For access to all available Morgan Stanley</v>
          </cell>
        </row>
        <row r="242">
          <cell r="A242" t="str">
            <v>Research, please contact your sales representative or go to Matrix at</v>
          </cell>
        </row>
        <row r="243">
          <cell r="A243" t="str">
            <v>http://www.morganstanley.com/matrix.</v>
          </cell>
        </row>
        <row r="244">
          <cell r="A244" t="str">
            <v>indicating that you have read and agree to be bound by our Terms of Use</v>
          </cell>
        </row>
        <row r="245">
          <cell r="A245" t="str">
            <v>Any access and/or use of Morgan Stanley Research is subject to Morgan Stanley's Terms of Use</v>
          </cell>
        </row>
        <row r="246">
          <cell r="A246" t="str">
            <v>(http://www.morganstanley.com/terms.html). By accessing and/or using Morgan Stanley Research, you are</v>
          </cell>
        </row>
        <row r="247">
          <cell r="A247" t="str">
            <v>indicating that you have read and agree to be bound by our Terms of Use</v>
          </cell>
        </row>
        <row r="248">
          <cell r="A248" t="str">
            <v>(http://www.morganstanley.com/terms.html). In addition you consent to Morgan Stanley processing your</v>
          </cell>
        </row>
        <row r="249">
          <cell r="A249" t="str">
            <v>personal data and using cookies in accordance with our Privacy Policy and our Global Cookies Policy</v>
          </cell>
        </row>
        <row r="250">
          <cell r="A250" t="str">
            <v>(http://www.morganstanley.com/privacy_pledge.html), including for the purposes of setting your</v>
          </cell>
        </row>
        <row r="251">
          <cell r="A251" t="str">
            <v>preferences and to collect readership data so that we can deliver better and more personalized service</v>
          </cell>
        </row>
        <row r="252">
          <cell r="A252" t="str">
            <v>and products to you. To find out more information about how Morgan Stanley processes personal data, how</v>
          </cell>
        </row>
        <row r="253">
          <cell r="A253" t="str">
            <v>we use cookies and how to reject cookies see our Privacy Policy and our Global Cookies Policy</v>
          </cell>
        </row>
        <row r="254">
          <cell r="A254" t="str">
            <v>(http://www.morganstanley.com/privacy_pledge.html).</v>
          </cell>
        </row>
        <row r="256">
          <cell r="A256" t="str">
            <v>If you do not agree to our Terms of Use and/or if you do not wish to provide your consent to Morgan</v>
          </cell>
        </row>
        <row r="257">
          <cell r="A257" t="str">
            <v>Stanley processing your personal data or using cookies please do not access our research.</v>
          </cell>
        </row>
        <row r="258">
          <cell r="A258" t="str">
            <v>Morgan Stanley recommends that investors independently evaluate particular investments and strategies,</v>
          </cell>
        </row>
        <row r="259">
          <cell r="A259" t="str">
            <v>Morgan Stanley Research does not provide individually tailored investment advice. Morgan Stanley</v>
          </cell>
        </row>
        <row r="260">
          <cell r="A260" t="str">
            <v>Research has been prepared without regard to the circumstances and objectives of those who receive it.</v>
          </cell>
        </row>
        <row r="261">
          <cell r="A261" t="str">
            <v>Morgan Stanley recommends that investors independently evaluate particular investments and strategies,</v>
          </cell>
        </row>
        <row r="262">
          <cell r="A262" t="str">
            <v>and encourages investors to seek the advice of a financial adviser. The appropriateness of an investment</v>
          </cell>
        </row>
        <row r="263">
          <cell r="A263" t="str">
            <v>or strategy will depend on an investor's circumstances and objectives. The securities, instruments, or</v>
          </cell>
        </row>
        <row r="264">
          <cell r="A264" t="str">
            <v>strategies discussed in Morgan Stanley Research may not be suitable for all investors, and certain</v>
          </cell>
        </row>
        <row r="265">
          <cell r="A265" t="str">
            <v>investors may not be eligible to purchase or participate in some or all of them. Morgan Stanley Research</v>
          </cell>
        </row>
        <row r="266">
          <cell r="A266" t="str">
            <v>is not an offer to buy or sell or the solicitation of an offer to buy or sell any security/instrument or</v>
          </cell>
        </row>
        <row r="267">
          <cell r="A267" t="str">
            <v>to participate in any particular trading strategy. The value of and income from your investments may</v>
          </cell>
        </row>
        <row r="268">
          <cell r="A268" t="str">
            <v>vary because of changes in interest rates, foreign exchange rates, default rates, prepayment rates,</v>
          </cell>
        </row>
        <row r="269">
          <cell r="A269" t="str">
            <v>securities/instruments prices, market indexes, operational or financial conditions of companies or other</v>
          </cell>
        </row>
        <row r="270">
          <cell r="A270" t="str">
            <v>factors. There may be time limitations on the exercise of options or other rights in</v>
          </cell>
        </row>
        <row r="271">
          <cell r="A271" t="str">
            <v>securities/instruments transactions. Past performance is not necessarily a guide to future performance.</v>
          </cell>
        </row>
        <row r="272">
          <cell r="A272" t="str">
            <v>Estimates of future performance are based on assumptions that may not be realized. If provided, and</v>
          </cell>
        </row>
        <row r="273">
          <cell r="A273" t="str">
            <v>unless otherwise stated, the closing price on the cover page is that of the primary exchange for the</v>
          </cell>
        </row>
        <row r="274">
          <cell r="A274" t="str">
            <v>subject company's securities/instruments.</v>
          </cell>
        </row>
        <row r="275">
          <cell r="A275" t="str">
            <v>quality, accuracy and value of research, firm profitability or revenues (which include fixed income</v>
          </cell>
        </row>
        <row r="276">
          <cell r="A276" t="str">
            <v>The fixed income research analysts, strategists or economists principally responsible for the</v>
          </cell>
        </row>
        <row r="277">
          <cell r="A277" t="str">
            <v>preparation of Morgan Stanley Research have received compensation based upon various factors, including</v>
          </cell>
        </row>
        <row r="278">
          <cell r="A278" t="str">
            <v>quality, accuracy and value of research, firm profitability or revenues (which include fixed income</v>
          </cell>
        </row>
        <row r="279">
          <cell r="A279" t="str">
            <v>trading and capital markets profitability or revenues), client feedback and competitive factors. Fixed</v>
          </cell>
        </row>
        <row r="280">
          <cell r="A280" t="str">
            <v>Income Research analysts', strategists' or economists' compensation is not linked to investment banking</v>
          </cell>
        </row>
        <row r="281">
          <cell r="A281" t="str">
            <v>or capital markets transactions performed by Morgan Stanley or the profitability or revenues of</v>
          </cell>
        </row>
        <row r="282">
          <cell r="A282" t="str">
            <v>particular trading desks.</v>
          </cell>
        </row>
        <row r="283">
          <cell r="A283" t="str">
            <v>the companies. For all other companies mentioned in Morgan Stanley Research, Morgan Stanley may have an</v>
          </cell>
        </row>
        <row r="284">
          <cell r="A284" t="str">
            <v>The "Important US Regulatory Disclosures on Subject Companies" section in Morgan Stanley Research lists</v>
          </cell>
        </row>
        <row r="285">
          <cell r="A285" t="str">
            <v>all companies mentioned where Morgan Stanley owns 1% or more of a class of common equity securities of</v>
          </cell>
        </row>
        <row r="286">
          <cell r="A286" t="str">
            <v>the companies. For all other companies mentioned in Morgan Stanley Research, Morgan Stanley may have an</v>
          </cell>
        </row>
        <row r="287">
          <cell r="A287" t="str">
            <v>investment of less than 1% in securities/instruments or derivatives of securities/instruments of</v>
          </cell>
        </row>
        <row r="288">
          <cell r="A288" t="str">
            <v>companies and may trade them in ways different from those discussed in Morgan Stanley Research.</v>
          </cell>
        </row>
        <row r="289">
          <cell r="A289" t="str">
            <v>Employees of Morgan Stanley not involved in the preparation of Morgan Stanley Research may have</v>
          </cell>
        </row>
        <row r="290">
          <cell r="A290" t="str">
            <v>investments in securities/instruments or derivatives of securities/instruments of companies mentioned</v>
          </cell>
        </row>
        <row r="291">
          <cell r="A291" t="str">
            <v>and may trade them in ways different from those discussed in Morgan Stanley Research. Derivatives may be</v>
          </cell>
        </row>
        <row r="292">
          <cell r="A292" t="str">
            <v>issued by Morgan Stanley or associated persons.</v>
          </cell>
        </row>
        <row r="293">
          <cell r="A293" t="str">
            <v>no representation that it is accurate or complete. We have no obligation to tell you when opinions or</v>
          </cell>
        </row>
        <row r="294">
          <cell r="A294" t="str">
            <v>With the exception of information regarding Morgan Stanley, Morgan Stanley Research is based on public</v>
          </cell>
        </row>
        <row r="295">
          <cell r="A295" t="str">
            <v>information. Morgan Stanley makes every effort to use reliable, comprehensive information, but we make</v>
          </cell>
        </row>
        <row r="296">
          <cell r="A296" t="str">
            <v>no representation that it is accurate or complete. We have no obligation to tell you when opinions or</v>
          </cell>
        </row>
        <row r="297">
          <cell r="A297" t="str">
            <v>information in Morgan Stanley Research change apart from when we intend to discontinue equity research</v>
          </cell>
        </row>
        <row r="298">
          <cell r="A298" t="str">
            <v>coverage of a subject company. Facts and views presented in Morgan Stanley Research have not been</v>
          </cell>
        </row>
        <row r="299">
          <cell r="A299" t="str">
            <v>reviewed by, and may not reflect information known to, professionals in other Morgan Stanley business</v>
          </cell>
        </row>
        <row r="300">
          <cell r="A300" t="str">
            <v>areas, including investment banking personnel.</v>
          </cell>
        </row>
        <row r="301">
          <cell r="A301" t="str">
            <v>authorized members of Research management.</v>
          </cell>
        </row>
        <row r="302">
          <cell r="A302" t="str">
            <v>Morgan Stanley Research personnel may participate in company events such as site visits and are</v>
          </cell>
        </row>
        <row r="303">
          <cell r="A303" t="str">
            <v>generally prohibited from accepting payment by the company of associated expenses unless pre-approved by</v>
          </cell>
        </row>
        <row r="304">
          <cell r="A304" t="str">
            <v>authorized members of Research management.</v>
          </cell>
        </row>
        <row r="306">
          <cell r="A306" t="str">
            <v>Morgan Stanley may make investment decisions that are inconsistent with the recommendations or views in</v>
          </cell>
        </row>
        <row r="307">
          <cell r="A307" t="str">
            <v>this report.</v>
          </cell>
        </row>
        <row r="308">
          <cell r="A308" t="str">
            <v>Such information is for your reference only. The reader should independently evaluate the investment</v>
          </cell>
        </row>
        <row r="309">
          <cell r="A309" t="str">
            <v>To our readers in Taiwan: Information on securities/instruments that trade in Taiwan is distributed by</v>
          </cell>
        </row>
        <row r="310">
          <cell r="A310" t="str">
            <v>Morgan Stanley Taiwan Limited ("MSTL"). Such information is for your reference only. The reader should</v>
          </cell>
        </row>
        <row r="311">
          <cell r="A311" t="str">
            <v>independently evaluate the investment risks and is solely responsible for their investment decisions.</v>
          </cell>
        </row>
        <row r="312">
          <cell r="A312" t="str">
            <v>Morgan Stanley Research may not be distributed to the public media or quoted or used by the public media</v>
          </cell>
        </row>
        <row r="313">
          <cell r="A313" t="str">
            <v>without the express written consent of Morgan Stanley. Information on securities/instruments that do not</v>
          </cell>
        </row>
        <row r="314">
          <cell r="A314" t="str">
            <v>trade in Taiwan is for informational purposes only and is not to be construed as a recommendation or a</v>
          </cell>
        </row>
        <row r="315">
          <cell r="A315" t="str">
            <v>solicitation to trade in such securities/instruments. MSTL may not execute transactions for clients in</v>
          </cell>
        </row>
        <row r="316">
          <cell r="A316" t="str">
            <v>these securities/instruments. To our readers in Hong Kong: Information is distributed in Hong Kong by</v>
          </cell>
        </row>
        <row r="317">
          <cell r="A317" t="str">
            <v>and on behalf of, and is attributable to, Morgan Stanley Asia Limited as part of its regulated</v>
          </cell>
        </row>
        <row r="318">
          <cell r="A318" t="str">
            <v>activities in Hong Kong. If you have any queries concerning Morgan Stanley Research, please contact our</v>
          </cell>
        </row>
        <row r="319">
          <cell r="A319" t="str">
            <v>Hong Kong sales representatives.</v>
          </cell>
        </row>
        <row r="320">
          <cell r="A320" t="str">
            <v>Morgan Stanley is not incorporated under PRC law and the research in relation to this report is</v>
          </cell>
        </row>
        <row r="321">
          <cell r="A321" t="str">
            <v>Morgan Stanley is not incorporated under PRC law and the research in relation to this report is</v>
          </cell>
        </row>
        <row r="322">
          <cell r="A322" t="str">
            <v>conducted outside the PRC. Morgan Stanley Research does not constitute an offer to sell or the</v>
          </cell>
        </row>
        <row r="323">
          <cell r="A323" t="str">
            <v>solicitation of an offer to buy any securities in the PRC. PRC investors shall have the relevant</v>
          </cell>
        </row>
        <row r="324">
          <cell r="A324" t="str">
            <v>qualifications to invest in such securities and shall be responsible for obtaining all relevant</v>
          </cell>
        </row>
        <row r="325">
          <cell r="A325" t="str">
            <v>approvals, licenses, verifications and/or registrations from the relevant governmental authorities</v>
          </cell>
        </row>
        <row r="326">
          <cell r="A326" t="str">
            <v>themselves. Neither this report nor any part of it is intended as, or shall constitute, provision of any</v>
          </cell>
        </row>
        <row r="327">
          <cell r="A327" t="str">
            <v>consultancy or advisory service of securities investment as defined under PRC law. Such information is</v>
          </cell>
        </row>
        <row r="328">
          <cell r="A328" t="str">
            <v>provided for your reference only.</v>
          </cell>
        </row>
        <row r="329">
          <cell r="A329" t="str">
            <v>Morgan Stanley Research is disseminated in Brazil by Morgan Stanley C.T.V.M. S.A.; in Mexico by Morgan</v>
          </cell>
        </row>
        <row r="330">
          <cell r="A330" t="str">
            <v>Morgan Stanley Research is disseminated in Brazil by Morgan Stanley C.T.V.M. S.A.; in Mexico by Morgan</v>
          </cell>
        </row>
        <row r="331">
          <cell r="A331" t="str">
            <v>Stanley México, Casa de Bolsa, S.A. de C.V which is regulated by Comision Nacional Bancaria y de</v>
          </cell>
        </row>
        <row r="332">
          <cell r="A332" t="str">
            <v>Valores. Paseo de los Tamarindos 90, Torre 1, Col. Bosques de las Lomas Floor 29, 05120 Mexico City; in</v>
          </cell>
        </row>
        <row r="333">
          <cell r="A333" t="str">
            <v>Japan by Morgan Stanley MUFG Securities Co., Ltd. and, for Commodities related research reports only,</v>
          </cell>
        </row>
        <row r="334">
          <cell r="A334" t="str">
            <v>Morgan Stanley Capital Group Japan Co., Ltd; in Hong Kong by Morgan Stanley Asia Limited (which accepts</v>
          </cell>
        </row>
        <row r="335">
          <cell r="A335" t="str">
            <v>responsibility for its contents) and by Morgan Stanley Asia International Limited, Hong Kong Branch; in</v>
          </cell>
        </row>
        <row r="336">
          <cell r="A336" t="str">
            <v>Singapore by Morgan Stanley Asia (Singapore) Pte. (Registration number 199206298Z) and/or Morgan Stanley</v>
          </cell>
        </row>
        <row r="337">
          <cell r="A337" t="str">
            <v>Asia (Singapore) Securities Pte Ltd (Registration number 200008434H), regulated by the Monetary</v>
          </cell>
        </row>
        <row r="338">
          <cell r="A338" t="str">
            <v>Authority of Singapore (which accepts legal responsibility for its contents and should be contacted with</v>
          </cell>
        </row>
        <row r="339">
          <cell r="A339" t="str">
            <v>respect to any matters arising from, or in connection with, Morgan Stanley Research) and by Morgan</v>
          </cell>
        </row>
        <row r="340">
          <cell r="A340" t="str">
            <v>Stanley Asia International Limited, Singapore Branch (Registration number T11FC0207F); in Australia to</v>
          </cell>
        </row>
        <row r="341">
          <cell r="A341" t="str">
            <v>"wholesale clients" within the meaning of the Australian Corporations Act by Morgan Stanley Australia</v>
          </cell>
        </row>
        <row r="342">
          <cell r="A342" t="str">
            <v>Limited A.B.N. 67 003 734 576, holder of Australian financial services license No. 233742, which accepts</v>
          </cell>
        </row>
        <row r="343">
          <cell r="A343" t="str">
            <v>responsibility for its contents; in Australia to "wholesale clients" and "retail clients" within the</v>
          </cell>
        </row>
        <row r="344">
          <cell r="A344" t="str">
            <v>meaning of the Australian Corporations Act by Morgan Stanley Wealth Management Australia Pty Ltd (A.B.N.</v>
          </cell>
        </row>
        <row r="345">
          <cell r="A345" t="str">
            <v>19 009 145 555, holder of Australian financial services license No. 240813, which accepts responsibility</v>
          </cell>
        </row>
        <row r="346">
          <cell r="A346" t="str">
            <v>for its contents; in Korea by Morgan Stanley &amp; Co International plc, Seoul Branch; in India by Morgan</v>
          </cell>
        </row>
        <row r="347">
          <cell r="A347" t="str">
            <v>Stanley India Company Private Limited; in Indonesia by PT Morgan Stanley Asia Indonesia; in Canada by</v>
          </cell>
        </row>
        <row r="348">
          <cell r="A348" t="str">
            <v>Morgan Stanley Canada Limited, which has approved of and takes responsibility for its contents in</v>
          </cell>
        </row>
        <row r="349">
          <cell r="A349" t="str">
            <v>Canada; in Germany by Morgan Stanley Bank AG, Frankfurt am Main and Morgan Stanley Private Wealth</v>
          </cell>
        </row>
        <row r="350">
          <cell r="A350" t="str">
            <v>Management Limited, Niederlassung Deutschland, regulated by Bundesanstalt fuer</v>
          </cell>
        </row>
        <row r="351">
          <cell r="A351" t="str">
            <v>Finanzdienstleistungsaufsicht (BaFin); in Spain by Morgan Stanley, S.V., S.A., a Morgan Stanley group</v>
          </cell>
        </row>
        <row r="352">
          <cell r="A352" t="str">
            <v>company, which is supervised by the Spanish Securities Markets Commission (CNMV) and states that Morgan</v>
          </cell>
        </row>
        <row r="353">
          <cell r="A353" t="str">
            <v>Stanley Research has been written and distributed in accordance with the rules of conduct applicable to</v>
          </cell>
        </row>
        <row r="354">
          <cell r="A354" t="str">
            <v>financial research as established under Spanish regulations; in the US by Morgan Stanley &amp; Co. LLC,</v>
          </cell>
        </row>
        <row r="355">
          <cell r="A355" t="str">
            <v>which accepts responsibility for its contents. Morgan Stanley &amp; Co. International plc, authorized by the</v>
          </cell>
        </row>
        <row r="356">
          <cell r="A356" t="str">
            <v>Prudential Regulatory Authority and regulated by the Financial Conduct Authority and the Prudential</v>
          </cell>
        </row>
        <row r="357">
          <cell r="A357" t="str">
            <v>Regulatory Authority, disseminates in the UK research that it has prepared, and approves solely for the</v>
          </cell>
        </row>
        <row r="358">
          <cell r="A358" t="str">
            <v>purposes of section 21 of the Financial Services and Markets Act 2000, research which has been prepared</v>
          </cell>
        </row>
        <row r="359">
          <cell r="A359" t="str">
            <v>by any of its affiliates. RMB Morgan Stanley (Proprietary) Limited is a member of the JSE Limited and</v>
          </cell>
        </row>
        <row r="360">
          <cell r="A360" t="str">
            <v>regulated by the Financial Services Board in South Africa. RMB Morgan Stanley (Proprietary) Limited is a</v>
          </cell>
        </row>
        <row r="361">
          <cell r="A361" t="str">
            <v>joint venture owned equally by Morgan Stanley International Holdings Inc. and RMB Investment Advisory</v>
          </cell>
        </row>
        <row r="362">
          <cell r="A362" t="str">
            <v>(Proprietary) Limited, which is wholly owned by FirstRand Limited. The information in Morgan Stanley</v>
          </cell>
        </row>
        <row r="363">
          <cell r="A363" t="str">
            <v>Research is being disseminated by Morgan Stanley Saudi Arabia, regulated by the Capital Market Authority</v>
          </cell>
        </row>
        <row r="364">
          <cell r="A364" t="str">
            <v>in the Kingdom of Saudi Arabia , and is directed at Sophisticated investors only.</v>
          </cell>
        </row>
        <row r="365">
          <cell r="A365" t="str">
            <v>The information in Morgan Stanley Research is being communicated by Morgan Stanley &amp; Co. International</v>
          </cell>
        </row>
        <row r="366">
          <cell r="A366" t="str">
            <v>The information in Morgan Stanley Research is being communicated by Morgan Stanley &amp; Co. International</v>
          </cell>
        </row>
        <row r="367">
          <cell r="A367" t="str">
            <v>plc (DIFC Branch), regulated by the Dubai Financial Services Authority (the DFSA), and is directed at</v>
          </cell>
        </row>
        <row r="368">
          <cell r="A368" t="str">
            <v>Professional Clients only, as defined by the DFSA. The financial products or financial services to which</v>
          </cell>
        </row>
        <row r="369">
          <cell r="A369" t="str">
            <v>this research relates will only be made available to a customer who we are satisfied meets the</v>
          </cell>
        </row>
        <row r="370">
          <cell r="A370" t="str">
            <v>regulatory criteria to be a Professional Client.</v>
          </cell>
        </row>
        <row r="371">
          <cell r="A371" t="str">
            <v>The information in Morgan Stanley Research is being communicated by Morgan Stanley &amp; Co. International</v>
          </cell>
        </row>
        <row r="372">
          <cell r="A372" t="str">
            <v>The information in Morgan Stanley Research is being communicated by Morgan Stanley &amp; Co. International</v>
          </cell>
        </row>
        <row r="373">
          <cell r="A373" t="str">
            <v>plc (QFC Branch), regulated by the Qatar Financial Centre Regulatory Authority (the QFCRA), and is</v>
          </cell>
        </row>
        <row r="374">
          <cell r="A374" t="str">
            <v>directed at business customers and market counterparties only and is not intended for Retail Customers</v>
          </cell>
        </row>
        <row r="375">
          <cell r="A375" t="str">
            <v>as defined by the QFCRA.</v>
          </cell>
        </row>
        <row r="376">
          <cell r="A376" t="str">
            <v>As required by the Capital Markets Board of Turkey, investment information, comments and recommendations</v>
          </cell>
        </row>
        <row r="377">
          <cell r="A377" t="str">
            <v>As required by the Capital Markets Board of Turkey, investment information, comments and recommendations</v>
          </cell>
        </row>
        <row r="378">
          <cell r="A378" t="str">
            <v>stated here, are not within the scope of investment advisory activity. Investment advisory service is</v>
          </cell>
        </row>
        <row r="379">
          <cell r="A379" t="str">
            <v>provided exclusively to persons based on their risk and income preferences by the authorized firms.</v>
          </cell>
        </row>
        <row r="380">
          <cell r="A380" t="str">
            <v>Comments and recommendations stated here are general in nature. These opinions may not fit to your</v>
          </cell>
        </row>
        <row r="381">
          <cell r="A381" t="str">
            <v>financial status, risk and return preferences. For this reason, to make an investment decision by</v>
          </cell>
        </row>
        <row r="382">
          <cell r="A382" t="str">
            <v>relying solely to this information stated here may not bring about outcomes that fit your expectations.</v>
          </cell>
        </row>
        <row r="383">
          <cell r="A383" t="str">
            <v>The trademarks and service marks contained in Morgan Stanley Research are the property of their</v>
          </cell>
        </row>
        <row r="384">
          <cell r="A384" t="str">
            <v>The trademarks and service marks contained in Morgan Stanley Research are the property of their</v>
          </cell>
        </row>
        <row r="385">
          <cell r="A385" t="str">
            <v>respective owners. Third-party data providers make no warranties or representations relating to the</v>
          </cell>
        </row>
        <row r="386">
          <cell r="A386" t="str">
            <v>accuracy, completeness, or timeliness of the data they provide and shall not have liability for any</v>
          </cell>
        </row>
        <row r="387">
          <cell r="A387" t="str">
            <v>damages relating to such data. The Global Industry Classification Standard (GICS) was developed by and</v>
          </cell>
        </row>
        <row r="388">
          <cell r="A388" t="str">
            <v>is the exclusive property of MSCI and S&amp;P.</v>
          </cell>
        </row>
        <row r="389">
          <cell r="A389" t="str">
            <v>Morgan Stanley Research, or any portion thereof may not be reprinted, sold or redistributed without the</v>
          </cell>
        </row>
        <row r="390">
          <cell r="A390" t="str">
            <v>Morgan Stanley Research, or any portion thereof may not be reprinted, sold or redistributed without the</v>
          </cell>
        </row>
        <row r="391">
          <cell r="A391" t="str">
            <v>written consent of Morgan Stanley.</v>
          </cell>
        </row>
        <row r="392">
          <cell r="A392" t="str">
            <v>© Copyright 2017 Morgan Stanley</v>
          </cell>
        </row>
        <row r="393">
          <cell r="A393" t="str">
            <v>© Copyright 2016 Morgan Stanley</v>
          </cell>
        </row>
      </sheetData>
      <sheetData sheetId="1"/>
      <sheetData sheetId="2"/>
      <sheetData sheetId="3"/>
      <sheetData sheetId="4"/>
      <sheetData sheetId="5"/>
      <sheetData sheetId="6">
        <row r="5">
          <cell r="E5">
            <v>59.1</v>
          </cell>
        </row>
      </sheetData>
      <sheetData sheetId="7">
        <row r="8">
          <cell r="Q8">
            <v>5675000</v>
          </cell>
        </row>
      </sheetData>
      <sheetData sheetId="8">
        <row r="84">
          <cell r="R84">
            <v>-65400</v>
          </cell>
        </row>
      </sheetData>
      <sheetData sheetId="9">
        <row r="93">
          <cell r="BP93">
            <v>3.800942440657066</v>
          </cell>
        </row>
      </sheetData>
      <sheetData sheetId="10">
        <row r="11">
          <cell r="O11">
            <v>1567372.1834401232</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ow r="13">
          <cell r="S13">
            <v>5387000</v>
          </cell>
        </row>
      </sheetData>
      <sheetData sheetId="36"/>
      <sheetData sheetId="37" refreshError="1"/>
      <sheetData sheetId="38" refreshError="1"/>
      <sheetData sheetId="39" refreshError="1"/>
      <sheetData sheetId="40" refreshError="1"/>
      <sheetData sheetId="41" refreshError="1"/>
      <sheetData sheetId="42" refreshError="1"/>
      <sheetData sheetId="43"/>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MV 2005"/>
      <sheetName val="AOL - Domestic Operations"/>
    </sheetNames>
    <sheetDataSet>
      <sheetData sheetId="0" refreshError="1">
        <row r="1">
          <cell r="A1" t="str">
            <v>Comcast Corp.</v>
          </cell>
        </row>
        <row r="2">
          <cell r="A2" t="str">
            <v>Estimated 2005 Equity Value</v>
          </cell>
        </row>
        <row r="4">
          <cell r="A4" t="str">
            <v>($ Millions Except Per Share Data)</v>
          </cell>
        </row>
        <row r="6">
          <cell r="B6" t="str">
            <v>Cable TV</v>
          </cell>
        </row>
        <row r="7">
          <cell r="B7" t="str">
            <v>Operations</v>
          </cell>
          <cell r="C7" t="str">
            <v>Content</v>
          </cell>
          <cell r="D7" t="str">
            <v>Corp/Other</v>
          </cell>
          <cell r="E7" t="str">
            <v>Total</v>
          </cell>
        </row>
        <row r="8">
          <cell r="A8" t="str">
            <v>Consolidated</v>
          </cell>
        </row>
        <row r="9">
          <cell r="A9" t="str">
            <v>Core Cable Television Operations</v>
          </cell>
          <cell r="B9">
            <v>92243.628351397652</v>
          </cell>
          <cell r="E9">
            <v>92243.628351397652</v>
          </cell>
        </row>
        <row r="10">
          <cell r="A10" t="str">
            <v>Comcast Spectacor</v>
          </cell>
          <cell r="C10">
            <v>462.33937223018188</v>
          </cell>
          <cell r="E10">
            <v>462.33937223018188</v>
          </cell>
        </row>
        <row r="11">
          <cell r="A11" t="str">
            <v>E! Entertainment Network (60.5%)</v>
          </cell>
          <cell r="C11">
            <v>2648.8454802169249</v>
          </cell>
          <cell r="E11">
            <v>2648.8454802169249</v>
          </cell>
        </row>
        <row r="12">
          <cell r="A12" t="str">
            <v>Outdoor Life Network (100%)</v>
          </cell>
          <cell r="C12">
            <v>49.664418292342525</v>
          </cell>
          <cell r="E12">
            <v>49.664418292342525</v>
          </cell>
        </row>
        <row r="13">
          <cell r="A13" t="str">
            <v>The Golf Channel (92%)</v>
          </cell>
          <cell r="C13">
            <v>1276.9702628280659</v>
          </cell>
          <cell r="E13">
            <v>1276.9702628280659</v>
          </cell>
        </row>
        <row r="14">
          <cell r="A14" t="str">
            <v>Present Value of Corp. Overhead Charges</v>
          </cell>
          <cell r="D14">
            <v>-3474.4313371740805</v>
          </cell>
          <cell r="E14">
            <v>-3474.4313371740805</v>
          </cell>
        </row>
        <row r="15">
          <cell r="A15" t="str">
            <v>Total Consolidated Assets</v>
          </cell>
          <cell r="B15">
            <v>92243.628351397652</v>
          </cell>
          <cell r="C15">
            <v>4437.8195335675155</v>
          </cell>
          <cell r="D15">
            <v>-3474.4313371740805</v>
          </cell>
          <cell r="E15">
            <v>93207.016547791092</v>
          </cell>
        </row>
        <row r="17">
          <cell r="A17" t="str">
            <v>Unconsolidated Investments</v>
          </cell>
        </row>
        <row r="18">
          <cell r="A18" t="str">
            <v>Texas and Kansas City Cable Partners, L.P. (50%)</v>
          </cell>
          <cell r="B18">
            <v>2435.5</v>
          </cell>
          <cell r="E18">
            <v>2435.5</v>
          </cell>
        </row>
        <row r="19">
          <cell r="A19" t="str">
            <v>Insight JV (50%)</v>
          </cell>
          <cell r="B19">
            <v>1809.1206978645544</v>
          </cell>
          <cell r="E19">
            <v>1809.1206978645544</v>
          </cell>
        </row>
        <row r="20">
          <cell r="A20" t="str">
            <v>U.S. Cable of Coastal Texas, LP (48.16%)</v>
          </cell>
          <cell r="B20">
            <v>181.59399999999999</v>
          </cell>
          <cell r="E20">
            <v>181.59399999999999</v>
          </cell>
        </row>
        <row r="21">
          <cell r="A21" t="str">
            <v>Total Unconsolidated Assets</v>
          </cell>
          <cell r="B21">
            <v>4426.2146978645542</v>
          </cell>
          <cell r="C21">
            <v>0</v>
          </cell>
          <cell r="D21">
            <v>0</v>
          </cell>
          <cell r="E21">
            <v>4426.2146978645542</v>
          </cell>
        </row>
        <row r="23">
          <cell r="A23" t="str">
            <v>Total Estimated Asset Value</v>
          </cell>
          <cell r="B23">
            <v>96669.843049262214</v>
          </cell>
          <cell r="C23">
            <v>4437.8195335675155</v>
          </cell>
          <cell r="D23">
            <v>-3474.4313371740805</v>
          </cell>
          <cell r="E23">
            <v>97633.231245655654</v>
          </cell>
        </row>
        <row r="25">
          <cell r="A25" t="str">
            <v>Less:</v>
          </cell>
        </row>
        <row r="26">
          <cell r="A26" t="str">
            <v>Debt</v>
          </cell>
          <cell r="B26">
            <v>23001</v>
          </cell>
          <cell r="C26">
            <v>370</v>
          </cell>
          <cell r="E26">
            <v>23371</v>
          </cell>
        </row>
        <row r="27">
          <cell r="A27" t="str">
            <v>Convertible and Exchangeable Debt</v>
          </cell>
          <cell r="B27">
            <v>-254</v>
          </cell>
          <cell r="E27">
            <v>-254</v>
          </cell>
        </row>
        <row r="28">
          <cell r="A28" t="str">
            <v>Pro Forma increase in Debt for ADLAC/TWC</v>
          </cell>
          <cell r="B28">
            <v>1500</v>
          </cell>
          <cell r="E28">
            <v>1500</v>
          </cell>
        </row>
        <row r="29">
          <cell r="A29" t="str">
            <v>Net Debt</v>
          </cell>
          <cell r="B29">
            <v>24247</v>
          </cell>
          <cell r="C29">
            <v>370</v>
          </cell>
          <cell r="D29">
            <v>0</v>
          </cell>
          <cell r="E29">
            <v>24617</v>
          </cell>
        </row>
        <row r="30">
          <cell r="A30" t="str">
            <v>Content Minority Interest</v>
          </cell>
          <cell r="C30">
            <v>1203.4893512439471</v>
          </cell>
          <cell r="E30">
            <v>1203.4893512439471</v>
          </cell>
        </row>
        <row r="32">
          <cell r="A32" t="str">
            <v>Plus:</v>
          </cell>
        </row>
        <row r="33">
          <cell r="A33" t="str">
            <v>Consolidated Cash</v>
          </cell>
          <cell r="D33">
            <v>693</v>
          </cell>
          <cell r="E33">
            <v>693</v>
          </cell>
        </row>
        <row r="34">
          <cell r="A34" t="str">
            <v>Cash - Stock Options</v>
          </cell>
          <cell r="D34">
            <v>0</v>
          </cell>
          <cell r="E34">
            <v>0</v>
          </cell>
        </row>
        <row r="35">
          <cell r="A35" t="str">
            <v>Total Estimated Equity Value</v>
          </cell>
          <cell r="B35">
            <v>72422.843049262214</v>
          </cell>
          <cell r="C35">
            <v>2864.3301823235684</v>
          </cell>
          <cell r="D35">
            <v>-2781.4313371740805</v>
          </cell>
          <cell r="E35">
            <v>72505.741894411709</v>
          </cell>
          <cell r="G35">
            <v>34</v>
          </cell>
        </row>
        <row r="37">
          <cell r="A37" t="str">
            <v>Comcast Class A Shares</v>
          </cell>
          <cell r="B37">
            <v>1363.3673180000001</v>
          </cell>
          <cell r="C37">
            <v>1363.3673180000001</v>
          </cell>
          <cell r="D37">
            <v>1363.3673180000001</v>
          </cell>
          <cell r="E37">
            <v>1363.3673180000001</v>
          </cell>
        </row>
        <row r="38">
          <cell r="A38" t="str">
            <v>Comcast Special Class A Shares</v>
          </cell>
          <cell r="B38">
            <v>765.80791399999998</v>
          </cell>
          <cell r="C38">
            <v>765.80791399999998</v>
          </cell>
          <cell r="D38">
            <v>765.80791399999998</v>
          </cell>
          <cell r="E38">
            <v>765.80791399999998</v>
          </cell>
        </row>
        <row r="39">
          <cell r="A39" t="str">
            <v>Comcast Class B Shares</v>
          </cell>
          <cell r="B39">
            <v>9.4443750000000009</v>
          </cell>
          <cell r="C39">
            <v>9.4443750000000009</v>
          </cell>
          <cell r="D39">
            <v>9.4443750000000009</v>
          </cell>
          <cell r="E39">
            <v>9.4443750000000009</v>
          </cell>
        </row>
        <row r="40">
          <cell r="A40" t="str">
            <v xml:space="preserve">Stock Options </v>
          </cell>
          <cell r="B40">
            <v>17.514128235294109</v>
          </cell>
          <cell r="C40">
            <v>17.514128235294109</v>
          </cell>
          <cell r="D40">
            <v>17.514128235294109</v>
          </cell>
          <cell r="E40">
            <v>17.514128235294109</v>
          </cell>
        </row>
        <row r="41">
          <cell r="A41" t="str">
            <v xml:space="preserve">  Total Shares Outstanding</v>
          </cell>
          <cell r="B41">
            <v>2156.1337352352944</v>
          </cell>
          <cell r="C41">
            <v>2156.1337352352944</v>
          </cell>
          <cell r="D41">
            <v>2156.1337352352944</v>
          </cell>
          <cell r="E41">
            <v>2156.1337352352944</v>
          </cell>
        </row>
        <row r="43">
          <cell r="A43" t="str">
            <v>Total Estimted Equity Value Per Share</v>
          </cell>
          <cell r="B43">
            <v>33.589216599015302</v>
          </cell>
          <cell r="C43">
            <v>1.3284566423292803</v>
          </cell>
          <cell r="D43">
            <v>-1.2900087279931867</v>
          </cell>
          <cell r="E43">
            <v>33.627664513351398</v>
          </cell>
        </row>
        <row r="46">
          <cell r="A46" t="str">
            <v>Supplemental Valuation Data</v>
          </cell>
        </row>
        <row r="47">
          <cell r="A47" t="str">
            <v xml:space="preserve">Estimated Asset Value </v>
          </cell>
          <cell r="B47">
            <v>92243.628351397652</v>
          </cell>
          <cell r="C47">
            <v>4437.8195335675155</v>
          </cell>
          <cell r="D47">
            <v>-3474.4313371740805</v>
          </cell>
          <cell r="E47">
            <v>93207.016547791092</v>
          </cell>
        </row>
        <row r="48">
          <cell r="A48" t="str">
            <v xml:space="preserve">2005E Pro Forma EBITDA </v>
          </cell>
          <cell r="B48">
            <v>8939.1542773397323</v>
          </cell>
          <cell r="C48">
            <v>283</v>
          </cell>
          <cell r="D48">
            <v>-248</v>
          </cell>
          <cell r="E48">
            <v>8974.1542773397323</v>
          </cell>
        </row>
        <row r="49">
          <cell r="A49" t="str">
            <v>Est. Asset Value / Est. EBITDA</v>
          </cell>
          <cell r="B49">
            <v>10.319055415032965</v>
          </cell>
          <cell r="C49">
            <v>15.681341108012422</v>
          </cell>
          <cell r="E49">
            <v>10.386161600001049</v>
          </cell>
        </row>
        <row r="51">
          <cell r="A51" t="str">
            <v xml:space="preserve">2006E EBITDA  </v>
          </cell>
          <cell r="B51">
            <v>9940.6759388239461</v>
          </cell>
          <cell r="C51">
            <v>286.29797179232816</v>
          </cell>
          <cell r="D51">
            <v>-249.07948878313337</v>
          </cell>
          <cell r="E51">
            <v>9977.8944218331417</v>
          </cell>
        </row>
        <row r="52">
          <cell r="A52" t="str">
            <v>Est. Asset Value / 2006 EBITDA</v>
          </cell>
          <cell r="B52">
            <v>9.2794120761078496</v>
          </cell>
          <cell r="C52">
            <v>15.500701963709945</v>
          </cell>
          <cell r="E52">
            <v>9.3413512518072004</v>
          </cell>
        </row>
        <row r="54">
          <cell r="A54" t="str">
            <v>2005E Basic Subscribers</v>
          </cell>
          <cell r="B54">
            <v>23216926.113522481</v>
          </cell>
        </row>
        <row r="55">
          <cell r="A55" t="str">
            <v>Est. Asset Value per Basic Subscriber</v>
          </cell>
          <cell r="B55">
            <v>3973.1197790938922</v>
          </cell>
        </row>
        <row r="57">
          <cell r="A57" t="str">
            <v>E = Morgan Stanley Research Estimates</v>
          </cell>
        </row>
      </sheetData>
      <sheetData sheetId="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kyo Disneyland"/>
      <sheetName val="Total Multichannel subs"/>
      <sheetName val="Critical Drivers"/>
      <sheetName val="Advertising Reconciliation"/>
      <sheetName val="Comps"/>
      <sheetName val="Affiliate Fee Reconciliation"/>
      <sheetName val="Global Comps"/>
      <sheetName val="ROI"/>
      <sheetName val="ABC Radio O&amp;O"/>
      <sheetName val="ABC TV O&amp;O"/>
      <sheetName val="Hong Kong"/>
      <sheetName val="Pixar Integration (2)"/>
      <sheetName val="Pixar Integration"/>
      <sheetName val="Film Dist. Breakdown"/>
      <sheetName val="Sheet1"/>
      <sheetName val="Sheet2"/>
      <sheetName val="Sheet3"/>
    </sheetNames>
    <sheetDataSet>
      <sheetData sheetId="0"/>
      <sheetData sheetId="1"/>
      <sheetData sheetId="2" refreshError="1">
        <row r="1">
          <cell r="A1" t="str">
            <v>Disney Model Drivers</v>
          </cell>
        </row>
        <row r="2">
          <cell r="A2" t="str">
            <v>(in millions)</v>
          </cell>
        </row>
        <row r="3">
          <cell r="A3" t="str">
            <v>Segment Assumptions</v>
          </cell>
          <cell r="C3">
            <v>1998</v>
          </cell>
          <cell r="D3">
            <v>1999</v>
          </cell>
          <cell r="E3" t="str">
            <v>2000</v>
          </cell>
          <cell r="F3" t="str">
            <v>2001</v>
          </cell>
          <cell r="G3" t="str">
            <v>2002</v>
          </cell>
          <cell r="H3" t="str">
            <v>2003</v>
          </cell>
          <cell r="I3" t="str">
            <v>2004</v>
          </cell>
          <cell r="J3" t="str">
            <v>2005</v>
          </cell>
          <cell r="K3" t="str">
            <v>2006</v>
          </cell>
          <cell r="L3" t="str">
            <v>2007E</v>
          </cell>
          <cell r="M3" t="str">
            <v>2008E</v>
          </cell>
          <cell r="N3" t="str">
            <v>2009E</v>
          </cell>
          <cell r="O3" t="str">
            <v>2010E</v>
          </cell>
        </row>
        <row r="4">
          <cell r="A4" t="str">
            <v>Filmed Entertainment</v>
          </cell>
        </row>
        <row r="5">
          <cell r="A5" t="str">
            <v>Global Theatrical Rentals</v>
          </cell>
          <cell r="D5">
            <v>1714.2857142857142</v>
          </cell>
          <cell r="E5">
            <v>1800</v>
          </cell>
          <cell r="F5">
            <v>0</v>
          </cell>
          <cell r="G5">
            <v>-1.267934770516288E-2</v>
          </cell>
          <cell r="H5">
            <v>0.35011953570980792</v>
          </cell>
          <cell r="I5">
            <v>-0.1879100265613689</v>
          </cell>
          <cell r="J5">
            <v>-2.2705042460322122E-2</v>
          </cell>
          <cell r="K5">
            <v>0.26031337521762166</v>
          </cell>
          <cell r="L5">
            <v>-0.35</v>
          </cell>
          <cell r="M5">
            <v>0</v>
          </cell>
          <cell r="N5">
            <v>0.04</v>
          </cell>
          <cell r="O5">
            <v>0.04</v>
          </cell>
        </row>
        <row r="6">
          <cell r="A6" t="str">
            <v>Global Home Video Revenue</v>
          </cell>
          <cell r="D6">
            <v>3115.1</v>
          </cell>
          <cell r="E6">
            <v>2800</v>
          </cell>
          <cell r="F6">
            <v>1649.8519133713517</v>
          </cell>
          <cell r="G6">
            <v>1953.035688121663</v>
          </cell>
          <cell r="H6">
            <v>2129.1761003900592</v>
          </cell>
          <cell r="I6">
            <v>3450.984471984304</v>
          </cell>
          <cell r="J6">
            <v>1809.6992731998787</v>
          </cell>
          <cell r="K6">
            <v>1231.5770348042654</v>
          </cell>
          <cell r="L6">
            <v>1755.156414957926</v>
          </cell>
          <cell r="M6">
            <v>1807.4039598275863</v>
          </cell>
          <cell r="N6">
            <v>1897.7926578189656</v>
          </cell>
          <cell r="O6">
            <v>1973.6923641317244</v>
          </cell>
        </row>
        <row r="7">
          <cell r="A7" t="str">
            <v>Global TV Distribution (Films)</v>
          </cell>
          <cell r="D7">
            <v>520</v>
          </cell>
          <cell r="E7">
            <v>440</v>
          </cell>
          <cell r="F7">
            <v>2220</v>
          </cell>
          <cell r="G7">
            <v>2515.3308316500002</v>
          </cell>
          <cell r="H7">
            <v>2609.9259179400233</v>
          </cell>
          <cell r="I7">
            <v>2745.5968311319175</v>
          </cell>
          <cell r="J7">
            <v>3009.3783330932943</v>
          </cell>
          <cell r="K7">
            <v>3009.6390000000001</v>
          </cell>
          <cell r="L7">
            <v>2950.3965567066548</v>
          </cell>
          <cell r="M7">
            <v>3092.9119189749208</v>
          </cell>
          <cell r="N7">
            <v>3216.6283957339178</v>
          </cell>
          <cell r="O7">
            <v>3345.2935315632749</v>
          </cell>
        </row>
        <row r="8">
          <cell r="A8" t="str">
            <v>TV Syndication</v>
          </cell>
          <cell r="D8">
            <v>3809.0892305829507</v>
          </cell>
          <cell r="E8">
            <v>4113.0986921120984</v>
          </cell>
          <cell r="F8">
            <v>5438.351713346352</v>
          </cell>
          <cell r="G8">
            <v>6117.8485652159679</v>
          </cell>
          <cell r="H8">
            <v>6837.0474890718515</v>
          </cell>
          <cell r="I8">
            <v>8012.6523391166338</v>
          </cell>
          <cell r="J8">
            <v>6724.1221203337</v>
          </cell>
          <cell r="K8">
            <v>6572.3354946689169</v>
          </cell>
          <cell r="L8">
            <v>6364.9165565392614</v>
          </cell>
          <cell r="M8">
            <v>6574.5873988025078</v>
          </cell>
          <cell r="N8">
            <v>6855.7018343528835</v>
          </cell>
          <cell r="O8">
            <v>7129.914707726999</v>
          </cell>
        </row>
        <row r="9">
          <cell r="A9" t="str">
            <v>Other Revenue (Live Theatricals, etc.)</v>
          </cell>
          <cell r="C9">
            <v>-2849.9761379701572</v>
          </cell>
          <cell r="D9">
            <v>-2992.4749448686653</v>
          </cell>
          <cell r="E9">
            <v>-3142.0986921120984</v>
          </cell>
          <cell r="F9">
            <v>-3299.2036267177036</v>
          </cell>
          <cell r="G9">
            <v>-3895.2024056399264</v>
          </cell>
          <cell r="H9">
            <v>-4212.4996269376443</v>
          </cell>
          <cell r="I9">
            <v>-5496.0457322062939</v>
          </cell>
          <cell r="J9">
            <v>-3956.1770215844131</v>
          </cell>
          <cell r="K9">
            <v>-3284.8118428483999</v>
          </cell>
          <cell r="L9">
            <v>-3710.2718861202543</v>
          </cell>
          <cell r="M9">
            <v>-3865.5875498364071</v>
          </cell>
          <cell r="N9">
            <v>-4038.343591428139</v>
          </cell>
          <cell r="O9">
            <v>-4199.8637350852669</v>
          </cell>
        </row>
        <row r="10">
          <cell r="A10" t="str">
            <v>Filmed Entertainment Revenue</v>
          </cell>
          <cell r="C10">
            <v>6849</v>
          </cell>
          <cell r="D10">
            <v>6166</v>
          </cell>
          <cell r="E10">
            <v>6011</v>
          </cell>
          <cell r="F10">
            <v>6009</v>
          </cell>
          <cell r="G10">
            <v>6691</v>
          </cell>
          <cell r="H10">
            <v>7364</v>
          </cell>
          <cell r="I10">
            <v>8713</v>
          </cell>
          <cell r="J10">
            <v>7587</v>
          </cell>
          <cell r="K10">
            <v>7529</v>
          </cell>
          <cell r="L10">
            <v>7359.8476420835877</v>
          </cell>
          <cell r="M10">
            <v>7609.3157277686078</v>
          </cell>
          <cell r="N10">
            <v>7931.8192964776272</v>
          </cell>
          <cell r="O10">
            <v>8249.0768683367314</v>
          </cell>
        </row>
        <row r="11">
          <cell r="A11" t="str">
            <v>% Change</v>
          </cell>
          <cell r="D11">
            <v>-9.972258723901295E-2</v>
          </cell>
          <cell r="E11">
            <v>-2.5137852740836797E-2</v>
          </cell>
          <cell r="F11">
            <v>-3.3272334054235131E-4</v>
          </cell>
          <cell r="G11">
            <v>0.11349642203361632</v>
          </cell>
          <cell r="H11">
            <v>0.10058287251531906</v>
          </cell>
          <cell r="I11">
            <v>0.18318848451928305</v>
          </cell>
          <cell r="J11">
            <v>-0.12923218179731433</v>
          </cell>
          <cell r="K11">
            <v>-7.6446553314880594E-3</v>
          </cell>
          <cell r="L11">
            <v>-2.2466776187596293E-2</v>
          </cell>
          <cell r="M11">
            <v>3.3895822008401577E-2</v>
          </cell>
          <cell r="N11">
            <v>4.2382729307986367E-2</v>
          </cell>
          <cell r="O11">
            <v>3.9998083667891038E-2</v>
          </cell>
        </row>
        <row r="12">
          <cell r="A12" t="str">
            <v>% of Incremental Revenue from Home Video</v>
          </cell>
          <cell r="D12" t="str">
            <v>NM</v>
          </cell>
          <cell r="E12" t="str">
            <v>NM</v>
          </cell>
          <cell r="F12" t="str">
            <v>NM</v>
          </cell>
          <cell r="G12">
            <v>0.44455098936995807</v>
          </cell>
          <cell r="H12">
            <v>0.2617242381402618</v>
          </cell>
          <cell r="I12">
            <v>0.97984312201204216</v>
          </cell>
          <cell r="J12">
            <v>1.4576245104657419</v>
          </cell>
          <cell r="K12">
            <v>9.9676247999243675</v>
          </cell>
          <cell r="L12">
            <v>-3.0953123361862374</v>
          </cell>
          <cell r="M12">
            <v>0.20943578705144811</v>
          </cell>
          <cell r="N12">
            <v>0.28027193110825083</v>
          </cell>
          <cell r="O12">
            <v>0.23923686318341439</v>
          </cell>
        </row>
        <row r="14">
          <cell r="A14" t="str">
            <v>Total EBITA</v>
          </cell>
          <cell r="C14">
            <v>0.11227916484158271</v>
          </cell>
          <cell r="D14">
            <v>1.77153329260843E-2</v>
          </cell>
          <cell r="E14">
            <v>4.3268430687302378E-2</v>
          </cell>
          <cell r="F14">
            <v>4.3268430687302378E-2</v>
          </cell>
          <cell r="G14">
            <v>4.0801076072335976E-2</v>
          </cell>
          <cell r="H14">
            <v>8.4193373166757193E-2</v>
          </cell>
          <cell r="I14">
            <v>7.5978423046023189E-2</v>
          </cell>
          <cell r="J14">
            <v>2.7283511269276393E-2</v>
          </cell>
          <cell r="K14">
            <v>9.682560765041838E-2</v>
          </cell>
          <cell r="L14">
            <v>0.1330621787861001</v>
          </cell>
          <cell r="M14">
            <v>0.14456253193342475</v>
          </cell>
          <cell r="N14">
            <v>0.14504053874778244</v>
          </cell>
          <cell r="O14">
            <v>0.14524378175200123</v>
          </cell>
        </row>
        <row r="15">
          <cell r="A15" t="str">
            <v>EBITA Margin</v>
          </cell>
          <cell r="C15">
            <v>1.6393512168430822E-5</v>
          </cell>
          <cell r="D15">
            <v>2.8730672925858419E-6</v>
          </cell>
          <cell r="E15">
            <v>7.1982083991519514E-6</v>
          </cell>
          <cell r="F15">
            <v>7.2006042082380393E-6</v>
          </cell>
          <cell r="G15">
            <v>6.0979040610276454E-6</v>
          </cell>
          <cell r="H15">
            <v>1.1433103363220695E-5</v>
          </cell>
          <cell r="I15">
            <v>8.720122006888924E-6</v>
          </cell>
          <cell r="J15">
            <v>3.5960868945929081E-6</v>
          </cell>
          <cell r="K15">
            <v>1.2860354316697886E-5</v>
          </cell>
          <cell r="L15">
            <v>1.8079474638204595E-5</v>
          </cell>
          <cell r="M15">
            <v>1.8998098791705278E-5</v>
          </cell>
          <cell r="N15">
            <v>1.8285910624841421E-5</v>
          </cell>
          <cell r="O15">
            <v>1.7607277040841402E-5</v>
          </cell>
        </row>
        <row r="16">
          <cell r="A16" t="str">
            <v>Incremental EBITA Margin (Chg. EBITA / Chg. Rev.)</v>
          </cell>
          <cell r="D16">
            <v>1.3845363384406797E-4</v>
          </cell>
          <cell r="E16">
            <v>-1.6485869523366503E-4</v>
          </cell>
          <cell r="F16">
            <v>0</v>
          </cell>
          <cell r="G16">
            <v>-3.6178220160797686E-6</v>
          </cell>
          <cell r="H16">
            <v>6.447592436020983E-5</v>
          </cell>
          <cell r="I16">
            <v>-6.0896590961705003E-6</v>
          </cell>
          <cell r="J16">
            <v>4.3245925201373708E-5</v>
          </cell>
          <cell r="K16">
            <v>-1.1990016617438274E-3</v>
          </cell>
          <cell r="L16">
            <v>-2.1422445174301539E-4</v>
          </cell>
          <cell r="M16">
            <v>4.6099496517743201E-5</v>
          </cell>
          <cell r="N16">
            <v>1.482175271024612E-6</v>
          </cell>
          <cell r="O16">
            <v>6.406245973194459E-7</v>
          </cell>
        </row>
        <row r="17">
          <cell r="A17" t="str">
            <v>Change in EBITA due to Revenue Growth</v>
          </cell>
          <cell r="D17">
            <v>-1.1196768811038251E-2</v>
          </cell>
          <cell r="E17">
            <v>-4.453254303508055E-4</v>
          </cell>
          <cell r="F17">
            <v>-1.4396416798303903E-5</v>
          </cell>
          <cell r="G17">
            <v>4.9108120700183432E-3</v>
          </cell>
          <cell r="H17">
            <v>4.1038894330716049E-3</v>
          </cell>
          <cell r="I17">
            <v>1.5423256436984717E-2</v>
          </cell>
          <cell r="J17">
            <v>-9.8188573797569276E-3</v>
          </cell>
          <cell r="K17">
            <v>-2.0857303988638866E-4</v>
          </cell>
          <cell r="L17">
            <v>-2.175359256309958E-3</v>
          </cell>
          <cell r="M17">
            <v>4.5102519281837701E-3</v>
          </cell>
          <cell r="N17">
            <v>6.1269546590114621E-3</v>
          </cell>
          <cell r="O17">
            <v>5.8013436040697851E-3</v>
          </cell>
        </row>
        <row r="18">
          <cell r="A18" t="str">
            <v>Change in EBITA due to Change in Margins</v>
          </cell>
          <cell r="D18">
            <v>-8.3367063104460168E-2</v>
          </cell>
          <cell r="E18">
            <v>2.5998423191568885E-2</v>
          </cell>
          <cell r="F18">
            <v>1.4396416798303903E-5</v>
          </cell>
          <cell r="G18">
            <v>-7.3781666849847454E-3</v>
          </cell>
          <cell r="H18">
            <v>3.9288407661349611E-2</v>
          </cell>
          <cell r="I18">
            <v>-2.363820655771872E-2</v>
          </cell>
          <cell r="J18">
            <v>-3.8876054396989872E-2</v>
          </cell>
          <cell r="K18">
            <v>6.975066942102838E-2</v>
          </cell>
          <cell r="L18">
            <v>3.8411930391991686E-2</v>
          </cell>
          <cell r="M18">
            <v>6.9901012191408733E-3</v>
          </cell>
          <cell r="N18">
            <v>-5.6489478446537667E-3</v>
          </cell>
          <cell r="O18">
            <v>-5.5981005998510013E-3</v>
          </cell>
        </row>
        <row r="20">
          <cell r="A20" t="str">
            <v>Theme Parks and Resorts</v>
          </cell>
          <cell r="C20">
            <v>1998</v>
          </cell>
          <cell r="D20">
            <v>1999</v>
          </cell>
          <cell r="E20" t="str">
            <v>2000</v>
          </cell>
          <cell r="F20" t="str">
            <v>2001</v>
          </cell>
          <cell r="G20" t="str">
            <v>2002</v>
          </cell>
          <cell r="H20" t="str">
            <v>2003</v>
          </cell>
          <cell r="I20">
            <v>2004</v>
          </cell>
          <cell r="J20" t="str">
            <v>2005E</v>
          </cell>
          <cell r="K20" t="str">
            <v>2006E</v>
          </cell>
          <cell r="L20" t="str">
            <v>2007E</v>
          </cell>
          <cell r="M20" t="str">
            <v>2008E</v>
          </cell>
          <cell r="N20" t="str">
            <v>2009E</v>
          </cell>
          <cell r="O20" t="str">
            <v>2010E</v>
          </cell>
        </row>
        <row r="21">
          <cell r="A21" t="str">
            <v xml:space="preserve">Theme Parks </v>
          </cell>
        </row>
        <row r="22">
          <cell r="A22" t="str">
            <v>Disneyland Attendence Growth</v>
          </cell>
          <cell r="C22">
            <v>-0.19611206403659265</v>
          </cell>
          <cell r="D22">
            <v>0.73299527889491212</v>
          </cell>
          <cell r="E22">
            <v>-0.15686274509804277</v>
          </cell>
          <cell r="F22">
            <v>-4.5454545454542861E-2</v>
          </cell>
          <cell r="G22">
            <v>-4.3478260869560081E-2</v>
          </cell>
          <cell r="H22">
            <v>-4.166666666667429E-2</v>
          </cell>
          <cell r="I22">
            <v>-0.3999999999999978</v>
          </cell>
          <cell r="J22">
            <v>0.19999999999999996</v>
          </cell>
          <cell r="K22">
            <v>-0.66666666666666663</v>
          </cell>
          <cell r="L22">
            <v>1.5</v>
          </cell>
          <cell r="M22">
            <v>0</v>
          </cell>
          <cell r="N22">
            <v>0</v>
          </cell>
          <cell r="O22">
            <v>0</v>
          </cell>
        </row>
        <row r="23">
          <cell r="A23" t="str">
            <v>Disney World Attendence Growth</v>
          </cell>
          <cell r="C23">
            <v>-0.53030303030303028</v>
          </cell>
          <cell r="D23">
            <v>-9.9999999999991207E-3</v>
          </cell>
          <cell r="E23">
            <v>-0.33333333333333326</v>
          </cell>
          <cell r="F23">
            <v>0.31578947368421462</v>
          </cell>
          <cell r="G23">
            <v>0.94871794871794424</v>
          </cell>
          <cell r="H23">
            <v>-4.8780487804877981E-2</v>
          </cell>
          <cell r="I23">
            <v>-0.48750000000000038</v>
          </cell>
          <cell r="J23">
            <v>0</v>
          </cell>
          <cell r="K23">
            <v>0.79999999999999982</v>
          </cell>
          <cell r="L23">
            <v>-0.44444444444444442</v>
          </cell>
          <cell r="M23">
            <v>0</v>
          </cell>
          <cell r="N23">
            <v>0</v>
          </cell>
          <cell r="O23">
            <v>0</v>
          </cell>
        </row>
        <row r="24">
          <cell r="A24" t="str">
            <v>Total Attendence Growth</v>
          </cell>
          <cell r="C24">
            <v>868.33699047630603</v>
          </cell>
          <cell r="D24">
            <v>745</v>
          </cell>
          <cell r="E24">
            <v>770</v>
          </cell>
          <cell r="F24">
            <v>850</v>
          </cell>
          <cell r="G24">
            <v>860</v>
          </cell>
          <cell r="H24">
            <v>885.80000000000007</v>
          </cell>
          <cell r="I24">
            <v>921.23200000000008</v>
          </cell>
          <cell r="J24">
            <v>958.08128000000011</v>
          </cell>
          <cell r="K24">
            <v>996.40453120000018</v>
          </cell>
          <cell r="L24">
            <v>1036.2607124480003</v>
          </cell>
          <cell r="M24">
            <v>1077.7111409459203</v>
          </cell>
          <cell r="N24">
            <v>1120.8195865837572</v>
          </cell>
          <cell r="O24">
            <v>1165.6523700471075</v>
          </cell>
        </row>
        <row r="25">
          <cell r="A25" t="str">
            <v>Per Capita Admissions Revenue Growth</v>
          </cell>
          <cell r="C25">
            <v>281.60000000000002</v>
          </cell>
          <cell r="D25">
            <v>320</v>
          </cell>
          <cell r="E25">
            <v>373.1</v>
          </cell>
          <cell r="F25">
            <v>390</v>
          </cell>
          <cell r="G25">
            <v>425</v>
          </cell>
          <cell r="H25">
            <v>446.25</v>
          </cell>
          <cell r="I25">
            <v>473.02500000000003</v>
          </cell>
          <cell r="J25">
            <v>491.94600000000003</v>
          </cell>
          <cell r="K25">
            <v>509.16410999999999</v>
          </cell>
          <cell r="L25">
            <v>529.53067440000007</v>
          </cell>
          <cell r="M25">
            <v>550.71190137600013</v>
          </cell>
          <cell r="N25">
            <v>572.7403774310402</v>
          </cell>
          <cell r="O25">
            <v>595.64999252828181</v>
          </cell>
        </row>
        <row r="26">
          <cell r="A26" t="str">
            <v>Per Capita Mechandise/Food Revenue Growth</v>
          </cell>
          <cell r="C26">
            <v>0</v>
          </cell>
          <cell r="D26">
            <v>0</v>
          </cell>
          <cell r="E26">
            <v>0</v>
          </cell>
          <cell r="F26">
            <v>0</v>
          </cell>
          <cell r="G26">
            <v>0</v>
          </cell>
          <cell r="H26">
            <v>0</v>
          </cell>
          <cell r="I26">
            <v>0</v>
          </cell>
          <cell r="J26">
            <v>0</v>
          </cell>
          <cell r="K26">
            <v>0</v>
          </cell>
          <cell r="L26">
            <v>0</v>
          </cell>
          <cell r="M26">
            <v>0</v>
          </cell>
          <cell r="N26">
            <v>0</v>
          </cell>
          <cell r="O26">
            <v>0</v>
          </cell>
        </row>
        <row r="28">
          <cell r="A28" t="str">
            <v>Management Fees from Int'l Parks</v>
          </cell>
          <cell r="C28">
            <v>0</v>
          </cell>
          <cell r="D28">
            <v>0</v>
          </cell>
          <cell r="E28">
            <v>0</v>
          </cell>
          <cell r="F28">
            <v>0</v>
          </cell>
          <cell r="G28">
            <v>0</v>
          </cell>
          <cell r="H28">
            <v>0</v>
          </cell>
          <cell r="I28">
            <v>0</v>
          </cell>
          <cell r="J28">
            <v>0</v>
          </cell>
          <cell r="K28">
            <v>0</v>
          </cell>
          <cell r="L28">
            <v>0</v>
          </cell>
          <cell r="M28">
            <v>0</v>
          </cell>
          <cell r="N28">
            <v>0</v>
          </cell>
          <cell r="O28">
            <v>0</v>
          </cell>
        </row>
        <row r="29">
          <cell r="A29" t="str">
            <v>Major Gates Revenue</v>
          </cell>
          <cell r="C29">
            <v>2173.5145752741396</v>
          </cell>
          <cell r="D29">
            <v>2178.0248667796222</v>
          </cell>
          <cell r="E29">
            <v>2205.1999999999998</v>
          </cell>
          <cell r="F29">
            <v>2247.5526875</v>
          </cell>
          <cell r="G29">
            <v>2222.6125000000002</v>
          </cell>
          <cell r="H29">
            <v>2251.2024781250002</v>
          </cell>
          <cell r="I29">
            <v>2270.3733815485311</v>
          </cell>
          <cell r="J29" t="e">
            <v>#VALUE!</v>
          </cell>
          <cell r="K29" t="e">
            <v>#VALUE!</v>
          </cell>
          <cell r="L29" t="e">
            <v>#VALUE!</v>
          </cell>
          <cell r="M29" t="e">
            <v>#VALUE!</v>
          </cell>
          <cell r="N29" t="e">
            <v>#VALUE!</v>
          </cell>
          <cell r="O29" t="e">
            <v>#VALUE!</v>
          </cell>
        </row>
        <row r="30">
          <cell r="A30" t="str">
            <v>Major Gates EBITA</v>
          </cell>
          <cell r="C30">
            <v>3036.8717090625792</v>
          </cell>
          <cell r="D30">
            <v>3242.9198574510247</v>
          </cell>
          <cell r="E30">
            <v>3509.3236258992811</v>
          </cell>
          <cell r="F30">
            <v>3579.9539132487366</v>
          </cell>
          <cell r="G30">
            <v>3172.0538736434901</v>
          </cell>
          <cell r="H30">
            <v>3381.9287012219506</v>
          </cell>
          <cell r="I30">
            <v>3815.2623689585716</v>
          </cell>
          <cell r="J30">
            <v>4210.1842503909202</v>
          </cell>
          <cell r="K30">
            <v>4612.8720613758369</v>
          </cell>
          <cell r="L30">
            <v>4950.2435716025029</v>
          </cell>
          <cell r="M30">
            <v>5190.6018801923592</v>
          </cell>
          <cell r="N30">
            <v>5442.8258373863982</v>
          </cell>
          <cell r="O30">
            <v>5707.502622357847</v>
          </cell>
        </row>
        <row r="31">
          <cell r="A31" t="str">
            <v>Major Gates EBITA Margin</v>
          </cell>
          <cell r="C31">
            <v>1.3972170895976379</v>
          </cell>
          <cell r="D31">
            <v>1.48892692040102</v>
          </cell>
          <cell r="E31">
            <v>1.5913856457007443</v>
          </cell>
          <cell r="F31">
            <v>1.592823132983278</v>
          </cell>
          <cell r="G31">
            <v>1.4271735957768121</v>
          </cell>
          <cell r="H31">
            <v>1.5022765540124667</v>
          </cell>
          <cell r="I31">
            <v>1.6804559108935349</v>
          </cell>
          <cell r="J31" t="e">
            <v>#VALUE!</v>
          </cell>
          <cell r="K31" t="e">
            <v>#VALUE!</v>
          </cell>
          <cell r="L31" t="e">
            <v>#VALUE!</v>
          </cell>
          <cell r="M31" t="e">
            <v>#VALUE!</v>
          </cell>
          <cell r="N31" t="e">
            <v>#VALUE!</v>
          </cell>
          <cell r="O31" t="e">
            <v>#VALUE!</v>
          </cell>
        </row>
        <row r="33">
          <cell r="A33" t="str">
            <v>Resorts</v>
          </cell>
        </row>
        <row r="34">
          <cell r="A34" t="str">
            <v>Disneyland Average Hotel Daily Room Rate</v>
          </cell>
          <cell r="C34" t="e">
            <v>#REF!</v>
          </cell>
          <cell r="D34" t="e">
            <v>#REF!</v>
          </cell>
          <cell r="E34" t="e">
            <v>#REF!</v>
          </cell>
          <cell r="F34" t="e">
            <v>#REF!</v>
          </cell>
          <cell r="G34" t="e">
            <v>#REF!</v>
          </cell>
          <cell r="H34" t="e">
            <v>#REF!</v>
          </cell>
          <cell r="I34" t="e">
            <v>#REF!</v>
          </cell>
          <cell r="J34" t="e">
            <v>#REF!</v>
          </cell>
          <cell r="K34" t="e">
            <v>#REF!</v>
          </cell>
          <cell r="L34" t="e">
            <v>#REF!</v>
          </cell>
          <cell r="M34" t="e">
            <v>#REF!</v>
          </cell>
          <cell r="N34" t="e">
            <v>#REF!</v>
          </cell>
          <cell r="O34" t="e">
            <v>#REF!</v>
          </cell>
        </row>
        <row r="35">
          <cell r="A35" t="str">
            <v>% Change</v>
          </cell>
          <cell r="D35" t="e">
            <v>#REF!</v>
          </cell>
          <cell r="E35" t="e">
            <v>#REF!</v>
          </cell>
          <cell r="F35" t="e">
            <v>#REF!</v>
          </cell>
          <cell r="G35" t="e">
            <v>#REF!</v>
          </cell>
          <cell r="H35" t="e">
            <v>#REF!</v>
          </cell>
          <cell r="I35" t="e">
            <v>#REF!</v>
          </cell>
          <cell r="J35" t="e">
            <v>#REF!</v>
          </cell>
          <cell r="K35" t="e">
            <v>#REF!</v>
          </cell>
          <cell r="L35" t="e">
            <v>#REF!</v>
          </cell>
          <cell r="M35" t="e">
            <v>#REF!</v>
          </cell>
          <cell r="N35" t="e">
            <v>#REF!</v>
          </cell>
          <cell r="O35" t="e">
            <v>#REF!</v>
          </cell>
        </row>
        <row r="36">
          <cell r="A36" t="str">
            <v>Disney World Average Hotel Daily Room Rate</v>
          </cell>
          <cell r="C36" t="e">
            <v>#REF!</v>
          </cell>
          <cell r="D36" t="e">
            <v>#REF!</v>
          </cell>
          <cell r="E36" t="e">
            <v>#REF!</v>
          </cell>
          <cell r="F36" t="e">
            <v>#REF!</v>
          </cell>
          <cell r="G36" t="e">
            <v>#REF!</v>
          </cell>
          <cell r="H36" t="e">
            <v>#REF!</v>
          </cell>
          <cell r="I36" t="e">
            <v>#REF!</v>
          </cell>
          <cell r="J36" t="e">
            <v>#REF!</v>
          </cell>
          <cell r="K36" t="e">
            <v>#REF!</v>
          </cell>
          <cell r="L36" t="e">
            <v>#REF!</v>
          </cell>
          <cell r="M36" t="e">
            <v>#REF!</v>
          </cell>
          <cell r="N36" t="e">
            <v>#REF!</v>
          </cell>
          <cell r="O36" t="e">
            <v>#REF!</v>
          </cell>
        </row>
        <row r="37">
          <cell r="A37" t="str">
            <v>% Change</v>
          </cell>
          <cell r="D37" t="e">
            <v>#REF!</v>
          </cell>
          <cell r="E37" t="e">
            <v>#REF!</v>
          </cell>
          <cell r="F37" t="e">
            <v>#REF!</v>
          </cell>
          <cell r="G37" t="e">
            <v>#REF!</v>
          </cell>
          <cell r="H37" t="e">
            <v>#REF!</v>
          </cell>
          <cell r="I37" t="e">
            <v>#REF!</v>
          </cell>
          <cell r="J37" t="e">
            <v>#REF!</v>
          </cell>
          <cell r="K37" t="e">
            <v>#REF!</v>
          </cell>
          <cell r="L37" t="e">
            <v>#REF!</v>
          </cell>
          <cell r="M37" t="e">
            <v>#REF!</v>
          </cell>
          <cell r="N37" t="e">
            <v>#REF!</v>
          </cell>
          <cell r="O37" t="e">
            <v>#REF!</v>
          </cell>
        </row>
        <row r="38">
          <cell r="A38" t="str">
            <v>Cruise Ships Daily Room Rate</v>
          </cell>
          <cell r="C38" t="e">
            <v>#REF!</v>
          </cell>
          <cell r="D38" t="e">
            <v>#REF!</v>
          </cell>
          <cell r="E38" t="e">
            <v>#REF!</v>
          </cell>
          <cell r="F38" t="e">
            <v>#REF!</v>
          </cell>
          <cell r="G38" t="e">
            <v>#REF!</v>
          </cell>
          <cell r="H38" t="e">
            <v>#REF!</v>
          </cell>
          <cell r="I38" t="e">
            <v>#REF!</v>
          </cell>
          <cell r="J38" t="e">
            <v>#REF!</v>
          </cell>
          <cell r="K38" t="e">
            <v>#REF!</v>
          </cell>
          <cell r="L38" t="e">
            <v>#REF!</v>
          </cell>
          <cell r="M38" t="e">
            <v>#REF!</v>
          </cell>
          <cell r="N38" t="e">
            <v>#REF!</v>
          </cell>
          <cell r="O38" t="e">
            <v>#REF!</v>
          </cell>
        </row>
        <row r="39">
          <cell r="A39" t="str">
            <v>% Change</v>
          </cell>
          <cell r="D39" t="e">
            <v>#REF!</v>
          </cell>
          <cell r="E39" t="e">
            <v>#REF!</v>
          </cell>
          <cell r="F39" t="e">
            <v>#REF!</v>
          </cell>
          <cell r="G39" t="e">
            <v>#REF!</v>
          </cell>
          <cell r="H39" t="e">
            <v>#REF!</v>
          </cell>
          <cell r="I39" t="e">
            <v>#REF!</v>
          </cell>
          <cell r="J39" t="e">
            <v>#REF!</v>
          </cell>
          <cell r="K39" t="e">
            <v>#REF!</v>
          </cell>
          <cell r="L39" t="e">
            <v>#REF!</v>
          </cell>
          <cell r="M39" t="e">
            <v>#REF!</v>
          </cell>
          <cell r="N39" t="e">
            <v>#REF!</v>
          </cell>
          <cell r="O39" t="e">
            <v>#REF!</v>
          </cell>
        </row>
        <row r="40">
          <cell r="A40" t="str">
            <v>Disneyland Resorts Occupancy Rates</v>
          </cell>
          <cell r="C40" t="e">
            <v>#REF!</v>
          </cell>
          <cell r="D40" t="e">
            <v>#REF!</v>
          </cell>
          <cell r="E40" t="e">
            <v>#REF!</v>
          </cell>
          <cell r="F40" t="e">
            <v>#REF!</v>
          </cell>
          <cell r="G40" t="e">
            <v>#REF!</v>
          </cell>
          <cell r="H40" t="e">
            <v>#REF!</v>
          </cell>
          <cell r="I40" t="e">
            <v>#REF!</v>
          </cell>
          <cell r="J40" t="e">
            <v>#REF!</v>
          </cell>
          <cell r="K40" t="e">
            <v>#REF!</v>
          </cell>
          <cell r="L40" t="e">
            <v>#REF!</v>
          </cell>
          <cell r="M40" t="e">
            <v>#REF!</v>
          </cell>
          <cell r="N40" t="e">
            <v>#REF!</v>
          </cell>
          <cell r="O40" t="e">
            <v>#REF!</v>
          </cell>
        </row>
        <row r="41">
          <cell r="A41" t="str">
            <v>Disney World Resorts Occupancy Rates</v>
          </cell>
          <cell r="C41" t="e">
            <v>#REF!</v>
          </cell>
          <cell r="D41" t="e">
            <v>#REF!</v>
          </cell>
          <cell r="E41" t="e">
            <v>#REF!</v>
          </cell>
          <cell r="F41" t="e">
            <v>#REF!</v>
          </cell>
          <cell r="G41" t="e">
            <v>#REF!</v>
          </cell>
          <cell r="H41" t="e">
            <v>#REF!</v>
          </cell>
          <cell r="I41" t="e">
            <v>#REF!</v>
          </cell>
          <cell r="J41" t="e">
            <v>#REF!</v>
          </cell>
          <cell r="K41" t="e">
            <v>#REF!</v>
          </cell>
          <cell r="L41" t="e">
            <v>#REF!</v>
          </cell>
          <cell r="M41" t="e">
            <v>#REF!</v>
          </cell>
          <cell r="N41" t="e">
            <v>#REF!</v>
          </cell>
          <cell r="O41" t="e">
            <v>#REF!</v>
          </cell>
        </row>
        <row r="42">
          <cell r="A42" t="str">
            <v>Cruise Ships &amp; Other Occupancy Rates</v>
          </cell>
          <cell r="C42" t="e">
            <v>#REF!</v>
          </cell>
          <cell r="D42" t="e">
            <v>#REF!</v>
          </cell>
          <cell r="E42" t="e">
            <v>#REF!</v>
          </cell>
          <cell r="F42" t="e">
            <v>#REF!</v>
          </cell>
          <cell r="G42" t="e">
            <v>#REF!</v>
          </cell>
          <cell r="H42" t="e">
            <v>#REF!</v>
          </cell>
          <cell r="I42" t="e">
            <v>#REF!</v>
          </cell>
          <cell r="J42" t="e">
            <v>#REF!</v>
          </cell>
          <cell r="K42" t="e">
            <v>#REF!</v>
          </cell>
          <cell r="L42" t="e">
            <v>#REF!</v>
          </cell>
          <cell r="M42" t="e">
            <v>#REF!</v>
          </cell>
          <cell r="N42" t="e">
            <v>#REF!</v>
          </cell>
          <cell r="O42" t="e">
            <v>#REF!</v>
          </cell>
        </row>
        <row r="44">
          <cell r="A44" t="str">
            <v>Resort and Cruise Ship Revenue</v>
          </cell>
          <cell r="C44" t="e">
            <v>#REF!</v>
          </cell>
          <cell r="D44" t="e">
            <v>#REF!</v>
          </cell>
          <cell r="E44" t="e">
            <v>#REF!</v>
          </cell>
          <cell r="F44" t="e">
            <v>#REF!</v>
          </cell>
          <cell r="G44" t="e">
            <v>#REF!</v>
          </cell>
          <cell r="H44" t="e">
            <v>#REF!</v>
          </cell>
          <cell r="I44" t="e">
            <v>#REF!</v>
          </cell>
          <cell r="J44" t="e">
            <v>#REF!</v>
          </cell>
          <cell r="K44" t="e">
            <v>#REF!</v>
          </cell>
          <cell r="L44" t="e">
            <v>#REF!</v>
          </cell>
          <cell r="M44" t="e">
            <v>#REF!</v>
          </cell>
          <cell r="N44" t="e">
            <v>#REF!</v>
          </cell>
          <cell r="O44" t="e">
            <v>#REF!</v>
          </cell>
        </row>
        <row r="45">
          <cell r="A45" t="str">
            <v>Resort and Cruise Ship EBITA</v>
          </cell>
          <cell r="C45" t="e">
            <v>#REF!</v>
          </cell>
          <cell r="D45" t="e">
            <v>#REF!</v>
          </cell>
          <cell r="E45" t="e">
            <v>#REF!</v>
          </cell>
          <cell r="F45" t="e">
            <v>#REF!</v>
          </cell>
          <cell r="G45" t="e">
            <v>#REF!</v>
          </cell>
          <cell r="H45" t="e">
            <v>#REF!</v>
          </cell>
          <cell r="I45" t="e">
            <v>#REF!</v>
          </cell>
          <cell r="J45" t="e">
            <v>#REF!</v>
          </cell>
          <cell r="K45" t="e">
            <v>#REF!</v>
          </cell>
          <cell r="L45" t="e">
            <v>#REF!</v>
          </cell>
          <cell r="M45" t="e">
            <v>#REF!</v>
          </cell>
          <cell r="N45" t="e">
            <v>#REF!</v>
          </cell>
          <cell r="O45" t="e">
            <v>#REF!</v>
          </cell>
        </row>
        <row r="46">
          <cell r="A46" t="str">
            <v>Resort and Cruise Ship EBITA Margin</v>
          </cell>
          <cell r="C46" t="e">
            <v>#REF!</v>
          </cell>
          <cell r="D46" t="e">
            <v>#REF!</v>
          </cell>
          <cell r="E46" t="e">
            <v>#REF!</v>
          </cell>
          <cell r="F46" t="e">
            <v>#REF!</v>
          </cell>
          <cell r="G46" t="e">
            <v>#REF!</v>
          </cell>
          <cell r="H46" t="e">
            <v>#REF!</v>
          </cell>
          <cell r="I46" t="e">
            <v>#REF!</v>
          </cell>
          <cell r="J46" t="e">
            <v>#REF!</v>
          </cell>
          <cell r="K46" t="e">
            <v>#REF!</v>
          </cell>
          <cell r="L46" t="e">
            <v>#REF!</v>
          </cell>
          <cell r="M46" t="e">
            <v>#REF!</v>
          </cell>
          <cell r="N46" t="e">
            <v>#REF!</v>
          </cell>
          <cell r="O46" t="e">
            <v>#REF!</v>
          </cell>
        </row>
        <row r="48">
          <cell r="A48" t="str">
            <v>Consumer Products</v>
          </cell>
          <cell r="C48">
            <v>1998</v>
          </cell>
          <cell r="D48">
            <v>1999</v>
          </cell>
          <cell r="E48" t="str">
            <v>2000</v>
          </cell>
          <cell r="F48" t="str">
            <v>2001</v>
          </cell>
          <cell r="G48" t="str">
            <v>2002</v>
          </cell>
          <cell r="H48" t="str">
            <v>2003</v>
          </cell>
          <cell r="I48" t="str">
            <v>2004</v>
          </cell>
          <cell r="J48" t="str">
            <v>2005E</v>
          </cell>
          <cell r="K48" t="str">
            <v>2006E</v>
          </cell>
          <cell r="L48" t="str">
            <v>2007E</v>
          </cell>
          <cell r="M48" t="str">
            <v>2008E</v>
          </cell>
          <cell r="N48" t="str">
            <v>2009E</v>
          </cell>
          <cell r="O48" t="str">
            <v>2010E</v>
          </cell>
        </row>
        <row r="49">
          <cell r="A49" t="str">
            <v>Disney Stores</v>
          </cell>
        </row>
        <row r="50">
          <cell r="A50" t="str">
            <v>Net Disney Store Additions/(Retirements)</v>
          </cell>
          <cell r="C50">
            <v>41</v>
          </cell>
          <cell r="D50">
            <v>51</v>
          </cell>
          <cell r="E50">
            <v>13</v>
          </cell>
          <cell r="F50">
            <v>-48</v>
          </cell>
          <cell r="G50">
            <v>-87</v>
          </cell>
          <cell r="H50">
            <v>-86</v>
          </cell>
          <cell r="I50">
            <v>-52</v>
          </cell>
          <cell r="J50">
            <v>-313</v>
          </cell>
          <cell r="K50">
            <v>0</v>
          </cell>
          <cell r="L50">
            <v>0</v>
          </cell>
          <cell r="M50">
            <v>0</v>
          </cell>
          <cell r="N50">
            <v>0</v>
          </cell>
          <cell r="O50">
            <v>0</v>
          </cell>
        </row>
        <row r="51">
          <cell r="A51" t="str">
            <v>% Change Avg. Revenue per Store</v>
          </cell>
          <cell r="C51">
            <v>-1.9763608774265536E-2</v>
          </cell>
          <cell r="D51">
            <v>-9.7148102754930785E-2</v>
          </cell>
          <cell r="E51">
            <v>-0.11476893255166541</v>
          </cell>
          <cell r="F51">
            <v>-9.9979397700956027E-2</v>
          </cell>
          <cell r="G51">
            <v>8.7029158189359634E-2</v>
          </cell>
          <cell r="H51">
            <v>8.5221110599218441E-3</v>
          </cell>
          <cell r="I51">
            <v>0.22</v>
          </cell>
          <cell r="J51">
            <v>0.03</v>
          </cell>
          <cell r="K51">
            <v>0.03</v>
          </cell>
          <cell r="L51">
            <v>0.03</v>
          </cell>
          <cell r="M51">
            <v>0.03</v>
          </cell>
          <cell r="N51">
            <v>0.03</v>
          </cell>
          <cell r="O51">
            <v>0.03</v>
          </cell>
        </row>
        <row r="52">
          <cell r="A52" t="str">
            <v>Store Revenue</v>
          </cell>
          <cell r="C52">
            <v>1446</v>
          </cell>
          <cell r="D52">
            <v>1397</v>
          </cell>
          <cell r="E52">
            <v>1293</v>
          </cell>
          <cell r="F52">
            <v>1136</v>
          </cell>
          <cell r="G52">
            <v>1079</v>
          </cell>
          <cell r="H52">
            <v>898</v>
          </cell>
          <cell r="I52">
            <v>949.34406189555125</v>
          </cell>
          <cell r="J52">
            <v>323.30410009671175</v>
          </cell>
          <cell r="K52">
            <v>245.04540974081232</v>
          </cell>
          <cell r="L52">
            <v>252.39677203303674</v>
          </cell>
          <cell r="M52">
            <v>259.96867519402787</v>
          </cell>
          <cell r="N52">
            <v>267.76773544984866</v>
          </cell>
          <cell r="O52">
            <v>275.80076751334411</v>
          </cell>
        </row>
        <row r="53">
          <cell r="A53" t="str">
            <v>Store EBITA</v>
          </cell>
          <cell r="C53">
            <v>165.8</v>
          </cell>
          <cell r="D53">
            <v>30.435999999999993</v>
          </cell>
          <cell r="E53">
            <v>8.11</v>
          </cell>
          <cell r="F53">
            <v>-8.5549999999999997</v>
          </cell>
          <cell r="G53">
            <v>-15</v>
          </cell>
          <cell r="H53">
            <v>-84</v>
          </cell>
          <cell r="I53">
            <v>33</v>
          </cell>
          <cell r="J53">
            <v>21.118439793121748</v>
          </cell>
          <cell r="K53">
            <v>17.721847728599357</v>
          </cell>
          <cell r="L53">
            <v>18.253503160457406</v>
          </cell>
          <cell r="M53">
            <v>18.801108255271156</v>
          </cell>
          <cell r="N53">
            <v>19.365141502929216</v>
          </cell>
          <cell r="O53">
            <v>19.946095748017093</v>
          </cell>
        </row>
        <row r="55">
          <cell r="A55" t="str">
            <v>Licensing Revenue</v>
          </cell>
          <cell r="C55">
            <v>987</v>
          </cell>
          <cell r="D55">
            <v>816</v>
          </cell>
          <cell r="E55">
            <v>793</v>
          </cell>
          <cell r="F55">
            <v>787</v>
          </cell>
          <cell r="G55">
            <v>705</v>
          </cell>
          <cell r="H55">
            <v>745</v>
          </cell>
          <cell r="I55">
            <v>821.5925544169063</v>
          </cell>
          <cell r="J55">
            <v>901.19551478333369</v>
          </cell>
          <cell r="K55">
            <v>974.55290469166698</v>
          </cell>
          <cell r="L55">
            <v>877.87464164541666</v>
          </cell>
          <cell r="M55">
            <v>899.56672726418265</v>
          </cell>
          <cell r="N55">
            <v>926.90638776798085</v>
          </cell>
          <cell r="O55">
            <v>955.23583337230059</v>
          </cell>
        </row>
        <row r="56">
          <cell r="A56" t="str">
            <v>% Change</v>
          </cell>
          <cell r="D56">
            <v>-0.17325227963525835</v>
          </cell>
          <cell r="E56">
            <v>-2.8186274509803932E-2</v>
          </cell>
          <cell r="F56">
            <v>-7.5662042875157542E-3</v>
          </cell>
          <cell r="G56">
            <v>-0.10419313850063527</v>
          </cell>
          <cell r="H56">
            <v>5.6737588652482351E-2</v>
          </cell>
          <cell r="I56">
            <v>0.10280879787504205</v>
          </cell>
          <cell r="J56">
            <v>9.6888609735421127E-2</v>
          </cell>
          <cell r="K56">
            <v>8.140008322829928E-2</v>
          </cell>
          <cell r="L56">
            <v>-9.9202683179973494E-2</v>
          </cell>
          <cell r="M56">
            <v>2.4709775849212523E-2</v>
          </cell>
          <cell r="N56">
            <v>3.0392031713917689E-2</v>
          </cell>
          <cell r="O56">
            <v>3.0563437665520832E-2</v>
          </cell>
        </row>
        <row r="57">
          <cell r="A57" t="str">
            <v>Licensing EBITA</v>
          </cell>
          <cell r="C57">
            <v>697.93333333333328</v>
          </cell>
          <cell r="D57">
            <v>558.50667200066664</v>
          </cell>
          <cell r="E57">
            <v>544.50667200066664</v>
          </cell>
          <cell r="F57">
            <v>542.20333733383336</v>
          </cell>
          <cell r="G57">
            <v>486.94067066716667</v>
          </cell>
          <cell r="H57">
            <v>502.65736671280416</v>
          </cell>
          <cell r="I57">
            <v>555.25254365014382</v>
          </cell>
          <cell r="J57">
            <v>605.31721073833364</v>
          </cell>
          <cell r="K57">
            <v>646.72173631953365</v>
          </cell>
          <cell r="L57">
            <v>500.85361108729978</v>
          </cell>
          <cell r="M57">
            <v>503.41889431354696</v>
          </cell>
          <cell r="N57">
            <v>507.79687306056024</v>
          </cell>
          <cell r="O57">
            <v>511.77737300391669</v>
          </cell>
        </row>
        <row r="58">
          <cell r="A58" t="str">
            <v>% Change</v>
          </cell>
          <cell r="D58">
            <v>-0.19977074410067819</v>
          </cell>
          <cell r="E58">
            <v>-2.5066844680386002E-2</v>
          </cell>
          <cell r="F58">
            <v>-4.2301312091735932E-3</v>
          </cell>
          <cell r="G58">
            <v>-0.10192240228252525</v>
          </cell>
          <cell r="H58">
            <v>3.2276408590195871E-2</v>
          </cell>
          <cell r="I58">
            <v>0.1046342507248883</v>
          </cell>
          <cell r="J58">
            <v>9.0165578997752016E-2</v>
          </cell>
          <cell r="K58">
            <v>6.8401368483636871E-2</v>
          </cell>
          <cell r="L58">
            <v>-0.22555005814767148</v>
          </cell>
          <cell r="M58">
            <v>5.1218223637805593E-3</v>
          </cell>
          <cell r="N58">
            <v>8.6964927150441351E-3</v>
          </cell>
          <cell r="O58">
            <v>7.8387641880608427E-3</v>
          </cell>
        </row>
        <row r="61">
          <cell r="A61" t="str">
            <v>Media Networks</v>
          </cell>
          <cell r="C61">
            <v>1998</v>
          </cell>
          <cell r="D61">
            <v>1999</v>
          </cell>
          <cell r="E61" t="str">
            <v>2000</v>
          </cell>
          <cell r="F61" t="str">
            <v>2001</v>
          </cell>
          <cell r="G61" t="str">
            <v>2002</v>
          </cell>
          <cell r="H61" t="str">
            <v>2003</v>
          </cell>
          <cell r="I61" t="str">
            <v>2004</v>
          </cell>
          <cell r="J61" t="str">
            <v>2005</v>
          </cell>
          <cell r="K61" t="str">
            <v>2006E</v>
          </cell>
          <cell r="L61" t="str">
            <v>2007E</v>
          </cell>
          <cell r="M61" t="str">
            <v>2008E</v>
          </cell>
          <cell r="N61" t="str">
            <v>2009E</v>
          </cell>
          <cell r="O61" t="str">
            <v>2010E</v>
          </cell>
        </row>
        <row r="62">
          <cell r="A62" t="str">
            <v>Broadcast</v>
          </cell>
        </row>
        <row r="63">
          <cell r="A63" t="str">
            <v>Programming Cost as % of Revenue</v>
          </cell>
        </row>
        <row r="64">
          <cell r="A64" t="str">
            <v>Primetime</v>
          </cell>
          <cell r="C64">
            <v>0.91167283165046453</v>
          </cell>
          <cell r="D64">
            <v>0.91318456749796717</v>
          </cell>
          <cell r="E64">
            <v>0.70269459495875608</v>
          </cell>
          <cell r="F64">
            <v>0.76218171943351365</v>
          </cell>
          <cell r="G64">
            <v>1.1973438302302299</v>
          </cell>
          <cell r="H64">
            <v>1.0527340914397607</v>
          </cell>
          <cell r="I64">
            <v>0.95539252750881776</v>
          </cell>
          <cell r="J64">
            <v>0.87404091618993029</v>
          </cell>
          <cell r="K64">
            <v>0.73336713405909593</v>
          </cell>
          <cell r="L64">
            <v>0.82</v>
          </cell>
          <cell r="M64">
            <v>0.82</v>
          </cell>
          <cell r="N64">
            <v>0.82</v>
          </cell>
          <cell r="O64">
            <v>0.82</v>
          </cell>
        </row>
        <row r="65">
          <cell r="A65" t="str">
            <v>Sports</v>
          </cell>
          <cell r="C65">
            <v>0.76415854269073158</v>
          </cell>
          <cell r="D65">
            <v>1.0153344514161724</v>
          </cell>
          <cell r="E65">
            <v>1.0269211399954508</v>
          </cell>
          <cell r="F65">
            <v>1.1279268913745761</v>
          </cell>
          <cell r="G65">
            <v>1.3376217651590012</v>
          </cell>
          <cell r="H65">
            <v>1.2239889883470956</v>
          </cell>
          <cell r="I65">
            <v>1.0618755415185797</v>
          </cell>
          <cell r="J65">
            <v>1.0669212009657594</v>
          </cell>
          <cell r="K65">
            <v>1.0963758697954382</v>
          </cell>
          <cell r="L65">
            <v>0.95</v>
          </cell>
          <cell r="M65">
            <v>0.95</v>
          </cell>
          <cell r="N65">
            <v>0.95</v>
          </cell>
          <cell r="O65">
            <v>0.95</v>
          </cell>
        </row>
        <row r="67">
          <cell r="A67" t="str">
            <v>ABC Network Revenue (incl. TV Prod. &amp; Synd.)</v>
          </cell>
          <cell r="C67">
            <v>3201.9999999999995</v>
          </cell>
          <cell r="D67">
            <v>3043.5999999999995</v>
          </cell>
          <cell r="E67">
            <v>4397.4170000000013</v>
          </cell>
          <cell r="F67">
            <v>4156.8391199999987</v>
          </cell>
          <cell r="G67">
            <v>3372.6089724000003</v>
          </cell>
          <cell r="H67">
            <v>3632.8931680116007</v>
          </cell>
          <cell r="I67">
            <v>3513.4834467107253</v>
          </cell>
          <cell r="J67">
            <v>3886.1967910345365</v>
          </cell>
          <cell r="K67">
            <v>4457.7048051964839</v>
          </cell>
          <cell r="L67">
            <v>4031.9451315172169</v>
          </cell>
          <cell r="M67">
            <v>4376.4963848561247</v>
          </cell>
          <cell r="N67">
            <v>4583.0423324561962</v>
          </cell>
          <cell r="O67">
            <v>4735.5001130201663</v>
          </cell>
        </row>
        <row r="68">
          <cell r="A68" t="str">
            <v>ABC Network EBITA (incl. TV Prod. &amp; Synd.)</v>
          </cell>
          <cell r="C68">
            <v>314.65999999999997</v>
          </cell>
          <cell r="D68">
            <v>0.94459999999999411</v>
          </cell>
          <cell r="E68">
            <v>438.01006199999995</v>
          </cell>
          <cell r="F68">
            <v>180.9200865200001</v>
          </cell>
          <cell r="G68">
            <v>-541.60758234159994</v>
          </cell>
          <cell r="H68">
            <v>-490.45845078050201</v>
          </cell>
          <cell r="I68">
            <v>-260.10135711108592</v>
          </cell>
          <cell r="J68">
            <v>183.17075221128025</v>
          </cell>
          <cell r="K68">
            <v>327.30962013752378</v>
          </cell>
          <cell r="L68">
            <v>482.03036153972869</v>
          </cell>
          <cell r="M68">
            <v>577.17603090633224</v>
          </cell>
          <cell r="N68">
            <v>605.81558271640779</v>
          </cell>
          <cell r="O68">
            <v>636.80815903123175</v>
          </cell>
        </row>
        <row r="69">
          <cell r="A69" t="str">
            <v>ABC Network EBITA Margins</v>
          </cell>
          <cell r="C69">
            <v>4.3347351434283775E-2</v>
          </cell>
          <cell r="D69">
            <v>-2.3941327789276049E-2</v>
          </cell>
          <cell r="E69">
            <v>0.11137258442131295</v>
          </cell>
          <cell r="F69">
            <v>0</v>
          </cell>
          <cell r="G69">
            <v>-0.14777265077545268</v>
          </cell>
          <cell r="H69">
            <v>-0.12673055367128908</v>
          </cell>
          <cell r="I69">
            <v>-6.2733049751814485E-2</v>
          </cell>
          <cell r="J69">
            <v>1.8874058272549791E-2</v>
          </cell>
          <cell r="K69">
            <v>8.4028056225502079E-2</v>
          </cell>
          <cell r="L69">
            <v>0.13005280784248696</v>
          </cell>
          <cell r="M69">
            <v>0.1423808426081464</v>
          </cell>
          <cell r="N69">
            <v>0.14268633797600822</v>
          </cell>
          <cell r="O69">
            <v>0.14497537616572748</v>
          </cell>
        </row>
        <row r="71">
          <cell r="A71" t="str">
            <v>ABC Stations</v>
          </cell>
        </row>
        <row r="72">
          <cell r="A72" t="str">
            <v>ABC Stations Revenue</v>
          </cell>
          <cell r="C72">
            <v>1007</v>
          </cell>
          <cell r="D72">
            <v>1007</v>
          </cell>
          <cell r="E72">
            <v>1082.5250000000001</v>
          </cell>
          <cell r="F72">
            <v>995.92299999999989</v>
          </cell>
          <cell r="G72">
            <v>926.20838999999978</v>
          </cell>
          <cell r="H72">
            <v>986.41193534999968</v>
          </cell>
          <cell r="I72">
            <v>994.30323083279973</v>
          </cell>
          <cell r="J72">
            <v>1022.1437212961181</v>
          </cell>
          <cell r="K72">
            <v>1075.2951948035163</v>
          </cell>
          <cell r="L72">
            <v>1118.307002595657</v>
          </cell>
          <cell r="M72">
            <v>1174.2223527254398</v>
          </cell>
          <cell r="N72">
            <v>1209.4490233072031</v>
          </cell>
          <cell r="O72">
            <v>1269.9214744725632</v>
          </cell>
        </row>
        <row r="73">
          <cell r="A73" t="str">
            <v>ABC Stations EBITA</v>
          </cell>
          <cell r="C73">
            <v>523.64</v>
          </cell>
          <cell r="D73">
            <v>490.31</v>
          </cell>
          <cell r="E73">
            <v>559.55899999999997</v>
          </cell>
          <cell r="F73">
            <v>416.29581399999995</v>
          </cell>
          <cell r="G73">
            <v>381.87671511999991</v>
          </cell>
          <cell r="H73">
            <v>415.11851471179972</v>
          </cell>
          <cell r="I73">
            <v>412.19946282949417</v>
          </cell>
          <cell r="J73">
            <v>412.07224778872001</v>
          </cell>
          <cell r="K73">
            <v>448.53684467373353</v>
          </cell>
          <cell r="L73">
            <v>464.99163612304062</v>
          </cell>
          <cell r="M73">
            <v>489.32151496038705</v>
          </cell>
          <cell r="N73">
            <v>499.67157198890311</v>
          </cell>
          <cell r="O73">
            <v>525.91999830192992</v>
          </cell>
        </row>
        <row r="74">
          <cell r="A74" t="str">
            <v>ABC Stations EBITA Margins</v>
          </cell>
          <cell r="C74">
            <v>0.52</v>
          </cell>
          <cell r="D74">
            <v>0.486901688182721</v>
          </cell>
          <cell r="E74">
            <v>0.51690168818272098</v>
          </cell>
          <cell r="F74">
            <v>0.41799999999999998</v>
          </cell>
          <cell r="G74">
            <v>0.41230107526881721</v>
          </cell>
          <cell r="H74">
            <v>0.42083687335403841</v>
          </cell>
          <cell r="I74">
            <v>0.41456112184634841</v>
          </cell>
          <cell r="J74">
            <v>0.40314511472632863</v>
          </cell>
          <cell r="K74">
            <v>0.41712903288449327</v>
          </cell>
          <cell r="L74">
            <v>0.41579962840594525</v>
          </cell>
          <cell r="M74">
            <v>0.41671963902291825</v>
          </cell>
          <cell r="N74">
            <v>0.41313983670230742</v>
          </cell>
          <cell r="O74">
            <v>0.41413584136795578</v>
          </cell>
        </row>
        <row r="76">
          <cell r="A76" t="str">
            <v>Cable</v>
          </cell>
        </row>
        <row r="77">
          <cell r="A77" t="str">
            <v xml:space="preserve">ESPN Affiliate Fee </v>
          </cell>
          <cell r="C77">
            <v>732.17179492657419</v>
          </cell>
          <cell r="D77">
            <v>906.55155687188858</v>
          </cell>
          <cell r="E77">
            <v>1146.0045248639999</v>
          </cell>
          <cell r="F77">
            <v>1427.9420502748799</v>
          </cell>
          <cell r="G77">
            <v>1811.8529999999998</v>
          </cell>
          <cell r="H77">
            <v>2187.596</v>
          </cell>
          <cell r="I77">
            <v>2562.3948759999994</v>
          </cell>
          <cell r="J77">
            <v>2938.9388030281984</v>
          </cell>
          <cell r="K77">
            <v>3281.3251735809836</v>
          </cell>
          <cell r="L77">
            <v>3612.2777578717614</v>
          </cell>
          <cell r="M77">
            <v>3884.4628869273988</v>
          </cell>
          <cell r="N77">
            <v>4177.1571654573772</v>
          </cell>
          <cell r="O77">
            <v>4449.9255283617449</v>
          </cell>
        </row>
        <row r="78">
          <cell r="A78" t="str">
            <v>ESPN Affiliate Fee per Subscriber, % Change</v>
          </cell>
          <cell r="C78">
            <v>0.12216592078343247</v>
          </cell>
          <cell r="D78">
            <v>0.2</v>
          </cell>
          <cell r="E78">
            <v>0.2</v>
          </cell>
          <cell r="F78">
            <v>0.19</v>
          </cell>
          <cell r="G78">
            <v>0.21426579219369835</v>
          </cell>
          <cell r="H78">
            <v>0.18668255884208862</v>
          </cell>
          <cell r="I78">
            <v>0.15600380257407043</v>
          </cell>
          <cell r="J78">
            <v>0.13</v>
          </cell>
          <cell r="K78">
            <v>0.1</v>
          </cell>
          <cell r="L78">
            <v>0.09</v>
          </cell>
          <cell r="M78">
            <v>7.0000000000000007E-2</v>
          </cell>
          <cell r="N78">
            <v>7.0000000000000007E-2</v>
          </cell>
          <cell r="O78">
            <v>0.06</v>
          </cell>
        </row>
        <row r="79">
          <cell r="A79" t="str">
            <v>ESPN Advertising Revenue % Change</v>
          </cell>
          <cell r="C79">
            <v>0.22764937313057154</v>
          </cell>
          <cell r="D79">
            <v>0.19357467373882908</v>
          </cell>
          <cell r="E79">
            <v>0.31296728817452779</v>
          </cell>
          <cell r="F79">
            <v>-0.16526628430505907</v>
          </cell>
          <cell r="G79">
            <v>-0.08</v>
          </cell>
          <cell r="H79">
            <v>0.38</v>
          </cell>
          <cell r="I79">
            <v>0.105</v>
          </cell>
          <cell r="J79">
            <v>9.5000000000000001E-2</v>
          </cell>
          <cell r="K79">
            <v>0.08</v>
          </cell>
          <cell r="L79">
            <v>0.15840548592672149</v>
          </cell>
          <cell r="M79">
            <v>0.06</v>
          </cell>
          <cell r="N79">
            <v>0.06</v>
          </cell>
          <cell r="O79">
            <v>0.05</v>
          </cell>
        </row>
        <row r="80">
          <cell r="A80" t="str">
            <v>ESPN Programming Expenses</v>
          </cell>
          <cell r="C80">
            <v>545.45000000000005</v>
          </cell>
          <cell r="D80">
            <v>770</v>
          </cell>
          <cell r="E80">
            <v>975</v>
          </cell>
          <cell r="F80">
            <v>1092</v>
          </cell>
          <cell r="G80">
            <v>1407</v>
          </cell>
          <cell r="H80">
            <v>1848.3500000000001</v>
          </cell>
          <cell r="I80">
            <v>1775</v>
          </cell>
          <cell r="J80">
            <v>1917.0000000000002</v>
          </cell>
          <cell r="K80">
            <v>2108.7000000000003</v>
          </cell>
          <cell r="L80">
            <v>2465.3305</v>
          </cell>
          <cell r="M80">
            <v>2613.2503300000003</v>
          </cell>
          <cell r="N80">
            <v>2770.0453498000006</v>
          </cell>
          <cell r="O80">
            <v>2936.2480707880009</v>
          </cell>
        </row>
        <row r="81">
          <cell r="A81" t="str">
            <v>ESPN Total Revenue</v>
          </cell>
          <cell r="C81">
            <v>1284.6140128353313</v>
          </cell>
          <cell r="D81">
            <v>1565.9325968718886</v>
          </cell>
          <cell r="E81">
            <v>2011.7502608264999</v>
          </cell>
          <cell r="F81">
            <v>2150.6092053019088</v>
          </cell>
          <cell r="G81">
            <v>2476.7067826248663</v>
          </cell>
          <cell r="H81">
            <v>3105.0942200223158</v>
          </cell>
          <cell r="I81">
            <v>3576.2304091246583</v>
          </cell>
          <cell r="J81">
            <v>4049.0887117996999</v>
          </cell>
          <cell r="K81">
            <v>4480.2870750542052</v>
          </cell>
          <cell r="L81">
            <v>5001.1618019554744</v>
          </cell>
          <cell r="M81">
            <v>5356.6799736561352</v>
          </cell>
          <cell r="N81">
            <v>5737.7072773898371</v>
          </cell>
          <cell r="O81">
            <v>6088.5031458908279</v>
          </cell>
        </row>
        <row r="82">
          <cell r="A82" t="str">
            <v>ESPN EBITA</v>
          </cell>
          <cell r="C82">
            <v>529.89480264280132</v>
          </cell>
          <cell r="D82">
            <v>572.44360791881024</v>
          </cell>
          <cell r="E82">
            <v>758.75026082649993</v>
          </cell>
          <cell r="F82">
            <v>751.60920530190879</v>
          </cell>
          <cell r="G82">
            <v>703.70678262486626</v>
          </cell>
          <cell r="H82">
            <v>876.7442200223154</v>
          </cell>
          <cell r="I82">
            <v>1403.2304091246583</v>
          </cell>
          <cell r="J82">
            <v>1706.8287117996999</v>
          </cell>
          <cell r="K82">
            <v>1917.1828750542049</v>
          </cell>
          <cell r="L82">
            <v>2073.3131189554747</v>
          </cell>
          <cell r="M82">
            <v>2257.5530075061347</v>
          </cell>
          <cell r="N82">
            <v>2457.2449629923362</v>
          </cell>
          <cell r="O82">
            <v>2616.5785487138523</v>
          </cell>
        </row>
        <row r="83">
          <cell r="A83" t="str">
            <v>ESPN EBITA Margin</v>
          </cell>
          <cell r="C83">
            <v>0.4124934006233093</v>
          </cell>
          <cell r="D83">
            <v>0.36556082238937054</v>
          </cell>
          <cell r="E83">
            <v>0.37715927051242326</v>
          </cell>
          <cell r="F83">
            <v>0.34948664938704926</v>
          </cell>
          <cell r="G83">
            <v>0.28413003410886734</v>
          </cell>
          <cell r="H83">
            <v>0.28235672024664499</v>
          </cell>
          <cell r="I83">
            <v>0.39237695802383221</v>
          </cell>
          <cell r="J83">
            <v>0.42153403723305066</v>
          </cell>
          <cell r="K83">
            <v>0.42791518555337432</v>
          </cell>
          <cell r="L83">
            <v>0.41456629500465292</v>
          </cell>
          <cell r="M83">
            <v>0.4214463097681137</v>
          </cell>
          <cell r="N83">
            <v>0.4282625174475912</v>
          </cell>
          <cell r="O83">
            <v>0.42975727958353754</v>
          </cell>
        </row>
        <row r="85">
          <cell r="A85" t="str">
            <v>ESPN2 Revenue</v>
          </cell>
          <cell r="C85">
            <v>207.51244800000001</v>
          </cell>
          <cell r="D85">
            <v>266.28430080000004</v>
          </cell>
          <cell r="E85">
            <v>337.59932787200006</v>
          </cell>
          <cell r="F85">
            <v>339.00860764998629</v>
          </cell>
          <cell r="G85">
            <v>358.29009700217836</v>
          </cell>
          <cell r="H85">
            <v>377.85933316032458</v>
          </cell>
          <cell r="I85">
            <v>427.93460481543264</v>
          </cell>
          <cell r="J85">
            <v>467.91179189133334</v>
          </cell>
          <cell r="K85">
            <v>504.95962633059185</v>
          </cell>
          <cell r="L85">
            <v>546.53219079108703</v>
          </cell>
          <cell r="M85">
            <v>586.04553682127778</v>
          </cell>
          <cell r="N85">
            <v>624.31431037570724</v>
          </cell>
          <cell r="O85">
            <v>665.08203484324088</v>
          </cell>
        </row>
        <row r="86">
          <cell r="A86" t="str">
            <v>International and Other Revenue</v>
          </cell>
          <cell r="C86">
            <v>393.11607774466864</v>
          </cell>
          <cell r="D86">
            <v>441.4854535681115</v>
          </cell>
          <cell r="E86">
            <v>409.972581638892</v>
          </cell>
          <cell r="F86">
            <v>473.24953657147148</v>
          </cell>
          <cell r="G86">
            <v>522.12004956379951</v>
          </cell>
          <cell r="H86">
            <v>636.5018148389621</v>
          </cell>
          <cell r="I86">
            <v>819.7464717305503</v>
          </cell>
          <cell r="J86">
            <v>547.38652269867828</v>
          </cell>
          <cell r="K86">
            <v>822.0392043173797</v>
          </cell>
          <cell r="L86">
            <v>-13453.489410893377</v>
          </cell>
          <cell r="M86">
            <v>-14405.608413259703</v>
          </cell>
          <cell r="N86">
            <v>-15276.805650411232</v>
          </cell>
          <cell r="O86">
            <v>-16042.298657497342</v>
          </cell>
        </row>
        <row r="87">
          <cell r="A87" t="str">
            <v>Total Other Revenue</v>
          </cell>
          <cell r="C87">
            <v>600.62852574466865</v>
          </cell>
          <cell r="D87">
            <v>707.76975436811153</v>
          </cell>
          <cell r="E87">
            <v>747.57190951089206</v>
          </cell>
          <cell r="F87">
            <v>812.25814422145777</v>
          </cell>
          <cell r="G87">
            <v>880.41014656597781</v>
          </cell>
          <cell r="H87">
            <v>1014.3611479992867</v>
          </cell>
          <cell r="I87">
            <v>1247.6810765459829</v>
          </cell>
          <cell r="J87">
            <v>1015.2983145900116</v>
          </cell>
          <cell r="K87">
            <v>1326.9988306479715</v>
          </cell>
          <cell r="L87">
            <v>-12906.957220102289</v>
          </cell>
          <cell r="M87">
            <v>-13819.562876438426</v>
          </cell>
          <cell r="N87">
            <v>-14652.491340035525</v>
          </cell>
          <cell r="O87">
            <v>-15377.216622654101</v>
          </cell>
        </row>
        <row r="88">
          <cell r="A88" t="str">
            <v>Total Other EBITA</v>
          </cell>
          <cell r="C88">
            <v>137.10519735719868</v>
          </cell>
          <cell r="D88">
            <v>239.49067974658976</v>
          </cell>
          <cell r="E88">
            <v>189.84900281990053</v>
          </cell>
          <cell r="F88">
            <v>171.8266252967108</v>
          </cell>
          <cell r="G88">
            <v>180.52456316989716</v>
          </cell>
          <cell r="H88">
            <v>168.42995790669102</v>
          </cell>
          <cell r="I88">
            <v>219.86971557673974</v>
          </cell>
          <cell r="J88">
            <v>260.03640493116887</v>
          </cell>
          <cell r="K88">
            <v>217.70313262191419</v>
          </cell>
          <cell r="L88">
            <v>178.69648450476689</v>
          </cell>
          <cell r="M88">
            <v>130.00650322496131</v>
          </cell>
          <cell r="N88">
            <v>69.821823358140747</v>
          </cell>
          <cell r="O88">
            <v>4.2067634056603112</v>
          </cell>
        </row>
        <row r="89">
          <cell r="A89" t="str">
            <v>Total Other EBITA Margin</v>
          </cell>
          <cell r="C89">
            <v>0.22826954012417827</v>
          </cell>
          <cell r="D89">
            <v>0.33837371301688951</v>
          </cell>
          <cell r="E89">
            <v>0.25395416869543896</v>
          </cell>
          <cell r="F89">
            <v>0.21154189283187194</v>
          </cell>
          <cell r="G89">
            <v>0.20504598211870867</v>
          </cell>
          <cell r="H89">
            <v>0.16604535597494066</v>
          </cell>
          <cell r="I89">
            <v>0.17622269000457708</v>
          </cell>
          <cell r="J89">
            <v>0.25611822771140358</v>
          </cell>
          <cell r="K89">
            <v>0.16405676297062755</v>
          </cell>
          <cell r="L89">
            <v>-1.3844973796492578E-2</v>
          </cell>
          <cell r="M89">
            <v>-9.4074251398077909E-3</v>
          </cell>
          <cell r="N89">
            <v>-4.7651844138862642E-3</v>
          </cell>
          <cell r="O89">
            <v>-2.7357118709395053E-4</v>
          </cell>
        </row>
        <row r="92">
          <cell r="A92" t="str">
            <v>ABC Family Affiliate Fee</v>
          </cell>
          <cell r="C92">
            <v>98.398917345389009</v>
          </cell>
          <cell r="D92">
            <v>108.16052941086039</v>
          </cell>
          <cell r="E92">
            <v>118.19922403828022</v>
          </cell>
          <cell r="F92">
            <v>132.38390245827881</v>
          </cell>
          <cell r="G92">
            <v>134.49140918701238</v>
          </cell>
          <cell r="H92">
            <v>130.41343157465388</v>
          </cell>
          <cell r="I92">
            <v>143.37496550333279</v>
          </cell>
          <cell r="J92">
            <v>156.36188820846814</v>
          </cell>
          <cell r="K92">
            <v>165.70907442249401</v>
          </cell>
          <cell r="L92">
            <v>175.25909543312082</v>
          </cell>
          <cell r="M92">
            <v>184.34586522671185</v>
          </cell>
          <cell r="N92">
            <v>192.50985108909097</v>
          </cell>
          <cell r="O92">
            <v>200.28989815692344</v>
          </cell>
        </row>
        <row r="93">
          <cell r="A93" t="str">
            <v>ABC Family Affiliate Fee % Change</v>
          </cell>
          <cell r="C93">
            <v>0.06</v>
          </cell>
          <cell r="D93">
            <v>0.06</v>
          </cell>
          <cell r="E93">
            <v>0.06</v>
          </cell>
          <cell r="F93">
            <v>0.08</v>
          </cell>
          <cell r="G93">
            <v>0.04</v>
          </cell>
          <cell r="H93">
            <v>-0.06</v>
          </cell>
          <cell r="I93">
            <v>0</v>
          </cell>
          <cell r="J93">
            <v>0.05</v>
          </cell>
          <cell r="K93">
            <v>0.03</v>
          </cell>
          <cell r="L93">
            <v>0.03</v>
          </cell>
          <cell r="M93">
            <v>0.03</v>
          </cell>
          <cell r="N93">
            <v>0.03</v>
          </cell>
          <cell r="O93">
            <v>0.03</v>
          </cell>
        </row>
        <row r="94">
          <cell r="A94" t="str">
            <v>ABC Family Advertising Revenue % Change</v>
          </cell>
          <cell r="C94">
            <v>0.11800579356608742</v>
          </cell>
          <cell r="D94">
            <v>0.1</v>
          </cell>
          <cell r="E94">
            <v>0.06</v>
          </cell>
          <cell r="F94">
            <v>0.06</v>
          </cell>
          <cell r="G94">
            <v>-0.18</v>
          </cell>
          <cell r="H94">
            <v>-0.02</v>
          </cell>
          <cell r="I94">
            <v>0.22</v>
          </cell>
          <cell r="J94">
            <v>0.17</v>
          </cell>
          <cell r="K94">
            <v>0.1</v>
          </cell>
          <cell r="L94">
            <v>7.0000000000000007E-2</v>
          </cell>
          <cell r="M94">
            <v>7.0000000000000007E-2</v>
          </cell>
          <cell r="N94">
            <v>7.0000000000000007E-2</v>
          </cell>
          <cell r="O94">
            <v>7.0000000000000007E-2</v>
          </cell>
        </row>
        <row r="95">
          <cell r="A95" t="str">
            <v>ABC Family Programming Expenses as % of Revenue</v>
          </cell>
          <cell r="C95">
            <v>0.26402785886477276</v>
          </cell>
          <cell r="D95">
            <v>0.26402785886477276</v>
          </cell>
          <cell r="E95">
            <v>0.26402785886477276</v>
          </cell>
          <cell r="F95">
            <v>0.26402785886477276</v>
          </cell>
          <cell r="G95">
            <v>0.6</v>
          </cell>
          <cell r="H95">
            <v>0.72</v>
          </cell>
          <cell r="I95">
            <v>0.62</v>
          </cell>
          <cell r="J95">
            <v>0.54500000000000004</v>
          </cell>
          <cell r="K95">
            <v>0.56000000000000005</v>
          </cell>
          <cell r="L95">
            <v>0.54</v>
          </cell>
          <cell r="M95">
            <v>0.52253651094272835</v>
          </cell>
          <cell r="N95">
            <v>0.51590323945782379</v>
          </cell>
          <cell r="O95">
            <v>0.50981009543321176</v>
          </cell>
        </row>
        <row r="96">
          <cell r="A96" t="str">
            <v>ABC Family Total Revenue</v>
          </cell>
          <cell r="C96">
            <v>0</v>
          </cell>
          <cell r="D96">
            <v>0</v>
          </cell>
          <cell r="E96">
            <v>0</v>
          </cell>
          <cell r="F96">
            <v>261.74827775999995</v>
          </cell>
          <cell r="G96">
            <v>240.57447941993473</v>
          </cell>
          <cell r="H96">
            <v>234.37484040291778</v>
          </cell>
          <cell r="I96">
            <v>270.20788427381473</v>
          </cell>
          <cell r="J96">
            <v>304.75640316993201</v>
          </cell>
          <cell r="K96">
            <v>328.94304088010426</v>
          </cell>
          <cell r="L96">
            <v>349.91943954276383</v>
          </cell>
          <cell r="M96">
            <v>371.23243342402986</v>
          </cell>
          <cell r="N96">
            <v>392.47847906022128</v>
          </cell>
          <cell r="O96">
            <v>414.2563300860329</v>
          </cell>
        </row>
        <row r="97">
          <cell r="A97" t="str">
            <v>ABC Family EBITA</v>
          </cell>
          <cell r="C97">
            <v>0</v>
          </cell>
          <cell r="D97">
            <v>0</v>
          </cell>
          <cell r="E97">
            <v>0</v>
          </cell>
          <cell r="F97">
            <v>104.34130969323316</v>
          </cell>
          <cell r="G97">
            <v>17.480172272900212</v>
          </cell>
          <cell r="H97">
            <v>-6.4077783268892432</v>
          </cell>
          <cell r="I97">
            <v>19.633339238604147</v>
          </cell>
          <cell r="J97">
            <v>45.000369253506683</v>
          </cell>
          <cell r="K97">
            <v>47.084664399213487</v>
          </cell>
          <cell r="L97">
            <v>59.250284117568555</v>
          </cell>
          <cell r="M97">
            <v>71.322444192880582</v>
          </cell>
          <cell r="N97">
            <v>79.705037059771669</v>
          </cell>
          <cell r="O97">
            <v>88.238472508558516</v>
          </cell>
        </row>
        <row r="98">
          <cell r="A98" t="str">
            <v>ABC Family EBITA Margin</v>
          </cell>
          <cell r="F98">
            <v>0.39863226832348031</v>
          </cell>
          <cell r="G98">
            <v>7.2660127188253001E-2</v>
          </cell>
          <cell r="H98">
            <v>-2.7339872811746869E-2</v>
          </cell>
          <cell r="I98">
            <v>7.2660127188253085E-2</v>
          </cell>
          <cell r="J98">
            <v>0.14766012718825305</v>
          </cell>
          <cell r="K98">
            <v>0.14313926287431408</v>
          </cell>
          <cell r="L98">
            <v>0.1693255001636671</v>
          </cell>
          <cell r="M98">
            <v>0.19212341856837309</v>
          </cell>
          <cell r="N98">
            <v>0.20308129314662846</v>
          </cell>
          <cell r="O98">
            <v>0.2130045242524915</v>
          </cell>
        </row>
        <row r="100">
          <cell r="A100" t="str">
            <v>Disney Ch. CATV - Basic Affiliate Fee</v>
          </cell>
          <cell r="C100">
            <v>0.69000000000000006</v>
          </cell>
          <cell r="D100">
            <v>0.70000000000000007</v>
          </cell>
          <cell r="E100">
            <v>0.71000000000000008</v>
          </cell>
          <cell r="F100">
            <v>0.72420000000000007</v>
          </cell>
          <cell r="G100">
            <v>0.76041000000000014</v>
          </cell>
          <cell r="H100">
            <v>0.72</v>
          </cell>
          <cell r="I100">
            <v>0.74880000000000002</v>
          </cell>
          <cell r="J100">
            <v>0.778752</v>
          </cell>
          <cell r="K100">
            <v>0.80990208000000008</v>
          </cell>
          <cell r="L100">
            <v>0.82610012160000013</v>
          </cell>
          <cell r="M100">
            <v>0.85914412646400018</v>
          </cell>
          <cell r="N100">
            <v>0.89350989152256022</v>
          </cell>
          <cell r="O100">
            <v>0.9292502871834627</v>
          </cell>
        </row>
        <row r="101">
          <cell r="A101" t="str">
            <v>Disney Ch. DBS Affiliate Fee</v>
          </cell>
          <cell r="C101">
            <v>0.94499999999999995</v>
          </cell>
          <cell r="D101">
            <v>0.99225000000000008</v>
          </cell>
          <cell r="E101">
            <v>1.0120950000000002</v>
          </cell>
          <cell r="F101">
            <v>1.0323369000000002</v>
          </cell>
          <cell r="G101">
            <v>1.0529836380000002</v>
          </cell>
          <cell r="H101">
            <v>1</v>
          </cell>
          <cell r="I101">
            <v>1.04</v>
          </cell>
          <cell r="J101">
            <v>1.0816000000000001</v>
          </cell>
          <cell r="K101">
            <v>1.1248640000000001</v>
          </cell>
          <cell r="L101">
            <v>1.1698585600000002</v>
          </cell>
          <cell r="M101">
            <v>1.2166529024000003</v>
          </cell>
          <cell r="N101">
            <v>1.2653190184960004</v>
          </cell>
          <cell r="O101">
            <v>1.3159317792358405</v>
          </cell>
        </row>
        <row r="102">
          <cell r="A102" t="str">
            <v>Disney Ch. International Affiliate Fee</v>
          </cell>
          <cell r="C102">
            <v>8.578125</v>
          </cell>
          <cell r="D102">
            <v>10.72265625</v>
          </cell>
          <cell r="E102">
            <v>12.60703125</v>
          </cell>
          <cell r="F102">
            <v>14.15</v>
          </cell>
          <cell r="G102">
            <v>16.5</v>
          </cell>
          <cell r="H102">
            <v>19</v>
          </cell>
          <cell r="I102">
            <v>25.5</v>
          </cell>
          <cell r="J102">
            <v>36.5</v>
          </cell>
          <cell r="K102">
            <v>48</v>
          </cell>
          <cell r="L102">
            <v>56.7</v>
          </cell>
          <cell r="M102">
            <v>62.370000000000012</v>
          </cell>
          <cell r="N102">
            <v>68.607000000000028</v>
          </cell>
          <cell r="O102">
            <v>75.467700000000036</v>
          </cell>
        </row>
        <row r="103">
          <cell r="A103" t="str">
            <v>Disney Ch. Programming Expenses as % of Revenue</v>
          </cell>
          <cell r="C103">
            <v>0</v>
          </cell>
          <cell r="D103">
            <v>0</v>
          </cell>
          <cell r="E103">
            <v>0</v>
          </cell>
          <cell r="F103">
            <v>0</v>
          </cell>
          <cell r="G103">
            <v>0</v>
          </cell>
          <cell r="H103">
            <v>0</v>
          </cell>
          <cell r="I103">
            <v>0</v>
          </cell>
          <cell r="J103">
            <v>0</v>
          </cell>
          <cell r="K103">
            <v>0</v>
          </cell>
          <cell r="L103">
            <v>0</v>
          </cell>
          <cell r="M103">
            <v>0</v>
          </cell>
          <cell r="N103">
            <v>0</v>
          </cell>
          <cell r="O103">
            <v>0</v>
          </cell>
        </row>
        <row r="104">
          <cell r="A104" t="str">
            <v>Disney Ch. Total Revenue</v>
          </cell>
          <cell r="C104">
            <v>522.75746142000003</v>
          </cell>
          <cell r="D104">
            <v>596.2976487599999</v>
          </cell>
          <cell r="E104">
            <v>695.67782966260791</v>
          </cell>
          <cell r="F104">
            <v>800.13265047663344</v>
          </cell>
          <cell r="G104">
            <v>826.91553159018099</v>
          </cell>
          <cell r="H104">
            <v>889.35942533430273</v>
          </cell>
          <cell r="I104">
            <v>976.31236476663457</v>
          </cell>
          <cell r="J104">
            <v>1131.2981149498444</v>
          </cell>
          <cell r="K104">
            <v>1289.6792691365736</v>
          </cell>
          <cell r="L104">
            <v>1387.3579173580692</v>
          </cell>
          <cell r="M104">
            <v>1492.6002328559146</v>
          </cell>
          <cell r="N104">
            <v>1603.8147694997724</v>
          </cell>
          <cell r="O104">
            <v>1719.7645046432851</v>
          </cell>
        </row>
        <row r="105">
          <cell r="A105" t="str">
            <v>Disney Ch. EBITA</v>
          </cell>
          <cell r="C105">
            <v>102</v>
          </cell>
          <cell r="D105">
            <v>131.06571233459997</v>
          </cell>
          <cell r="E105">
            <v>183.40073635359951</v>
          </cell>
          <cell r="F105">
            <v>214.5641694013805</v>
          </cell>
          <cell r="G105">
            <v>215.46907776876296</v>
          </cell>
          <cell r="H105">
            <v>217.51648958198416</v>
          </cell>
          <cell r="I105">
            <v>214.8804677448104</v>
          </cell>
          <cell r="J105">
            <v>261.27577128570567</v>
          </cell>
          <cell r="K105">
            <v>308.46816948580044</v>
          </cell>
          <cell r="L105">
            <v>342.55557886820429</v>
          </cell>
          <cell r="M105">
            <v>364.42283816539924</v>
          </cell>
          <cell r="N105">
            <v>386.87564238910835</v>
          </cell>
          <cell r="O105">
            <v>409.31434130825448</v>
          </cell>
        </row>
        <row r="106">
          <cell r="A106" t="str">
            <v>Disney Ch. EBITA Margin</v>
          </cell>
          <cell r="C106">
            <v>0.19511916620554928</v>
          </cell>
          <cell r="D106">
            <v>0.21979914327542785</v>
          </cell>
          <cell r="E106">
            <v>0.2636288358399258</v>
          </cell>
          <cell r="F106">
            <v>0.26816074718806454</v>
          </cell>
          <cell r="G106">
            <v>0.26056963442736414</v>
          </cell>
          <cell r="H106">
            <v>0.24457658330907275</v>
          </cell>
          <cell r="I106">
            <v>0.22009397350628937</v>
          </cell>
          <cell r="J106">
            <v>0.23095218478048046</v>
          </cell>
          <cell r="K106">
            <v>0.23918207950440001</v>
          </cell>
          <cell r="L106">
            <v>0.24691218796698777</v>
          </cell>
          <cell r="M106">
            <v>0.24415300905328088</v>
          </cell>
          <cell r="N106">
            <v>0.24122214718709339</v>
          </cell>
          <cell r="O106">
            <v>0.23800604106150847</v>
          </cell>
        </row>
        <row r="108">
          <cell r="A108" t="str">
            <v>Summary Data</v>
          </cell>
        </row>
        <row r="109">
          <cell r="D109" t="str">
            <v>from 01 10K</v>
          </cell>
          <cell r="E109" t="str">
            <v>from 00 10K</v>
          </cell>
          <cell r="Q109" t="str">
            <v>Contribution</v>
          </cell>
          <cell r="S109" t="str">
            <v>CAGR</v>
          </cell>
          <cell r="T109" t="str">
            <v>Contribution</v>
          </cell>
        </row>
        <row r="110">
          <cell r="C110">
            <v>1998</v>
          </cell>
          <cell r="D110">
            <v>1999</v>
          </cell>
          <cell r="E110" t="str">
            <v>2000</v>
          </cell>
          <cell r="F110" t="str">
            <v>2001</v>
          </cell>
          <cell r="G110" t="str">
            <v>2002</v>
          </cell>
          <cell r="H110" t="str">
            <v>2003</v>
          </cell>
          <cell r="I110" t="str">
            <v>2004</v>
          </cell>
          <cell r="J110" t="str">
            <v>2005</v>
          </cell>
          <cell r="K110" t="str">
            <v>2006E</v>
          </cell>
          <cell r="L110" t="str">
            <v>2007E</v>
          </cell>
          <cell r="M110" t="str">
            <v>2008E</v>
          </cell>
          <cell r="N110" t="str">
            <v>2009E</v>
          </cell>
          <cell r="O110" t="str">
            <v>2010E</v>
          </cell>
          <cell r="P110" t="str">
            <v>'05-'06</v>
          </cell>
          <cell r="Q110" t="str">
            <v>to growth, bps</v>
          </cell>
          <cell r="S110" t="str">
            <v>'05-'10</v>
          </cell>
          <cell r="T110" t="str">
            <v>to growth, bps</v>
          </cell>
        </row>
        <row r="111">
          <cell r="A111" t="str">
            <v>Revenues</v>
          </cell>
        </row>
        <row r="112">
          <cell r="A112" t="str">
            <v>Filmed Entertainment</v>
          </cell>
          <cell r="D112">
            <v>6166</v>
          </cell>
          <cell r="E112">
            <v>6011</v>
          </cell>
          <cell r="F112">
            <v>6009</v>
          </cell>
          <cell r="G112">
            <v>6691</v>
          </cell>
          <cell r="H112">
            <v>7364</v>
          </cell>
          <cell r="I112">
            <v>8713</v>
          </cell>
          <cell r="J112">
            <v>7587</v>
          </cell>
          <cell r="K112">
            <v>7529</v>
          </cell>
          <cell r="L112">
            <v>7359.8476420835877</v>
          </cell>
          <cell r="M112">
            <v>7609.3157277686078</v>
          </cell>
          <cell r="N112">
            <v>7931.8192964776272</v>
          </cell>
          <cell r="O112">
            <v>8249.0768683367314</v>
          </cell>
          <cell r="P112">
            <v>-7.6446553314880594E-3</v>
          </cell>
          <cell r="Q112">
            <v>-72.439332059400087</v>
          </cell>
          <cell r="S112">
            <v>1.68737895182276E-2</v>
          </cell>
          <cell r="T112">
            <v>163.4137838549145</v>
          </cell>
        </row>
        <row r="113">
          <cell r="A113" t="str">
            <v>Theme Parks and Resorts</v>
          </cell>
          <cell r="D113">
            <v>6139</v>
          </cell>
          <cell r="E113">
            <v>6809</v>
          </cell>
          <cell r="F113">
            <v>0</v>
          </cell>
          <cell r="G113">
            <v>0</v>
          </cell>
          <cell r="H113">
            <v>0</v>
          </cell>
          <cell r="I113">
            <v>0</v>
          </cell>
          <cell r="J113">
            <v>42</v>
          </cell>
          <cell r="K113">
            <v>42</v>
          </cell>
          <cell r="L113">
            <v>0</v>
          </cell>
          <cell r="M113">
            <v>0</v>
          </cell>
          <cell r="N113">
            <v>0</v>
          </cell>
          <cell r="O113">
            <v>0</v>
          </cell>
          <cell r="P113">
            <v>0</v>
          </cell>
          <cell r="Q113">
            <v>0</v>
          </cell>
          <cell r="S113">
            <v>-1</v>
          </cell>
          <cell r="T113">
            <v>-10.366438173785742</v>
          </cell>
        </row>
        <row r="114">
          <cell r="A114" t="str">
            <v xml:space="preserve">  Walt Disney World</v>
          </cell>
          <cell r="E114">
            <v>0</v>
          </cell>
          <cell r="F114">
            <v>0</v>
          </cell>
          <cell r="G114">
            <v>0</v>
          </cell>
          <cell r="H114">
            <v>0</v>
          </cell>
          <cell r="I114">
            <v>0</v>
          </cell>
          <cell r="J114">
            <v>0</v>
          </cell>
          <cell r="K114">
            <v>0</v>
          </cell>
          <cell r="L114">
            <v>0</v>
          </cell>
          <cell r="M114">
            <v>0</v>
          </cell>
          <cell r="N114">
            <v>0</v>
          </cell>
          <cell r="O114">
            <v>0</v>
          </cell>
          <cell r="P114" t="e">
            <v>#DIV/0!</v>
          </cell>
          <cell r="Q114">
            <v>0</v>
          </cell>
          <cell r="S114" t="e">
            <v>#DIV/0!</v>
          </cell>
          <cell r="T114">
            <v>0</v>
          </cell>
        </row>
        <row r="115">
          <cell r="A115" t="str">
            <v xml:space="preserve">  Disneyland</v>
          </cell>
          <cell r="E115">
            <v>0</v>
          </cell>
          <cell r="F115">
            <v>0</v>
          </cell>
          <cell r="G115">
            <v>0</v>
          </cell>
          <cell r="H115">
            <v>0</v>
          </cell>
          <cell r="I115">
            <v>0</v>
          </cell>
          <cell r="J115">
            <v>0</v>
          </cell>
          <cell r="K115">
            <v>0</v>
          </cell>
          <cell r="L115">
            <v>0</v>
          </cell>
          <cell r="M115">
            <v>0</v>
          </cell>
          <cell r="N115">
            <v>0</v>
          </cell>
          <cell r="O115">
            <v>0</v>
          </cell>
          <cell r="P115" t="e">
            <v>#DIV/0!</v>
          </cell>
          <cell r="Q115">
            <v>0</v>
          </cell>
          <cell r="S115" t="e">
            <v>#DIV/0!</v>
          </cell>
          <cell r="T115">
            <v>0</v>
          </cell>
        </row>
        <row r="116">
          <cell r="A116" t="str">
            <v xml:space="preserve">  EDL, Hong Kong Disneyland, Other</v>
          </cell>
          <cell r="E116">
            <v>6809</v>
          </cell>
          <cell r="F116">
            <v>0</v>
          </cell>
          <cell r="G116">
            <v>0</v>
          </cell>
          <cell r="H116">
            <v>0</v>
          </cell>
          <cell r="I116">
            <v>0</v>
          </cell>
          <cell r="J116">
            <v>42</v>
          </cell>
          <cell r="K116">
            <v>42</v>
          </cell>
          <cell r="L116">
            <v>0</v>
          </cell>
          <cell r="M116">
            <v>0</v>
          </cell>
          <cell r="N116">
            <v>0</v>
          </cell>
          <cell r="O116">
            <v>0</v>
          </cell>
          <cell r="P116">
            <v>0</v>
          </cell>
          <cell r="Q116">
            <v>0</v>
          </cell>
          <cell r="S116">
            <v>-1</v>
          </cell>
          <cell r="T116">
            <v>-10.366438173785742</v>
          </cell>
        </row>
        <row r="117">
          <cell r="A117" t="str">
            <v>Consumer Products</v>
          </cell>
          <cell r="D117">
            <v>2777</v>
          </cell>
          <cell r="E117">
            <v>2748</v>
          </cell>
          <cell r="F117">
            <v>0</v>
          </cell>
          <cell r="G117">
            <v>0</v>
          </cell>
          <cell r="H117">
            <v>0</v>
          </cell>
          <cell r="I117">
            <v>0</v>
          </cell>
          <cell r="J117">
            <v>0</v>
          </cell>
          <cell r="K117">
            <v>0</v>
          </cell>
          <cell r="L117">
            <v>0</v>
          </cell>
          <cell r="M117">
            <v>0</v>
          </cell>
          <cell r="N117">
            <v>0</v>
          </cell>
          <cell r="O117">
            <v>0</v>
          </cell>
          <cell r="P117" t="e">
            <v>#DIV/0!</v>
          </cell>
          <cell r="Q117">
            <v>0</v>
          </cell>
          <cell r="S117" t="e">
            <v>#DIV/0!</v>
          </cell>
          <cell r="T117">
            <v>0</v>
          </cell>
        </row>
        <row r="118">
          <cell r="A118" t="str">
            <v>Media Networks</v>
          </cell>
          <cell r="D118">
            <v>7970</v>
          </cell>
          <cell r="E118">
            <v>9788</v>
          </cell>
          <cell r="F118">
            <v>0</v>
          </cell>
          <cell r="G118">
            <v>0</v>
          </cell>
          <cell r="H118">
            <v>0</v>
          </cell>
          <cell r="I118">
            <v>0</v>
          </cell>
          <cell r="J118">
            <v>377.69999999999982</v>
          </cell>
          <cell r="K118">
            <v>264.69999999999982</v>
          </cell>
          <cell r="L118">
            <v>0</v>
          </cell>
          <cell r="M118">
            <v>0</v>
          </cell>
          <cell r="N118">
            <v>0</v>
          </cell>
          <cell r="O118">
            <v>0</v>
          </cell>
          <cell r="P118">
            <v>-0.29917924278527952</v>
          </cell>
          <cell r="Q118">
            <v>-141.13180211572777</v>
          </cell>
          <cell r="S118">
            <v>-1</v>
          </cell>
          <cell r="T118">
            <v>-93.22389757711602</v>
          </cell>
        </row>
        <row r="120">
          <cell r="A120" t="str">
            <v>Broadcasting</v>
          </cell>
          <cell r="D120">
            <v>5139</v>
          </cell>
          <cell r="E120">
            <v>6279</v>
          </cell>
          <cell r="F120">
            <v>0</v>
          </cell>
          <cell r="G120">
            <v>0</v>
          </cell>
          <cell r="H120">
            <v>0</v>
          </cell>
          <cell r="I120">
            <v>0</v>
          </cell>
          <cell r="J120">
            <v>258</v>
          </cell>
          <cell r="K120">
            <v>186</v>
          </cell>
          <cell r="L120">
            <v>0</v>
          </cell>
          <cell r="M120">
            <v>0</v>
          </cell>
          <cell r="N120">
            <v>0</v>
          </cell>
          <cell r="O120">
            <v>0</v>
          </cell>
          <cell r="P120">
            <v>-0.27906976744186052</v>
          </cell>
          <cell r="Q120">
            <v>-89.924688073738039</v>
          </cell>
          <cell r="S120">
            <v>-1</v>
          </cell>
          <cell r="T120">
            <v>-63.679548781826711</v>
          </cell>
        </row>
        <row r="121">
          <cell r="A121" t="str">
            <v xml:space="preserve">  ABC Network (inc. TV Prod &amp; Synd.)</v>
          </cell>
          <cell r="E121">
            <v>0</v>
          </cell>
          <cell r="F121">
            <v>0</v>
          </cell>
          <cell r="G121">
            <v>0</v>
          </cell>
          <cell r="H121">
            <v>-1.1601988641841831E-3</v>
          </cell>
          <cell r="I121">
            <v>3.0629234381597736E-3</v>
          </cell>
          <cell r="J121">
            <v>6.0819528657260011E-3</v>
          </cell>
          <cell r="K121">
            <v>5.7708866771924855E-3</v>
          </cell>
          <cell r="L121">
            <v>-1.1196510166340025E-2</v>
          </cell>
          <cell r="M121">
            <v>0</v>
          </cell>
          <cell r="N121">
            <v>0</v>
          </cell>
          <cell r="O121">
            <v>0</v>
          </cell>
          <cell r="P121">
            <v>-5.1145774293399393E-2</v>
          </cell>
          <cell r="Q121">
            <v>-3.8850736075226363E-4</v>
          </cell>
          <cell r="S121">
            <v>-1</v>
          </cell>
          <cell r="T121">
            <v>-1.5011473418673244E-3</v>
          </cell>
        </row>
        <row r="122">
          <cell r="A122" t="str">
            <v xml:space="preserve">  TV and Radio Stations &amp; Network</v>
          </cell>
          <cell r="E122">
            <v>6279</v>
          </cell>
          <cell r="F122">
            <v>0</v>
          </cell>
          <cell r="G122">
            <v>0</v>
          </cell>
          <cell r="H122">
            <v>1.1601988641841831E-3</v>
          </cell>
          <cell r="I122">
            <v>-3.0629234381597736E-3</v>
          </cell>
          <cell r="J122">
            <v>257.99391804713429</v>
          </cell>
          <cell r="K122">
            <v>185.9942291133228</v>
          </cell>
          <cell r="L122">
            <v>1.1196510166340025E-2</v>
          </cell>
          <cell r="M122">
            <v>0</v>
          </cell>
          <cell r="N122">
            <v>0</v>
          </cell>
          <cell r="O122">
            <v>0</v>
          </cell>
          <cell r="P122">
            <v>-0.27907514052582227</v>
          </cell>
          <cell r="Q122">
            <v>-89.924299566377314</v>
          </cell>
          <cell r="S122">
            <v>-1</v>
          </cell>
          <cell r="T122">
            <v>-63.678047634484834</v>
          </cell>
        </row>
        <row r="123">
          <cell r="A123" t="str">
            <v xml:space="preserve"> Cable Networks</v>
          </cell>
          <cell r="D123">
            <v>2873</v>
          </cell>
          <cell r="E123">
            <v>3509</v>
          </cell>
          <cell r="F123">
            <v>0</v>
          </cell>
          <cell r="G123">
            <v>0</v>
          </cell>
          <cell r="H123">
            <v>0</v>
          </cell>
          <cell r="I123">
            <v>0</v>
          </cell>
          <cell r="J123">
            <v>119.69999999999982</v>
          </cell>
          <cell r="K123">
            <v>78.699999999999818</v>
          </cell>
          <cell r="L123">
            <v>0</v>
          </cell>
          <cell r="M123">
            <v>0</v>
          </cell>
          <cell r="N123">
            <v>0</v>
          </cell>
          <cell r="O123">
            <v>0</v>
          </cell>
          <cell r="P123">
            <v>-0.34252297410192201</v>
          </cell>
          <cell r="Q123">
            <v>-51.207114041989719</v>
          </cell>
          <cell r="S123">
            <v>-1</v>
          </cell>
          <cell r="T123">
            <v>-29.54434879528932</v>
          </cell>
        </row>
        <row r="124">
          <cell r="A124" t="str">
            <v xml:space="preserve">  ESPN</v>
          </cell>
          <cell r="E124">
            <v>2759.322170337392</v>
          </cell>
          <cell r="F124">
            <v>2962.8673495233666</v>
          </cell>
          <cell r="G124">
            <v>3357.1169291908441</v>
          </cell>
          <cell r="H124">
            <v>4119.4553680216022</v>
          </cell>
          <cell r="I124">
            <v>4823.911485670641</v>
          </cell>
          <cell r="J124">
            <v>5064.3870263897115</v>
          </cell>
          <cell r="K124">
            <v>5807.2859057021769</v>
          </cell>
          <cell r="L124">
            <v>-7905.7954181468149</v>
          </cell>
          <cell r="M124">
            <v>-8462.8829027822903</v>
          </cell>
          <cell r="N124">
            <v>-8914.7840626456891</v>
          </cell>
          <cell r="O124">
            <v>-9288.7134767632742</v>
          </cell>
          <cell r="P124">
            <v>0.14669077924758467</v>
          </cell>
          <cell r="Q124">
            <v>927.84652767365299</v>
          </cell>
          <cell r="S124">
            <v>-2.1289786674584965</v>
          </cell>
          <cell r="T124">
            <v>-3542.6316420968683</v>
          </cell>
        </row>
        <row r="125">
          <cell r="A125" t="str">
            <v xml:space="preserve">  Other  Cable Networks</v>
          </cell>
          <cell r="E125">
            <v>749.67782966260802</v>
          </cell>
          <cell r="F125">
            <v>-2962.8673495233666</v>
          </cell>
          <cell r="G125">
            <v>-3357.1169291908441</v>
          </cell>
          <cell r="H125">
            <v>-4119.4553680216022</v>
          </cell>
          <cell r="I125">
            <v>-4823.911485670641</v>
          </cell>
          <cell r="J125">
            <v>-4944.6870263897117</v>
          </cell>
          <cell r="K125">
            <v>-5728.5859057021771</v>
          </cell>
          <cell r="L125">
            <v>7905.7954181468149</v>
          </cell>
          <cell r="M125">
            <v>8462.8829027822903</v>
          </cell>
          <cell r="N125">
            <v>8914.7840626456891</v>
          </cell>
          <cell r="O125">
            <v>9288.7134767632742</v>
          </cell>
          <cell r="P125">
            <v>0.15853356848043365</v>
          </cell>
          <cell r="Q125">
            <v>-979.0536417156427</v>
          </cell>
          <cell r="S125">
            <v>-2.1343925135218358</v>
          </cell>
          <cell r="T125">
            <v>3513.0872933015785</v>
          </cell>
        </row>
        <row r="127">
          <cell r="A127" t="str">
            <v>Total Revenues</v>
          </cell>
          <cell r="D127">
            <v>23052</v>
          </cell>
          <cell r="E127">
            <v>25356</v>
          </cell>
          <cell r="F127">
            <v>6009</v>
          </cell>
          <cell r="G127">
            <v>6691</v>
          </cell>
          <cell r="H127">
            <v>7364</v>
          </cell>
          <cell r="I127">
            <v>8713</v>
          </cell>
          <cell r="J127">
            <v>8006.7</v>
          </cell>
          <cell r="K127">
            <v>7835.7</v>
          </cell>
          <cell r="L127">
            <v>7359.8476420835877</v>
          </cell>
          <cell r="M127">
            <v>7609.3157277686078</v>
          </cell>
          <cell r="N127">
            <v>7931.8192964776272</v>
          </cell>
          <cell r="O127">
            <v>8249.0768683367314</v>
          </cell>
          <cell r="P127">
            <v>-2.1357113417512785E-2</v>
          </cell>
          <cell r="Q127">
            <v>-213.57113417512784</v>
          </cell>
          <cell r="S127">
            <v>5.9823448104012744E-3</v>
          </cell>
          <cell r="T127">
            <v>59.823448104012726</v>
          </cell>
        </row>
        <row r="129">
          <cell r="A129" t="str">
            <v>EBITA, excl. FAS 123R</v>
          </cell>
        </row>
        <row r="130">
          <cell r="A130" t="str">
            <v>Filmed Entertainment</v>
          </cell>
          <cell r="D130">
            <v>154</v>
          </cell>
          <cell r="E130">
            <v>76</v>
          </cell>
          <cell r="F130">
            <v>4.3268430687302378E-2</v>
          </cell>
          <cell r="G130">
            <v>4.0801076072335976E-2</v>
          </cell>
          <cell r="H130">
            <v>8.4193373166757193E-2</v>
          </cell>
          <cell r="I130">
            <v>684.07597842304597</v>
          </cell>
          <cell r="J130">
            <v>233.02728351126927</v>
          </cell>
          <cell r="K130">
            <v>759.09682560765043</v>
          </cell>
          <cell r="L130">
            <v>1006.4504249681697</v>
          </cell>
          <cell r="M130">
            <v>1128.2465104189939</v>
          </cell>
          <cell r="N130">
            <v>1179.7835845499194</v>
          </cell>
          <cell r="O130">
            <v>1228.643692101934</v>
          </cell>
          <cell r="P130">
            <v>2.2575448426876599</v>
          </cell>
          <cell r="Q130">
            <v>927.6441741445127</v>
          </cell>
          <cell r="S130">
            <v>0.39445285745325775</v>
          </cell>
          <cell r="T130">
            <v>269.16529936296331</v>
          </cell>
        </row>
        <row r="131">
          <cell r="A131" t="str">
            <v>Theme Parks and Resorts</v>
          </cell>
          <cell r="D131">
            <v>1479</v>
          </cell>
          <cell r="E131">
            <v>1615</v>
          </cell>
          <cell r="F131">
            <v>0</v>
          </cell>
          <cell r="G131">
            <v>0</v>
          </cell>
          <cell r="H131">
            <v>0</v>
          </cell>
          <cell r="I131">
            <v>710</v>
          </cell>
          <cell r="J131">
            <v>756</v>
          </cell>
          <cell r="K131">
            <v>780</v>
          </cell>
          <cell r="L131">
            <v>802.81030912605161</v>
          </cell>
          <cell r="M131">
            <v>883.65713020678118</v>
          </cell>
          <cell r="N131">
            <v>922.30743504554789</v>
          </cell>
          <cell r="O131">
            <v>962.68096181620899</v>
          </cell>
          <cell r="P131">
            <v>3.1746031746031855E-2</v>
          </cell>
          <cell r="Q131">
            <v>42.320374775450162</v>
          </cell>
          <cell r="S131">
            <v>4.9523379592858685E-2</v>
          </cell>
          <cell r="T131">
            <v>55.876281748543597</v>
          </cell>
        </row>
        <row r="132">
          <cell r="A132" t="str">
            <v xml:space="preserve">  Walt Disney World</v>
          </cell>
          <cell r="E132">
            <v>0</v>
          </cell>
          <cell r="F132">
            <v>0</v>
          </cell>
          <cell r="G132">
            <v>0</v>
          </cell>
          <cell r="H132">
            <v>0</v>
          </cell>
          <cell r="I132">
            <v>63.204000000000001</v>
          </cell>
          <cell r="J132">
            <v>65.10011999999999</v>
          </cell>
          <cell r="K132">
            <v>79.357046279999992</v>
          </cell>
          <cell r="L132">
            <v>83.32489859399999</v>
          </cell>
          <cell r="M132">
            <v>87.491143523700003</v>
          </cell>
          <cell r="N132">
            <v>91.865700699885011</v>
          </cell>
          <cell r="O132">
            <v>96.458985734879263</v>
          </cell>
          <cell r="P132">
            <v>0.21900000000000008</v>
          </cell>
          <cell r="Q132">
            <v>25.139935971481858</v>
          </cell>
          <cell r="S132">
            <v>8.1812961102005088E-2</v>
          </cell>
          <cell r="T132">
            <v>8.4778820541536977</v>
          </cell>
        </row>
        <row r="133">
          <cell r="A133" t="str">
            <v xml:space="preserve">  Disneyland</v>
          </cell>
          <cell r="E133">
            <v>85.966639999999941</v>
          </cell>
          <cell r="F133">
            <v>100.98568870249994</v>
          </cell>
          <cell r="G133">
            <v>102.50572499999993</v>
          </cell>
          <cell r="H133">
            <v>112.75629749999996</v>
          </cell>
          <cell r="I133">
            <v>122.75629749999999</v>
          </cell>
          <cell r="J133">
            <v>139.94217914999996</v>
          </cell>
          <cell r="K133">
            <v>150.43784258624999</v>
          </cell>
          <cell r="L133">
            <v>165.481626844875</v>
          </cell>
          <cell r="M133">
            <v>173.75570818711878</v>
          </cell>
          <cell r="N133">
            <v>182.4434935964747</v>
          </cell>
          <cell r="O133">
            <v>191.56566827629845</v>
          </cell>
          <cell r="P133">
            <v>7.5000000000000178E-2</v>
          </cell>
          <cell r="Q133">
            <v>18.507517089128758</v>
          </cell>
          <cell r="S133">
            <v>6.4814139232003187E-2</v>
          </cell>
          <cell r="T133">
            <v>13.956431196739825</v>
          </cell>
        </row>
        <row r="134">
          <cell r="A134" t="str">
            <v xml:space="preserve">  EDL, Hong Kong Disneyland, Other</v>
          </cell>
          <cell r="E134">
            <v>1529.0333600000001</v>
          </cell>
          <cell r="F134">
            <v>-100.98568870249994</v>
          </cell>
          <cell r="G134">
            <v>-102.50572499999993</v>
          </cell>
          <cell r="H134">
            <v>-112.75629749999996</v>
          </cell>
          <cell r="I134">
            <v>524.03970250000009</v>
          </cell>
          <cell r="J134">
            <v>550.95770085000004</v>
          </cell>
          <cell r="K134">
            <v>550.20511113375005</v>
          </cell>
          <cell r="L134">
            <v>554.00378368717668</v>
          </cell>
          <cell r="M134">
            <v>622.41027849596242</v>
          </cell>
          <cell r="N134">
            <v>647.9982407491882</v>
          </cell>
          <cell r="O134">
            <v>674.65630780503136</v>
          </cell>
          <cell r="P134">
            <v>-1.3659664164579199E-3</v>
          </cell>
          <cell r="Q134">
            <v>-1.3270782851603791</v>
          </cell>
          <cell r="S134" t="str">
            <v>NM</v>
          </cell>
          <cell r="T134">
            <v>33.441968497650102</v>
          </cell>
        </row>
        <row r="135">
          <cell r="A135" t="str">
            <v>Consumer Products</v>
          </cell>
          <cell r="D135">
            <v>567</v>
          </cell>
          <cell r="E135">
            <v>385</v>
          </cell>
          <cell r="F135">
            <v>0</v>
          </cell>
          <cell r="G135">
            <v>0</v>
          </cell>
          <cell r="H135">
            <v>0</v>
          </cell>
          <cell r="I135">
            <v>44</v>
          </cell>
          <cell r="J135">
            <v>25</v>
          </cell>
          <cell r="K135">
            <v>23</v>
          </cell>
          <cell r="L135">
            <v>25.837791748351208</v>
          </cell>
          <cell r="M135">
            <v>24.791722104317557</v>
          </cell>
          <cell r="N135">
            <v>25.687476007410737</v>
          </cell>
          <cell r="O135">
            <v>26.635571264598752</v>
          </cell>
          <cell r="P135">
            <v>-7.999999999999996E-2</v>
          </cell>
          <cell r="Q135">
            <v>-3.5266978979541794</v>
          </cell>
          <cell r="S135">
            <v>1.2755012650790043E-2</v>
          </cell>
          <cell r="T135">
            <v>0.44217735391520896</v>
          </cell>
        </row>
        <row r="136">
          <cell r="A136" t="str">
            <v>Media Networks</v>
          </cell>
          <cell r="D136">
            <v>1580</v>
          </cell>
          <cell r="E136">
            <v>2048</v>
          </cell>
          <cell r="F136">
            <v>0</v>
          </cell>
          <cell r="G136">
            <v>0</v>
          </cell>
          <cell r="H136">
            <v>0</v>
          </cell>
          <cell r="I136">
            <v>172</v>
          </cell>
          <cell r="J136">
            <v>181.99999999999989</v>
          </cell>
          <cell r="K136">
            <v>187</v>
          </cell>
          <cell r="L136">
            <v>189.83211687594689</v>
          </cell>
          <cell r="M136">
            <v>200.10127285980593</v>
          </cell>
          <cell r="N136">
            <v>208.93588696241841</v>
          </cell>
          <cell r="O136">
            <v>240.27044124781037</v>
          </cell>
          <cell r="P136">
            <v>2.7472527472528041E-2</v>
          </cell>
          <cell r="Q136">
            <v>8.8167447448856517</v>
          </cell>
          <cell r="S136">
            <v>5.7123656350683616E-2</v>
          </cell>
          <cell r="T136">
            <v>15.753437395312467</v>
          </cell>
        </row>
        <row r="138">
          <cell r="A138" t="str">
            <v>Broadcasting</v>
          </cell>
          <cell r="D138">
            <v>571</v>
          </cell>
          <cell r="E138">
            <v>1033</v>
          </cell>
          <cell r="F138">
            <v>0</v>
          </cell>
          <cell r="G138">
            <v>0</v>
          </cell>
          <cell r="H138">
            <v>0</v>
          </cell>
          <cell r="I138">
            <v>102</v>
          </cell>
          <cell r="J138">
            <v>99.399999999999977</v>
          </cell>
          <cell r="K138">
            <v>104.59999999999991</v>
          </cell>
          <cell r="L138">
            <v>100.48738801590503</v>
          </cell>
          <cell r="M138">
            <v>107.01277438271222</v>
          </cell>
          <cell r="N138">
            <v>111.01329370276471</v>
          </cell>
          <cell r="O138">
            <v>137.73191585928521</v>
          </cell>
          <cell r="P138">
            <v>5.2313883299798025E-2</v>
          </cell>
          <cell r="Q138">
            <v>9.1694145346807474</v>
          </cell>
          <cell r="S138">
            <v>6.7406002825869171E-2</v>
          </cell>
          <cell r="T138">
            <v>10.363048979903256</v>
          </cell>
        </row>
        <row r="139">
          <cell r="A139" t="str">
            <v xml:space="preserve">  ABC Network (inc. TV Prod &amp; Synd.)</v>
          </cell>
          <cell r="E139">
            <v>0</v>
          </cell>
          <cell r="F139">
            <v>0</v>
          </cell>
          <cell r="G139">
            <v>0</v>
          </cell>
          <cell r="H139">
            <v>0</v>
          </cell>
          <cell r="I139">
            <v>0</v>
          </cell>
          <cell r="J139">
            <v>0</v>
          </cell>
          <cell r="K139">
            <v>0</v>
          </cell>
          <cell r="L139">
            <v>0</v>
          </cell>
          <cell r="M139">
            <v>0</v>
          </cell>
          <cell r="N139">
            <v>0</v>
          </cell>
          <cell r="O139">
            <v>0</v>
          </cell>
          <cell r="P139" t="e">
            <v>#DIV/0!</v>
          </cell>
          <cell r="Q139">
            <v>0</v>
          </cell>
          <cell r="S139" t="e">
            <v>#DIV/0!</v>
          </cell>
          <cell r="T139">
            <v>0</v>
          </cell>
        </row>
        <row r="140">
          <cell r="A140" t="str">
            <v xml:space="preserve">  TV and Radio Stations &amp; Network</v>
          </cell>
          <cell r="E140">
            <v>1033</v>
          </cell>
          <cell r="F140">
            <v>0</v>
          </cell>
          <cell r="G140">
            <v>0</v>
          </cell>
          <cell r="H140">
            <v>0</v>
          </cell>
          <cell r="I140">
            <v>102</v>
          </cell>
          <cell r="J140">
            <v>99.399999999999977</v>
          </cell>
          <cell r="K140">
            <v>104.59999999999991</v>
          </cell>
          <cell r="L140">
            <v>100.48738801590503</v>
          </cell>
          <cell r="M140">
            <v>107.01277438271222</v>
          </cell>
          <cell r="N140">
            <v>111.01329370276471</v>
          </cell>
          <cell r="O140">
            <v>137.73191585928521</v>
          </cell>
          <cell r="P140">
            <v>5.2313883299798025E-2</v>
          </cell>
          <cell r="Q140">
            <v>9.1694145346807474</v>
          </cell>
          <cell r="S140">
            <v>6.7406002825869171E-2</v>
          </cell>
          <cell r="T140">
            <v>10.363048979903256</v>
          </cell>
        </row>
        <row r="141">
          <cell r="A141" t="str">
            <v xml:space="preserve"> Cable Networks</v>
          </cell>
          <cell r="D141">
            <v>941</v>
          </cell>
          <cell r="E141">
            <v>1015</v>
          </cell>
          <cell r="F141">
            <v>0</v>
          </cell>
          <cell r="G141">
            <v>0</v>
          </cell>
          <cell r="H141">
            <v>0</v>
          </cell>
          <cell r="I141">
            <v>70</v>
          </cell>
          <cell r="J141">
            <v>82.599999999999909</v>
          </cell>
          <cell r="K141">
            <v>82.400000000000091</v>
          </cell>
          <cell r="L141">
            <v>89.344728860041869</v>
          </cell>
          <cell r="M141">
            <v>93.088498477093708</v>
          </cell>
          <cell r="N141">
            <v>97.922593259653695</v>
          </cell>
          <cell r="O141">
            <v>102.53852538852516</v>
          </cell>
          <cell r="P141">
            <v>-2.4213075060510736E-3</v>
          </cell>
          <cell r="Q141">
            <v>-0.35266978979509722</v>
          </cell>
          <cell r="S141">
            <v>4.4194506459928506E-2</v>
          </cell>
          <cell r="T141">
            <v>5.3903884154092108</v>
          </cell>
        </row>
        <row r="142">
          <cell r="A142" t="str">
            <v xml:space="preserve">  ESPN</v>
          </cell>
          <cell r="E142">
            <v>948.59926364640046</v>
          </cell>
          <cell r="F142">
            <v>923.43583059861953</v>
          </cell>
          <cell r="G142">
            <v>885.43134579476339</v>
          </cell>
          <cell r="H142">
            <v>1045.1741779290064</v>
          </cell>
          <cell r="I142">
            <v>1623.100124701398</v>
          </cell>
          <cell r="J142">
            <v>1966.8651167308687</v>
          </cell>
          <cell r="K142">
            <v>2134.8860076761193</v>
          </cell>
          <cell r="L142">
            <v>2252.0096034602416</v>
          </cell>
          <cell r="M142">
            <v>2387.559510731096</v>
          </cell>
          <cell r="N142">
            <v>2527.0667863504768</v>
          </cell>
          <cell r="O142">
            <v>2620.7853121195126</v>
          </cell>
          <cell r="P142">
            <v>8.5425731289860085E-2</v>
          </cell>
          <cell r="Q142">
            <v>296.27946145450187</v>
          </cell>
          <cell r="S142">
            <v>5.9086357187080107E-2</v>
          </cell>
          <cell r="T142">
            <v>176.78758971080518</v>
          </cell>
        </row>
        <row r="143">
          <cell r="A143" t="str">
            <v xml:space="preserve">  Other  Cable Networks</v>
          </cell>
          <cell r="E143">
            <v>66.400736353599541</v>
          </cell>
          <cell r="F143">
            <v>-923.43583059861953</v>
          </cell>
          <cell r="G143">
            <v>-885.43134579476339</v>
          </cell>
          <cell r="H143">
            <v>-1045.1741779290064</v>
          </cell>
          <cell r="I143">
            <v>-1553.100124701398</v>
          </cell>
          <cell r="J143">
            <v>-1884.2651167308688</v>
          </cell>
          <cell r="K143">
            <v>-2052.4860076761192</v>
          </cell>
          <cell r="L143">
            <v>-2162.6648746001997</v>
          </cell>
          <cell r="M143">
            <v>-2294.4710122540023</v>
          </cell>
          <cell r="N143">
            <v>-2429.1441930908231</v>
          </cell>
          <cell r="O143">
            <v>-2518.2467867309874</v>
          </cell>
          <cell r="P143">
            <v>8.9276657223855693E-2</v>
          </cell>
          <cell r="Q143">
            <v>-296.63213124429694</v>
          </cell>
          <cell r="S143">
            <v>5.9720305629000103E-2</v>
          </cell>
          <cell r="T143">
            <v>-171.39720129539594</v>
          </cell>
        </row>
        <row r="145">
          <cell r="A145" t="str">
            <v>Corporate</v>
          </cell>
          <cell r="D145">
            <v>3491</v>
          </cell>
          <cell r="E145">
            <v>3976</v>
          </cell>
          <cell r="F145">
            <v>3808</v>
          </cell>
          <cell r="G145">
            <v>2405</v>
          </cell>
          <cell r="H145">
            <v>2731</v>
          </cell>
          <cell r="I145">
            <v>4482</v>
          </cell>
          <cell r="J145">
            <v>4475</v>
          </cell>
          <cell r="K145">
            <v>5939</v>
          </cell>
          <cell r="L145">
            <v>6901.0387878953761</v>
          </cell>
          <cell r="M145">
            <v>7441.0682263178387</v>
          </cell>
          <cell r="N145">
            <v>7821.2996926080723</v>
          </cell>
          <cell r="O145">
            <v>8142.3189050307419</v>
          </cell>
          <cell r="P145">
            <v>0.32715083798882683</v>
          </cell>
          <cell r="Q145">
            <v>2581.5428613024601</v>
          </cell>
          <cell r="S145">
            <v>0.12717413274172484</v>
          </cell>
          <cell r="T145">
            <v>991.46115151854087</v>
          </cell>
        </row>
        <row r="146">
          <cell r="A146" t="str">
            <v>Total EBITA, excl. FAS 123R</v>
          </cell>
          <cell r="D146">
            <v>7271</v>
          </cell>
          <cell r="E146">
            <v>8100</v>
          </cell>
          <cell r="F146">
            <v>3808.0432684306875</v>
          </cell>
          <cell r="G146">
            <v>2405.0408010760725</v>
          </cell>
          <cell r="H146">
            <v>2731.0841933731667</v>
          </cell>
          <cell r="I146">
            <v>6092.0759784230459</v>
          </cell>
          <cell r="J146">
            <v>5671.0272835112692</v>
          </cell>
          <cell r="K146">
            <v>7688.0968256076503</v>
          </cell>
          <cell r="L146">
            <v>8925.9694306138954</v>
          </cell>
          <cell r="M146">
            <v>9677.8648619077376</v>
          </cell>
          <cell r="N146">
            <v>10158.014075173369</v>
          </cell>
          <cell r="O146">
            <v>10600.549571461293</v>
          </cell>
          <cell r="P146">
            <v>0.35567974570693539</v>
          </cell>
          <cell r="Q146">
            <v>3556.7974570693546</v>
          </cell>
          <cell r="S146">
            <v>0.13326983473792753</v>
          </cell>
          <cell r="T146">
            <v>1332.6983473792754</v>
          </cell>
        </row>
        <row r="149">
          <cell r="A149" t="str">
            <v>check</v>
          </cell>
          <cell r="D149">
            <v>0.27980514485941371</v>
          </cell>
          <cell r="E149">
            <v>0.23596567199433116</v>
          </cell>
          <cell r="F149">
            <v>0.23299728576967818</v>
          </cell>
          <cell r="G149">
            <v>0.26416360693276481</v>
          </cell>
          <cell r="H149">
            <v>0.27212593769631571</v>
          </cell>
          <cell r="I149">
            <v>1755.2833311654526</v>
          </cell>
          <cell r="J149">
            <v>1453.2418244406197</v>
          </cell>
          <cell r="K149">
            <v>2078.2231013127093</v>
          </cell>
          <cell r="L149">
            <v>2356.7245847233289</v>
          </cell>
          <cell r="M149">
            <v>2578.6076134048612</v>
          </cell>
          <cell r="N149">
            <v>2689.0295417159564</v>
          </cell>
          <cell r="O149">
            <v>2821.5462372417196</v>
          </cell>
        </row>
        <row r="151">
          <cell r="A151" t="str">
            <v>EBITDA (incl. Corporate)</v>
          </cell>
          <cell r="C151">
            <v>0</v>
          </cell>
          <cell r="D151">
            <v>0</v>
          </cell>
          <cell r="E151">
            <v>0</v>
          </cell>
          <cell r="F151">
            <v>0</v>
          </cell>
          <cell r="G151">
            <v>0</v>
          </cell>
          <cell r="H151">
            <v>0</v>
          </cell>
          <cell r="I151">
            <v>0</v>
          </cell>
          <cell r="J151">
            <v>0</v>
          </cell>
          <cell r="K151" t="str">
            <v xml:space="preserve"> </v>
          </cell>
          <cell r="L151">
            <v>0</v>
          </cell>
          <cell r="M151">
            <v>0</v>
          </cell>
          <cell r="N151">
            <v>0</v>
          </cell>
          <cell r="O151">
            <v>0</v>
          </cell>
        </row>
        <row r="152">
          <cell r="A152" t="str">
            <v>Fully Diluted EPS (excl. extraordinaries)</v>
          </cell>
          <cell r="C152">
            <v>-0.12770370370370371</v>
          </cell>
          <cell r="D152">
            <v>-0.1348516562650024</v>
          </cell>
          <cell r="E152">
            <v>-0.36116405135520685</v>
          </cell>
          <cell r="F152">
            <v>-6.4933460076045625E-3</v>
          </cell>
          <cell r="G152">
            <v>-6.7294520547945208E-3</v>
          </cell>
          <cell r="H152">
            <v>-5.3991291727140782E-3</v>
          </cell>
          <cell r="I152">
            <v>-3.5327635327635325E-3</v>
          </cell>
          <cell r="J152">
            <v>-3.3121110579224511E-3</v>
          </cell>
          <cell r="K152">
            <v>-3.3381502890173411E-3</v>
          </cell>
          <cell r="L152">
            <v>-3.5944505251549724E-3</v>
          </cell>
          <cell r="M152">
            <v>-3.69297651434069E-3</v>
          </cell>
          <cell r="N152">
            <v>-3.7645949085405818E-3</v>
          </cell>
          <cell r="O152">
            <v>-3.8437531790017862E-3</v>
          </cell>
        </row>
        <row r="153">
          <cell r="A153" t="str">
            <v>Cash EPS</v>
          </cell>
          <cell r="C153">
            <v>0</v>
          </cell>
          <cell r="D153">
            <v>0</v>
          </cell>
          <cell r="E153">
            <v>0</v>
          </cell>
          <cell r="F153">
            <v>0</v>
          </cell>
          <cell r="G153">
            <v>0</v>
          </cell>
          <cell r="H153">
            <v>0</v>
          </cell>
          <cell r="I153">
            <v>0</v>
          </cell>
          <cell r="J153">
            <v>0</v>
          </cell>
          <cell r="K153">
            <v>0</v>
          </cell>
          <cell r="L153">
            <v>0</v>
          </cell>
          <cell r="M153">
            <v>0</v>
          </cell>
          <cell r="N153">
            <v>0</v>
          </cell>
          <cell r="O153">
            <v>0</v>
          </cell>
        </row>
        <row r="155">
          <cell r="A155" t="str">
            <v>Total Debt</v>
          </cell>
          <cell r="C155">
            <v>0</v>
          </cell>
          <cell r="D155">
            <v>0</v>
          </cell>
          <cell r="E155">
            <v>0</v>
          </cell>
          <cell r="F155">
            <v>0</v>
          </cell>
          <cell r="G155">
            <v>0</v>
          </cell>
          <cell r="H155">
            <v>0</v>
          </cell>
          <cell r="I155">
            <v>0</v>
          </cell>
          <cell r="J155">
            <v>0</v>
          </cell>
          <cell r="K155">
            <v>0</v>
          </cell>
          <cell r="L155">
            <v>0</v>
          </cell>
          <cell r="M155">
            <v>0</v>
          </cell>
          <cell r="N155">
            <v>0</v>
          </cell>
          <cell r="O155">
            <v>0</v>
          </cell>
        </row>
        <row r="156">
          <cell r="A156" t="str">
            <v>Cash and Equivelants</v>
          </cell>
          <cell r="C156">
            <v>3999</v>
          </cell>
          <cell r="D156">
            <v>3633</v>
          </cell>
          <cell r="E156">
            <v>3599</v>
          </cell>
          <cell r="F156">
            <v>3525</v>
          </cell>
          <cell r="G156">
            <v>4049</v>
          </cell>
          <cell r="H156">
            <v>4238</v>
          </cell>
          <cell r="I156">
            <v>4558</v>
          </cell>
          <cell r="J156">
            <v>4585</v>
          </cell>
          <cell r="K156">
            <v>4707</v>
          </cell>
          <cell r="L156">
            <v>2856.0218849483867</v>
          </cell>
          <cell r="M156">
            <v>3000.8204486399395</v>
          </cell>
          <cell r="N156">
            <v>3198.2626464166769</v>
          </cell>
          <cell r="O156">
            <v>3460.6007530490415</v>
          </cell>
        </row>
        <row r="157">
          <cell r="A157" t="str">
            <v>Net Debt</v>
          </cell>
          <cell r="C157">
            <v>-3999</v>
          </cell>
          <cell r="D157">
            <v>-3633</v>
          </cell>
          <cell r="E157">
            <v>-3599</v>
          </cell>
          <cell r="F157">
            <v>-3525</v>
          </cell>
          <cell r="G157">
            <v>-4049</v>
          </cell>
          <cell r="H157">
            <v>-4238</v>
          </cell>
          <cell r="I157">
            <v>-4558</v>
          </cell>
          <cell r="J157">
            <v>-4585</v>
          </cell>
          <cell r="K157">
            <v>-4707</v>
          </cell>
          <cell r="L157">
            <v>-2856.0218849483867</v>
          </cell>
          <cell r="M157">
            <v>-3000.8204486399395</v>
          </cell>
          <cell r="N157">
            <v>-3198.2626464166769</v>
          </cell>
          <cell r="O157">
            <v>-3460.6007530490415</v>
          </cell>
        </row>
        <row r="159">
          <cell r="A159" t="str">
            <v>Capital Expenditures</v>
          </cell>
          <cell r="C159">
            <v>-213</v>
          </cell>
          <cell r="D159">
            <v>-319</v>
          </cell>
          <cell r="E159">
            <v>-34</v>
          </cell>
          <cell r="F159">
            <v>-480</v>
          </cell>
          <cell r="G159">
            <v>-2845</v>
          </cell>
          <cell r="H159">
            <v>-130</v>
          </cell>
          <cell r="I159">
            <v>-48</v>
          </cell>
          <cell r="J159">
            <v>0</v>
          </cell>
          <cell r="K159">
            <v>0</v>
          </cell>
          <cell r="L159">
            <v>0</v>
          </cell>
          <cell r="M159">
            <v>0</v>
          </cell>
          <cell r="N159">
            <v>0</v>
          </cell>
          <cell r="O159">
            <v>0</v>
          </cell>
        </row>
        <row r="161">
          <cell r="A161" t="str">
            <v xml:space="preserve">ROI  </v>
          </cell>
          <cell r="C161">
            <v>3.8350777934936353</v>
          </cell>
          <cell r="D161">
            <v>0.8215537922125854</v>
          </cell>
          <cell r="E161">
            <v>0.42381034781103993</v>
          </cell>
          <cell r="F161">
            <v>0.197696421225833</v>
          </cell>
          <cell r="G161">
            <v>8.6227178977923771E-2</v>
          </cell>
          <cell r="H161">
            <v>8.9961736501488018E-2</v>
          </cell>
          <cell r="I161">
            <v>0.14219881500987491</v>
          </cell>
          <cell r="J161">
            <v>0.14909591096661245</v>
          </cell>
        </row>
        <row r="162">
          <cell r="A162" t="str">
            <v>RONTA</v>
          </cell>
          <cell r="C162">
            <v>-1.5375106322653813</v>
          </cell>
          <cell r="D162">
            <v>-1.3627180899908173</v>
          </cell>
          <cell r="E162">
            <v>-2.8281755196304847</v>
          </cell>
          <cell r="F162">
            <v>14.093841642228739</v>
          </cell>
          <cell r="G162">
            <v>3.9058823529411764</v>
          </cell>
          <cell r="H162">
            <v>-8.4079470198675494</v>
          </cell>
          <cell r="I162">
            <v>-6.1845174973488861</v>
          </cell>
          <cell r="J162">
            <v>-3.3138410227904389</v>
          </cell>
        </row>
        <row r="164">
          <cell r="A164" t="str">
            <v>Ratios</v>
          </cell>
        </row>
        <row r="165">
          <cell r="A165" t="str">
            <v>Debt/EBITDA</v>
          </cell>
          <cell r="C165" t="e">
            <v>#DIV/0!</v>
          </cell>
          <cell r="D165" t="e">
            <v>#DIV/0!</v>
          </cell>
          <cell r="E165" t="e">
            <v>#DIV/0!</v>
          </cell>
          <cell r="F165" t="e">
            <v>#DIV/0!</v>
          </cell>
          <cell r="G165" t="e">
            <v>#DIV/0!</v>
          </cell>
          <cell r="H165" t="e">
            <v>#DIV/0!</v>
          </cell>
          <cell r="I165" t="e">
            <v>#DIV/0!</v>
          </cell>
          <cell r="J165" t="e">
            <v>#DIV/0!</v>
          </cell>
        </row>
        <row r="166">
          <cell r="A166" t="str">
            <v>Net Debt/EBITDA</v>
          </cell>
          <cell r="C166" t="e">
            <v>#DIV/0!</v>
          </cell>
          <cell r="D166" t="e">
            <v>#DIV/0!</v>
          </cell>
          <cell r="E166" t="e">
            <v>#DIV/0!</v>
          </cell>
          <cell r="F166" t="e">
            <v>#DIV/0!</v>
          </cell>
          <cell r="G166" t="e">
            <v>#DIV/0!</v>
          </cell>
          <cell r="H166" t="e">
            <v>#DIV/0!</v>
          </cell>
          <cell r="I166" t="e">
            <v>#DIV/0!</v>
          </cell>
          <cell r="J166" t="e">
            <v>#DIV/0!</v>
          </cell>
        </row>
        <row r="167">
          <cell r="A167" t="str">
            <v>EBITDA/Cash Interest</v>
          </cell>
          <cell r="C167" t="e">
            <v>#DIV/0!</v>
          </cell>
          <cell r="D167" t="e">
            <v>#DIV/0!</v>
          </cell>
          <cell r="E167">
            <v>0</v>
          </cell>
          <cell r="F167" t="e">
            <v>#DIV/0!</v>
          </cell>
          <cell r="G167" t="e">
            <v>#DIV/0!</v>
          </cell>
          <cell r="H167" t="e">
            <v>#DIV/0!</v>
          </cell>
          <cell r="I167" t="e">
            <v>#DIV/0!</v>
          </cell>
          <cell r="J167" t="e">
            <v>#DIV/0!</v>
          </cell>
        </row>
        <row r="170">
          <cell r="A170" t="str">
            <v>Reconcilliation of Drivers and Reported Segment Totals</v>
          </cell>
        </row>
        <row r="171">
          <cell r="A171" t="str">
            <v>Theme Park, Resort, &amp; Cruise Ship Revenue</v>
          </cell>
          <cell r="C171" t="e">
            <v>#REF!</v>
          </cell>
          <cell r="D171" t="e">
            <v>#REF!</v>
          </cell>
          <cell r="E171" t="e">
            <v>#REF!</v>
          </cell>
          <cell r="F171" t="e">
            <v>#REF!</v>
          </cell>
          <cell r="G171" t="e">
            <v>#REF!</v>
          </cell>
          <cell r="H171" t="e">
            <v>#REF!</v>
          </cell>
          <cell r="I171" t="e">
            <v>#REF!</v>
          </cell>
          <cell r="J171" t="e">
            <v>#REF!</v>
          </cell>
        </row>
        <row r="172">
          <cell r="A172" t="str">
            <v>Other Revenue</v>
          </cell>
          <cell r="C172" t="e">
            <v>#REF!</v>
          </cell>
          <cell r="D172" t="e">
            <v>#REF!</v>
          </cell>
          <cell r="E172" t="e">
            <v>#REF!</v>
          </cell>
          <cell r="F172" t="e">
            <v>#REF!</v>
          </cell>
          <cell r="G172" t="e">
            <v>#REF!</v>
          </cell>
          <cell r="H172" t="e">
            <v>#REF!</v>
          </cell>
          <cell r="I172" t="e">
            <v>#REF!</v>
          </cell>
          <cell r="J172" t="e">
            <v>#REF!</v>
          </cell>
        </row>
        <row r="173">
          <cell r="A173" t="str">
            <v>Total Theme Park Segment Revenue</v>
          </cell>
          <cell r="C173">
            <v>0</v>
          </cell>
          <cell r="D173">
            <v>0</v>
          </cell>
          <cell r="E173">
            <v>0</v>
          </cell>
          <cell r="F173">
            <v>0</v>
          </cell>
          <cell r="G173">
            <v>0</v>
          </cell>
          <cell r="H173">
            <v>0</v>
          </cell>
          <cell r="I173">
            <v>0</v>
          </cell>
          <cell r="J173">
            <v>42</v>
          </cell>
        </row>
        <row r="175">
          <cell r="A175" t="str">
            <v>Theme Park, Resort, &amp; Cruise Ship EBITA</v>
          </cell>
          <cell r="C175" t="e">
            <v>#REF!</v>
          </cell>
          <cell r="D175" t="e">
            <v>#REF!</v>
          </cell>
          <cell r="E175" t="e">
            <v>#REF!</v>
          </cell>
          <cell r="F175" t="e">
            <v>#REF!</v>
          </cell>
          <cell r="G175" t="e">
            <v>#REF!</v>
          </cell>
          <cell r="H175" t="e">
            <v>#REF!</v>
          </cell>
          <cell r="I175" t="e">
            <v>#REF!</v>
          </cell>
          <cell r="J175" t="e">
            <v>#REF!</v>
          </cell>
        </row>
        <row r="176">
          <cell r="A176" t="str">
            <v>Other EBITA</v>
          </cell>
          <cell r="C176" t="e">
            <v>#REF!</v>
          </cell>
          <cell r="D176" t="e">
            <v>#REF!</v>
          </cell>
          <cell r="E176" t="e">
            <v>#REF!</v>
          </cell>
          <cell r="F176" t="e">
            <v>#REF!</v>
          </cell>
          <cell r="G176" t="e">
            <v>#REF!</v>
          </cell>
          <cell r="H176" t="e">
            <v>#REF!</v>
          </cell>
          <cell r="I176" t="e">
            <v>#REF!</v>
          </cell>
          <cell r="J176" t="e">
            <v>#REF!</v>
          </cell>
        </row>
        <row r="177">
          <cell r="A177" t="str">
            <v>Total Theme Park Segment EBITA</v>
          </cell>
          <cell r="C177">
            <v>0</v>
          </cell>
          <cell r="D177">
            <v>0</v>
          </cell>
          <cell r="E177">
            <v>0</v>
          </cell>
          <cell r="F177">
            <v>0</v>
          </cell>
          <cell r="G177">
            <v>0</v>
          </cell>
          <cell r="H177">
            <v>0</v>
          </cell>
          <cell r="I177">
            <v>0</v>
          </cell>
          <cell r="J177">
            <v>0</v>
          </cell>
        </row>
        <row r="179">
          <cell r="A179" t="str">
            <v>Licensing and Store Revenue</v>
          </cell>
          <cell r="C179">
            <v>2433</v>
          </cell>
          <cell r="D179">
            <v>2213</v>
          </cell>
          <cell r="E179">
            <v>2086</v>
          </cell>
          <cell r="F179">
            <v>2086</v>
          </cell>
          <cell r="G179">
            <v>1923</v>
          </cell>
          <cell r="H179">
            <v>1784</v>
          </cell>
          <cell r="I179">
            <v>1770.9366163124575</v>
          </cell>
          <cell r="J179">
            <v>1224.4996148800456</v>
          </cell>
        </row>
        <row r="180">
          <cell r="A180" t="str">
            <v>Other Revenue</v>
          </cell>
          <cell r="C180">
            <v>-2433</v>
          </cell>
          <cell r="D180">
            <v>-2213</v>
          </cell>
          <cell r="E180">
            <v>-2086</v>
          </cell>
          <cell r="F180">
            <v>-2086</v>
          </cell>
          <cell r="G180">
            <v>-1923</v>
          </cell>
          <cell r="H180">
            <v>-1784</v>
          </cell>
          <cell r="I180">
            <v>-1770.9366163124575</v>
          </cell>
          <cell r="J180">
            <v>-1224.4996148800456</v>
          </cell>
        </row>
        <row r="181">
          <cell r="A181" t="str">
            <v>Total Consumer Products Revenue</v>
          </cell>
          <cell r="C181">
            <v>0</v>
          </cell>
          <cell r="D181">
            <v>0</v>
          </cell>
          <cell r="E181">
            <v>0</v>
          </cell>
          <cell r="F181">
            <v>0</v>
          </cell>
          <cell r="G181">
            <v>0</v>
          </cell>
          <cell r="H181">
            <v>0</v>
          </cell>
          <cell r="I181">
            <v>0</v>
          </cell>
          <cell r="J181">
            <v>0</v>
          </cell>
        </row>
        <row r="183">
          <cell r="A183" t="str">
            <v>Licensing and Store EBITA</v>
          </cell>
          <cell r="C183">
            <v>863.73333333333335</v>
          </cell>
          <cell r="D183">
            <v>588.94267200066668</v>
          </cell>
          <cell r="E183">
            <v>552.61667200066665</v>
          </cell>
          <cell r="F183">
            <v>552.61667200066665</v>
          </cell>
          <cell r="G183">
            <v>533.64833733383341</v>
          </cell>
          <cell r="H183">
            <v>471.94067066716667</v>
          </cell>
          <cell r="I183">
            <v>588.25254365014382</v>
          </cell>
          <cell r="J183">
            <v>626.43565053145539</v>
          </cell>
        </row>
        <row r="184">
          <cell r="A184" t="str">
            <v>Other EBITA</v>
          </cell>
          <cell r="C184">
            <v>-863.73333333333335</v>
          </cell>
          <cell r="D184">
            <v>-588.94267200066668</v>
          </cell>
          <cell r="E184">
            <v>-552.61667200066665</v>
          </cell>
          <cell r="F184">
            <v>-552.61667200066665</v>
          </cell>
          <cell r="G184">
            <v>-533.64833733383341</v>
          </cell>
          <cell r="H184">
            <v>-471.94067066716667</v>
          </cell>
          <cell r="I184">
            <v>-588.25254365014382</v>
          </cell>
          <cell r="J184">
            <v>-626.43565053145539</v>
          </cell>
        </row>
        <row r="185">
          <cell r="A185" t="str">
            <v>Total Consumer Products EBITA</v>
          </cell>
          <cell r="C185">
            <v>0</v>
          </cell>
          <cell r="D185">
            <v>0</v>
          </cell>
          <cell r="E185">
            <v>0</v>
          </cell>
          <cell r="F185">
            <v>0</v>
          </cell>
          <cell r="G185">
            <v>0</v>
          </cell>
          <cell r="H185">
            <v>0</v>
          </cell>
          <cell r="I185">
            <v>0</v>
          </cell>
          <cell r="J185">
            <v>0</v>
          </cell>
        </row>
        <row r="187">
          <cell r="A187" t="str">
            <v>Television Revenue</v>
          </cell>
          <cell r="C187">
            <v>4209</v>
          </cell>
          <cell r="D187">
            <v>4050.5999999999995</v>
          </cell>
          <cell r="E187">
            <v>5479.9420000000009</v>
          </cell>
          <cell r="F187">
            <v>5152.7621199999985</v>
          </cell>
          <cell r="G187">
            <v>4298.8173624000001</v>
          </cell>
          <cell r="H187">
            <v>4619.3051033616002</v>
          </cell>
          <cell r="I187">
            <v>4507.786677543525</v>
          </cell>
          <cell r="J187">
            <v>4908.3405123306547</v>
          </cell>
        </row>
        <row r="188">
          <cell r="A188" t="str">
            <v>Other Revenue</v>
          </cell>
          <cell r="C188">
            <v>-4209</v>
          </cell>
          <cell r="D188">
            <v>-4050.5999999999995</v>
          </cell>
          <cell r="E188">
            <v>-5479.9420000000009</v>
          </cell>
          <cell r="F188">
            <v>-5152.7621199999985</v>
          </cell>
          <cell r="G188">
            <v>-4298.8173624000001</v>
          </cell>
          <cell r="H188">
            <v>-4619.3051033616002</v>
          </cell>
          <cell r="I188">
            <v>-4507.786677543525</v>
          </cell>
          <cell r="J188">
            <v>-4650.3405123306547</v>
          </cell>
        </row>
        <row r="189">
          <cell r="A189" t="str">
            <v>Total Broadcast Revenue</v>
          </cell>
          <cell r="C189">
            <v>0</v>
          </cell>
          <cell r="D189">
            <v>0</v>
          </cell>
          <cell r="E189">
            <v>0</v>
          </cell>
          <cell r="F189">
            <v>0</v>
          </cell>
          <cell r="G189">
            <v>0</v>
          </cell>
          <cell r="H189">
            <v>0</v>
          </cell>
          <cell r="I189">
            <v>0</v>
          </cell>
          <cell r="J189">
            <v>258</v>
          </cell>
        </row>
        <row r="191">
          <cell r="A191" t="str">
            <v>Television EBITA</v>
          </cell>
          <cell r="C191">
            <v>838.3</v>
          </cell>
          <cell r="D191">
            <v>491.25459999999998</v>
          </cell>
          <cell r="E191">
            <v>997.56906199999992</v>
          </cell>
          <cell r="F191">
            <v>597.2159005200001</v>
          </cell>
          <cell r="G191">
            <v>-159.73086722160002</v>
          </cell>
          <cell r="H191">
            <v>-75.339936068702286</v>
          </cell>
          <cell r="I191">
            <v>152.09810571840825</v>
          </cell>
          <cell r="J191">
            <v>595.24300000000028</v>
          </cell>
        </row>
        <row r="192">
          <cell r="A192" t="str">
            <v>Other EBITA</v>
          </cell>
          <cell r="C192">
            <v>-838.3</v>
          </cell>
          <cell r="D192">
            <v>-491.25459999999998</v>
          </cell>
          <cell r="E192">
            <v>-997.56906199999992</v>
          </cell>
          <cell r="F192">
            <v>-597.2159005200001</v>
          </cell>
          <cell r="G192">
            <v>159.73086722160002</v>
          </cell>
          <cell r="H192">
            <v>75.339936068702286</v>
          </cell>
          <cell r="I192">
            <v>-152.09810571840825</v>
          </cell>
          <cell r="J192">
            <v>-595.24300000000028</v>
          </cell>
        </row>
        <row r="193">
          <cell r="A193" t="str">
            <v>Total Broadcast EBITA</v>
          </cell>
          <cell r="C193">
            <v>0</v>
          </cell>
          <cell r="D193">
            <v>0</v>
          </cell>
          <cell r="E193">
            <v>0</v>
          </cell>
          <cell r="F193">
            <v>0</v>
          </cell>
          <cell r="G193">
            <v>0</v>
          </cell>
          <cell r="H193">
            <v>0</v>
          </cell>
          <cell r="I193">
            <v>0</v>
          </cell>
          <cell r="J193">
            <v>0</v>
          </cell>
        </row>
        <row r="195">
          <cell r="A195" t="str">
            <v>Cable Revenue</v>
          </cell>
          <cell r="C195">
            <v>2408</v>
          </cell>
          <cell r="D195">
            <v>2870</v>
          </cell>
          <cell r="E195">
            <v>3455</v>
          </cell>
          <cell r="F195">
            <v>4024.7482777599998</v>
          </cell>
          <cell r="G195">
            <v>4424.6069402009598</v>
          </cell>
          <cell r="H195">
            <v>5243.1896337588232</v>
          </cell>
          <cell r="I195">
            <v>6070.43173471109</v>
          </cell>
          <cell r="J195">
            <v>6500.4415445094883</v>
          </cell>
        </row>
        <row r="196">
          <cell r="A196" t="str">
            <v>Cable Other Revenue</v>
          </cell>
          <cell r="C196">
            <v>-2408</v>
          </cell>
          <cell r="D196">
            <v>-2870</v>
          </cell>
          <cell r="E196">
            <v>-3455</v>
          </cell>
          <cell r="F196">
            <v>-4024.7482777599998</v>
          </cell>
          <cell r="G196">
            <v>-4424.6069402009598</v>
          </cell>
          <cell r="H196">
            <v>-5243.1896337588232</v>
          </cell>
          <cell r="I196">
            <v>-6070.43173471109</v>
          </cell>
          <cell r="J196">
            <v>-6380.7415445094884</v>
          </cell>
        </row>
        <row r="197">
          <cell r="A197" t="str">
            <v>Total Cable Revenue</v>
          </cell>
          <cell r="C197">
            <v>0</v>
          </cell>
          <cell r="D197">
            <v>0</v>
          </cell>
          <cell r="E197">
            <v>0</v>
          </cell>
          <cell r="F197">
            <v>0</v>
          </cell>
          <cell r="G197">
            <v>0</v>
          </cell>
          <cell r="H197">
            <v>0</v>
          </cell>
          <cell r="I197">
            <v>0</v>
          </cell>
          <cell r="J197">
            <v>119.69999999999982</v>
          </cell>
        </row>
        <row r="199">
          <cell r="A199" t="str">
            <v>Cable EBITA</v>
          </cell>
          <cell r="C199">
            <v>769</v>
          </cell>
          <cell r="D199">
            <v>943</v>
          </cell>
          <cell r="E199">
            <v>1132</v>
          </cell>
          <cell r="F199">
            <v>1242.3413096932331</v>
          </cell>
          <cell r="G199">
            <v>1117.1805958364266</v>
          </cell>
          <cell r="H199">
            <v>1256.2828891841014</v>
          </cell>
          <cell r="I199">
            <v>1857.6139316848125</v>
          </cell>
          <cell r="J199">
            <v>2273.141257270081</v>
          </cell>
        </row>
        <row r="200">
          <cell r="A200" t="str">
            <v>Cable Other EBITA</v>
          </cell>
          <cell r="C200">
            <v>-769</v>
          </cell>
          <cell r="D200">
            <v>-943</v>
          </cell>
          <cell r="E200">
            <v>-1132</v>
          </cell>
          <cell r="F200">
            <v>-1242.3413096932331</v>
          </cell>
          <cell r="G200">
            <v>-1117.1805958364266</v>
          </cell>
          <cell r="H200">
            <v>-1256.2828891841014</v>
          </cell>
          <cell r="I200">
            <v>-1857.6139316848125</v>
          </cell>
          <cell r="J200">
            <v>-2273.141257270081</v>
          </cell>
        </row>
        <row r="201">
          <cell r="A201" t="str">
            <v>Total Cable EBITA</v>
          </cell>
          <cell r="C201">
            <v>0</v>
          </cell>
          <cell r="D201">
            <v>0</v>
          </cell>
          <cell r="E201">
            <v>0</v>
          </cell>
          <cell r="F201">
            <v>0</v>
          </cell>
          <cell r="G201">
            <v>0</v>
          </cell>
          <cell r="H201">
            <v>0</v>
          </cell>
          <cell r="I201">
            <v>0</v>
          </cell>
          <cell r="J201">
            <v>0</v>
          </cell>
        </row>
        <row r="203">
          <cell r="A203" t="str">
            <v>Total Other EBITA</v>
          </cell>
          <cell r="C203" t="e">
            <v>#REF!</v>
          </cell>
          <cell r="D203" t="e">
            <v>#REF!</v>
          </cell>
          <cell r="E203" t="e">
            <v>#REF!</v>
          </cell>
          <cell r="F203" t="e">
            <v>#REF!</v>
          </cell>
          <cell r="G203" t="e">
            <v>#REF!</v>
          </cell>
          <cell r="H203" t="e">
            <v>#REF!</v>
          </cell>
          <cell r="I203" t="e">
            <v>#REF!</v>
          </cell>
          <cell r="J203" t="e">
            <v>#REF!</v>
          </cell>
        </row>
        <row r="204">
          <cell r="A204" t="str">
            <v>Total EBITA</v>
          </cell>
          <cell r="C204">
            <v>0.29809366295264622</v>
          </cell>
          <cell r="D204">
            <v>7271</v>
          </cell>
          <cell r="E204">
            <v>8100</v>
          </cell>
          <cell r="F204">
            <v>3808.0432684306875</v>
          </cell>
          <cell r="G204">
            <v>2405.0408010760725</v>
          </cell>
          <cell r="H204">
            <v>2731.0841933731667</v>
          </cell>
          <cell r="I204">
            <v>6092.0759784230459</v>
          </cell>
          <cell r="J204">
            <v>5671.0272835112692</v>
          </cell>
        </row>
        <row r="205">
          <cell r="A205" t="str">
            <v>Total Other as % of Total EBITA</v>
          </cell>
          <cell r="C205" t="e">
            <v>#REF!</v>
          </cell>
          <cell r="D205" t="e">
            <v>#REF!</v>
          </cell>
          <cell r="E205" t="e">
            <v>#REF!</v>
          </cell>
          <cell r="F205" t="e">
            <v>#REF!</v>
          </cell>
          <cell r="G205" t="e">
            <v>#REF!</v>
          </cell>
          <cell r="H205" t="e">
            <v>#REF!</v>
          </cell>
          <cell r="I205" t="e">
            <v>#REF!</v>
          </cell>
          <cell r="J205" t="e">
            <v>#REF!</v>
          </cell>
        </row>
        <row r="208">
          <cell r="A208" t="str">
            <v>Pro Forma Matrix</v>
          </cell>
        </row>
        <row r="210">
          <cell r="A210" t="str">
            <v>Internet Group Structure/Stock Conversion</v>
          </cell>
          <cell r="E210" t="str">
            <v>x</v>
          </cell>
          <cell r="F210" t="str">
            <v>x</v>
          </cell>
          <cell r="G210" t="str">
            <v>x</v>
          </cell>
        </row>
        <row r="211">
          <cell r="A211" t="str">
            <v>Fox Family Acquisition</v>
          </cell>
          <cell r="E211" t="str">
            <v>x</v>
          </cell>
          <cell r="F211" t="str">
            <v>x</v>
          </cell>
          <cell r="G211" t="str">
            <v>x</v>
          </cell>
        </row>
        <row r="212">
          <cell r="A212" t="str">
            <v>Fairchild Disposition</v>
          </cell>
          <cell r="D212" t="str">
            <v>x</v>
          </cell>
          <cell r="E212" t="str">
            <v>x</v>
          </cell>
          <cell r="F212" t="str">
            <v>x</v>
          </cell>
          <cell r="G212" t="str">
            <v>x</v>
          </cell>
        </row>
        <row r="213">
          <cell r="A213" t="str">
            <v>Infoseek Acquisition Completion</v>
          </cell>
          <cell r="D213" t="str">
            <v>x</v>
          </cell>
          <cell r="E213" t="str">
            <v>x</v>
          </cell>
          <cell r="F213" t="str">
            <v>x</v>
          </cell>
          <cell r="G213" t="str">
            <v>x</v>
          </cell>
        </row>
        <row r="214">
          <cell r="A214" t="str">
            <v>GO.com Closure</v>
          </cell>
          <cell r="E214" t="str">
            <v>x</v>
          </cell>
          <cell r="F214" t="str">
            <v>x</v>
          </cell>
          <cell r="G214" t="str">
            <v>x</v>
          </cell>
        </row>
        <row r="215">
          <cell r="A215" t="str">
            <v>SOP 00-2 Adoption</v>
          </cell>
          <cell r="E215" t="str">
            <v>x</v>
          </cell>
          <cell r="F215" t="str">
            <v>x</v>
          </cell>
          <cell r="G215" t="str">
            <v>x</v>
          </cell>
        </row>
        <row r="217">
          <cell r="A217" t="str">
            <v>includes sale of Ultraseek and Eurosport</v>
          </cell>
          <cell r="D217" t="str">
            <v>x</v>
          </cell>
        </row>
        <row r="218">
          <cell r="A218" t="str">
            <v>excludes R&amp;D charges in F1999, F2000</v>
          </cell>
          <cell r="D218" t="str">
            <v>x</v>
          </cell>
        </row>
        <row r="221">
          <cell r="A221" t="str">
            <v>Critical Drivers</v>
          </cell>
        </row>
        <row r="222">
          <cell r="A222" t="str">
            <v>(in millions)</v>
          </cell>
          <cell r="F222">
            <v>2000</v>
          </cell>
          <cell r="G222">
            <v>2001</v>
          </cell>
          <cell r="H222">
            <v>2002</v>
          </cell>
          <cell r="I222">
            <v>2003</v>
          </cell>
          <cell r="J222" t="str">
            <v>2004E</v>
          </cell>
          <cell r="K222" t="str">
            <v>2005E</v>
          </cell>
          <cell r="L222" t="str">
            <v>2006E</v>
          </cell>
          <cell r="M222" t="str">
            <v>2007E</v>
          </cell>
          <cell r="N222" t="str">
            <v>2007E</v>
          </cell>
          <cell r="O222" t="str">
            <v>2007E</v>
          </cell>
        </row>
        <row r="223">
          <cell r="A223" t="str">
            <v xml:space="preserve">Theme Parks &amp; Resorts   </v>
          </cell>
        </row>
        <row r="224">
          <cell r="A224" t="str">
            <v>Aggregate Attendance (mm)</v>
          </cell>
          <cell r="F224">
            <v>0</v>
          </cell>
          <cell r="G224">
            <v>0</v>
          </cell>
          <cell r="H224">
            <v>0</v>
          </cell>
          <cell r="I224">
            <v>0</v>
          </cell>
          <cell r="J224">
            <v>0</v>
          </cell>
          <cell r="K224">
            <v>0</v>
          </cell>
          <cell r="L224">
            <v>0</v>
          </cell>
          <cell r="M224">
            <v>0</v>
          </cell>
          <cell r="N224">
            <v>0</v>
          </cell>
          <cell r="O224">
            <v>0</v>
          </cell>
        </row>
        <row r="225">
          <cell r="A225" t="str">
            <v>Attendance Growth %</v>
          </cell>
          <cell r="G225" t="e">
            <v>#DIV/0!</v>
          </cell>
          <cell r="H225" t="e">
            <v>#DIV/0!</v>
          </cell>
          <cell r="I225" t="e">
            <v>#DIV/0!</v>
          </cell>
          <cell r="J225" t="e">
            <v>#DIV/0!</v>
          </cell>
          <cell r="K225" t="e">
            <v>#DIV/0!</v>
          </cell>
          <cell r="L225" t="e">
            <v>#DIV/0!</v>
          </cell>
          <cell r="M225" t="e">
            <v>#DIV/0!</v>
          </cell>
          <cell r="N225" t="e">
            <v>#DIV/0!</v>
          </cell>
          <cell r="O225" t="e">
            <v>#DIV/0!</v>
          </cell>
        </row>
        <row r="226">
          <cell r="A226" t="str">
            <v>Theme Park &amp; Resorts Revenue Growth %</v>
          </cell>
          <cell r="G226">
            <v>1002.7112687905594</v>
          </cell>
          <cell r="H226">
            <v>1048.5628350255938</v>
          </cell>
          <cell r="I226">
            <v>1079.6349086677515</v>
          </cell>
          <cell r="J226">
            <v>1146.1696558670747</v>
          </cell>
          <cell r="K226">
            <v>1300.8123269370785</v>
          </cell>
          <cell r="L226">
            <v>1402.1561306752249</v>
          </cell>
          <cell r="M226">
            <v>1466.92384517754</v>
          </cell>
          <cell r="N226">
            <v>1529.4854570984407</v>
          </cell>
          <cell r="O226">
            <v>1594.8086477514146</v>
          </cell>
        </row>
        <row r="227">
          <cell r="A227" t="str">
            <v>EBITA Margin %</v>
          </cell>
          <cell r="G227">
            <v>0</v>
          </cell>
          <cell r="H227">
            <v>0</v>
          </cell>
          <cell r="I227">
            <v>0</v>
          </cell>
          <cell r="J227">
            <v>0</v>
          </cell>
          <cell r="K227">
            <v>0</v>
          </cell>
          <cell r="L227">
            <v>0</v>
          </cell>
          <cell r="M227">
            <v>0</v>
          </cell>
          <cell r="N227">
            <v>0</v>
          </cell>
          <cell r="O227">
            <v>0</v>
          </cell>
        </row>
        <row r="228">
          <cell r="A228" t="str">
            <v>Theme Parks &amp; Resorts Capital Expenditures</v>
          </cell>
          <cell r="G228">
            <v>1035.5211276843606</v>
          </cell>
          <cell r="H228">
            <v>966.98486277666757</v>
          </cell>
          <cell r="I228">
            <v>838.35524750337481</v>
          </cell>
          <cell r="J228">
            <v>623.57240280674625</v>
          </cell>
          <cell r="K228">
            <v>567.66909984491338</v>
          </cell>
          <cell r="L228">
            <v>590.37586383870996</v>
          </cell>
          <cell r="M228">
            <v>613.99089839225837</v>
          </cell>
          <cell r="N228">
            <v>638.55053432794875</v>
          </cell>
          <cell r="O228">
            <v>664.09255570106677</v>
          </cell>
        </row>
        <row r="230">
          <cell r="A230" t="str">
            <v>Broadcasting</v>
          </cell>
        </row>
        <row r="231">
          <cell r="A231" t="str">
            <v>Advertising Revenue</v>
          </cell>
          <cell r="F231">
            <v>4397.4170000000013</v>
          </cell>
          <cell r="G231">
            <v>4156.8391199999987</v>
          </cell>
          <cell r="H231">
            <v>3372.6089724000003</v>
          </cell>
          <cell r="I231">
            <v>3632.8931680116007</v>
          </cell>
          <cell r="J231">
            <v>3513.4834467107253</v>
          </cell>
          <cell r="K231">
            <v>3886.1967910345365</v>
          </cell>
          <cell r="L231">
            <v>4457.7048051964839</v>
          </cell>
          <cell r="M231">
            <v>4031.9451315172169</v>
          </cell>
          <cell r="N231">
            <v>4376.4963848561247</v>
          </cell>
          <cell r="O231">
            <v>4583.0423324561962</v>
          </cell>
        </row>
        <row r="232">
          <cell r="A232" t="str">
            <v>Ex Superbowl</v>
          </cell>
          <cell r="F232">
            <v>4397.4170000000013</v>
          </cell>
          <cell r="G232">
            <v>4156.8391199999987</v>
          </cell>
          <cell r="H232">
            <v>3372.6089724000003</v>
          </cell>
          <cell r="I232">
            <v>3452.8931680116007</v>
          </cell>
          <cell r="J232">
            <v>3513.4834467107253</v>
          </cell>
          <cell r="K232">
            <v>3886.1967910345365</v>
          </cell>
          <cell r="L232">
            <v>4457.7048051964839</v>
          </cell>
          <cell r="M232">
            <v>4031.9451315172169</v>
          </cell>
          <cell r="N232">
            <v>4376.4963848561247</v>
          </cell>
          <cell r="O232">
            <v>4583.0423324561962</v>
          </cell>
        </row>
        <row r="233">
          <cell r="A233" t="str">
            <v>ABC Network Advertising Growth %</v>
          </cell>
          <cell r="G233">
            <v>-5.4708907524576911E-2</v>
          </cell>
          <cell r="H233">
            <v>-0.18866021151186596</v>
          </cell>
          <cell r="I233">
            <v>7.7175918626100959E-2</v>
          </cell>
          <cell r="J233">
            <v>-3.2869042875332433E-2</v>
          </cell>
          <cell r="K233">
            <v>0.1060808596302738</v>
          </cell>
          <cell r="L233">
            <v>0.14706100717298143</v>
          </cell>
          <cell r="M233">
            <v>-9.5510961870545086E-2</v>
          </cell>
          <cell r="N233">
            <v>8.5455342793629097E-2</v>
          </cell>
          <cell r="O233">
            <v>4.7194360382605716E-2</v>
          </cell>
        </row>
        <row r="234">
          <cell r="A234" t="str">
            <v>ABC Network Advertising Growth % (ex.Super Bowl)</v>
          </cell>
          <cell r="G234">
            <v>-5.4708907524576911E-2</v>
          </cell>
          <cell r="H234">
            <v>-0.18866021151186596</v>
          </cell>
          <cell r="I234">
            <v>2.3804774365665304E-2</v>
          </cell>
          <cell r="J234">
            <v>1.7547684145124087E-2</v>
          </cell>
          <cell r="K234">
            <v>0.1060808596302738</v>
          </cell>
          <cell r="L234">
            <v>0.14706100717298143</v>
          </cell>
          <cell r="M234">
            <v>-9.5510961870545086E-2</v>
          </cell>
          <cell r="N234">
            <v>8.5455342793629097E-2</v>
          </cell>
          <cell r="O234">
            <v>4.7194360382605716E-2</v>
          </cell>
        </row>
        <row r="235">
          <cell r="A235" t="str">
            <v>TV Station Group Advertising Growth %</v>
          </cell>
          <cell r="G235">
            <v>-0.08</v>
          </cell>
          <cell r="H235">
            <v>-7.0000000000000007E-2</v>
          </cell>
          <cell r="I235">
            <v>6.5000000000000002E-2</v>
          </cell>
          <cell r="J235">
            <v>8.0000000000000002E-3</v>
          </cell>
          <cell r="K235">
            <v>2.8000000000000001E-2</v>
          </cell>
          <cell r="L235">
            <v>5.1999999999999998E-2</v>
          </cell>
          <cell r="M235">
            <v>0.04</v>
          </cell>
          <cell r="N235">
            <v>0.05</v>
          </cell>
          <cell r="O235">
            <v>0.03</v>
          </cell>
        </row>
        <row r="237">
          <cell r="A237" t="str">
            <v>ABC Programming Costs</v>
          </cell>
          <cell r="F237">
            <v>3530.6717419463439</v>
          </cell>
          <cell r="G237">
            <v>3685.6717419463434</v>
          </cell>
          <cell r="H237">
            <v>3650.988340280624</v>
          </cell>
          <cell r="I237">
            <v>3873.2917306223544</v>
          </cell>
          <cell r="J237">
            <v>3510.8949785754057</v>
          </cell>
          <cell r="K237">
            <v>3608.154296449648</v>
          </cell>
          <cell r="L237">
            <v>3853.7677351887428</v>
          </cell>
          <cell r="M237">
            <v>3274.8399540965574</v>
          </cell>
          <cell r="N237">
            <v>3517.1181742288031</v>
          </cell>
          <cell r="O237">
            <v>3689.2058788617983</v>
          </cell>
        </row>
        <row r="238">
          <cell r="A238" t="str">
            <v>ABC Programming Costs ex. Super Bowl</v>
          </cell>
          <cell r="F238">
            <v>3530.6717419463439</v>
          </cell>
          <cell r="G238">
            <v>3685.6717419463434</v>
          </cell>
          <cell r="H238">
            <v>3650.988340280624</v>
          </cell>
          <cell r="I238">
            <v>3703.2917306223544</v>
          </cell>
          <cell r="J238">
            <v>3510.8949785754057</v>
          </cell>
          <cell r="K238">
            <v>3608.154296449648</v>
          </cell>
          <cell r="L238">
            <v>3853.7677351887428</v>
          </cell>
          <cell r="M238">
            <v>3274.8399540965574</v>
          </cell>
          <cell r="N238">
            <v>3517.1181742288031</v>
          </cell>
          <cell r="O238">
            <v>3689.2058788617983</v>
          </cell>
        </row>
        <row r="239">
          <cell r="A239" t="str">
            <v>ABC Prog. Cost Growth %</v>
          </cell>
          <cell r="G239">
            <v>4.3900994294800322E-2</v>
          </cell>
          <cell r="H239">
            <v>-9.4103338805218151E-3</v>
          </cell>
          <cell r="I239">
            <v>6.0888551159997251E-2</v>
          </cell>
          <cell r="J239">
            <v>-9.3562989119004292E-2</v>
          </cell>
          <cell r="K239">
            <v>2.7702143888595154E-2</v>
          </cell>
          <cell r="L239">
            <v>6.8071767047427345E-2</v>
          </cell>
          <cell r="M239">
            <v>-0.15022383829881525</v>
          </cell>
          <cell r="N239">
            <v>7.3981697893106269E-2</v>
          </cell>
          <cell r="O239">
            <v>4.8928610330452926E-2</v>
          </cell>
        </row>
        <row r="240">
          <cell r="A240" t="str">
            <v>ABC Prog. Cost Growth ex. Super Bowl %</v>
          </cell>
          <cell r="G240">
            <v>4.3900994294800322E-2</v>
          </cell>
          <cell r="H240">
            <v>-9.4103338805218151E-3</v>
          </cell>
          <cell r="I240">
            <v>1.4325816865717655E-2</v>
          </cell>
          <cell r="J240">
            <v>-5.1952901915889749E-2</v>
          </cell>
          <cell r="K240">
            <v>2.7702143888595154E-2</v>
          </cell>
          <cell r="L240">
            <v>6.8071767047427345E-2</v>
          </cell>
          <cell r="M240">
            <v>-0.15022383829881525</v>
          </cell>
          <cell r="N240">
            <v>7.3981697893106269E-2</v>
          </cell>
          <cell r="O240">
            <v>4.8928610330452926E-2</v>
          </cell>
        </row>
        <row r="241">
          <cell r="A241" t="str">
            <v>ABC Network EBITA (mm)</v>
          </cell>
          <cell r="G241">
            <v>0</v>
          </cell>
          <cell r="H241">
            <v>0</v>
          </cell>
          <cell r="I241">
            <v>0</v>
          </cell>
          <cell r="J241">
            <v>0</v>
          </cell>
          <cell r="K241">
            <v>0</v>
          </cell>
          <cell r="L241">
            <v>0</v>
          </cell>
          <cell r="M241">
            <v>0</v>
          </cell>
          <cell r="N241">
            <v>0</v>
          </cell>
          <cell r="O241">
            <v>0</v>
          </cell>
        </row>
        <row r="242">
          <cell r="A242" t="str">
            <v>Total Broadcasting EBITA Margin %</v>
          </cell>
          <cell r="G242">
            <v>117.12188123999996</v>
          </cell>
          <cell r="H242">
            <v>115.49540461679997</v>
          </cell>
          <cell r="I242">
            <v>107.52503102396638</v>
          </cell>
          <cell r="J242">
            <v>120.53432385796945</v>
          </cell>
          <cell r="K242">
            <v>0</v>
          </cell>
          <cell r="L242">
            <v>0</v>
          </cell>
          <cell r="M242">
            <v>0</v>
          </cell>
          <cell r="N242">
            <v>0</v>
          </cell>
          <cell r="O242">
            <v>0</v>
          </cell>
        </row>
        <row r="244">
          <cell r="A244" t="str">
            <v>Cable Networks</v>
          </cell>
        </row>
        <row r="245">
          <cell r="A245" t="str">
            <v>Advertising Revenue Growth</v>
          </cell>
          <cell r="G245">
            <v>-0.12422109632235756</v>
          </cell>
          <cell r="H245">
            <v>-0.28067498963576643</v>
          </cell>
          <cell r="I245">
            <v>0.33315475600706357</v>
          </cell>
          <cell r="J245">
            <v>0.22313537022124197</v>
          </cell>
          <cell r="K245">
            <v>9.1822870646107724E-2</v>
          </cell>
          <cell r="L245">
            <v>7.6943247482052612E-2</v>
          </cell>
          <cell r="M245">
            <v>0.13608921507133531</v>
          </cell>
          <cell r="N245">
            <v>6.2011610123396954E-2</v>
          </cell>
          <cell r="O245">
            <v>6.048047894108155E-2</v>
          </cell>
        </row>
        <row r="246">
          <cell r="A246" t="str">
            <v>Affiliate Revenue Growth</v>
          </cell>
          <cell r="G246">
            <v>0.22254019256435464</v>
          </cell>
          <cell r="H246">
            <v>-3.2033937737666887</v>
          </cell>
          <cell r="I246">
            <v>0.10479944868916613</v>
          </cell>
          <cell r="J246">
            <v>3.9308842963811541E-2</v>
          </cell>
          <cell r="K246">
            <v>2.8673282139737299E-2</v>
          </cell>
          <cell r="L246">
            <v>3.9861474544868214E-2</v>
          </cell>
          <cell r="M246">
            <v>5.5044916150250645E-2</v>
          </cell>
          <cell r="N246">
            <v>6.6792056121018017E-2</v>
          </cell>
          <cell r="O246">
            <v>4.9840825455449211E-2</v>
          </cell>
        </row>
        <row r="247">
          <cell r="A247" t="str">
            <v>EBITA Margin %</v>
          </cell>
          <cell r="G247">
            <v>0</v>
          </cell>
          <cell r="H247">
            <v>0</v>
          </cell>
          <cell r="I247">
            <v>0</v>
          </cell>
          <cell r="J247">
            <v>0</v>
          </cell>
          <cell r="K247">
            <v>35.757000000000012</v>
          </cell>
          <cell r="L247">
            <v>39.658000000000001</v>
          </cell>
          <cell r="M247">
            <v>26</v>
          </cell>
          <cell r="N247">
            <v>19.932000000000002</v>
          </cell>
          <cell r="O247">
            <v>20.330640000000002</v>
          </cell>
        </row>
        <row r="249">
          <cell r="A249" t="str">
            <v>Consumer Products</v>
          </cell>
        </row>
        <row r="250">
          <cell r="A250" t="str">
            <v>EOP Stores</v>
          </cell>
          <cell r="G250">
            <v>693</v>
          </cell>
          <cell r="H250">
            <v>560</v>
          </cell>
          <cell r="I250">
            <v>474</v>
          </cell>
          <cell r="J250">
            <v>422</v>
          </cell>
          <cell r="K250">
            <v>109</v>
          </cell>
          <cell r="L250">
            <v>109</v>
          </cell>
          <cell r="M250">
            <v>109</v>
          </cell>
          <cell r="N250">
            <v>109</v>
          </cell>
          <cell r="O250">
            <v>109</v>
          </cell>
        </row>
        <row r="251">
          <cell r="A251" t="str">
            <v>Licensing Revenue Growth %</v>
          </cell>
          <cell r="G251">
            <v>-7.5662042875157542E-3</v>
          </cell>
          <cell r="H251">
            <v>-0.10419313850063527</v>
          </cell>
          <cell r="I251">
            <v>5.6737588652482351E-2</v>
          </cell>
          <cell r="J251">
            <v>0.10280879787504205</v>
          </cell>
          <cell r="K251">
            <v>9.6888609735421127E-2</v>
          </cell>
          <cell r="L251">
            <v>8.140008322829928E-2</v>
          </cell>
          <cell r="M251">
            <v>-9.9202683179973494E-2</v>
          </cell>
          <cell r="N251">
            <v>2.4709775849212523E-2</v>
          </cell>
          <cell r="O251">
            <v>3.0392031713917689E-2</v>
          </cell>
        </row>
        <row r="252">
          <cell r="A252" t="str">
            <v>Total Consumer Products Revenue Growth %</v>
          </cell>
          <cell r="G252">
            <v>-1.2204424103737566E-2</v>
          </cell>
          <cell r="H252">
            <v>-6.8702290076335881E-2</v>
          </cell>
          <cell r="I252">
            <v>-3.9344262295081922E-2</v>
          </cell>
          <cell r="J252">
            <v>7.1245733788395826E-2</v>
          </cell>
          <cell r="K252">
            <v>-0.15292712066905612</v>
          </cell>
          <cell r="L252">
            <v>3.1029619181946355E-2</v>
          </cell>
          <cell r="M252">
            <v>9.5500341936594957E-2</v>
          </cell>
          <cell r="N252">
            <v>0.16873537120166859</v>
          </cell>
          <cell r="O252">
            <v>0.22822295505917523</v>
          </cell>
        </row>
        <row r="253">
          <cell r="A253" t="str">
            <v>EBITA Margin %</v>
          </cell>
          <cell r="G253">
            <v>0.15482625482625484</v>
          </cell>
          <cell r="H253">
            <v>0.16147540983606556</v>
          </cell>
          <cell r="I253">
            <v>0.16382252559726962</v>
          </cell>
          <cell r="J253">
            <v>0.2126642771804062</v>
          </cell>
          <cell r="K253">
            <v>0.25387870239774329</v>
          </cell>
          <cell r="L253">
            <v>0.280437756497948</v>
          </cell>
          <cell r="M253">
            <v>0.19421675892345111</v>
          </cell>
          <cell r="N253">
            <v>0.16599484179291393</v>
          </cell>
          <cell r="O253">
            <v>0.12906462999723817</v>
          </cell>
        </row>
        <row r="255">
          <cell r="A255" t="str">
            <v xml:space="preserve">Filmed Entertainment </v>
          </cell>
        </row>
        <row r="256">
          <cell r="A256" t="str">
            <v>Revenue Growth %</v>
          </cell>
          <cell r="G256">
            <v>2.5025025025025016E-3</v>
          </cell>
          <cell r="H256">
            <v>0.11349642203361632</v>
          </cell>
          <cell r="I256">
            <v>0.10058287251531906</v>
          </cell>
          <cell r="J256">
            <v>0.18318848451928305</v>
          </cell>
          <cell r="K256">
            <v>-0.12923218179731433</v>
          </cell>
          <cell r="L256">
            <v>-7.6446553314880594E-3</v>
          </cell>
          <cell r="M256">
            <v>-2.2466776187596293E-2</v>
          </cell>
          <cell r="N256">
            <v>3.3895822008401577E-2</v>
          </cell>
          <cell r="O256">
            <v>4.2382729307986367E-2</v>
          </cell>
        </row>
        <row r="257">
          <cell r="A257" t="str">
            <v>EBITA Margin %</v>
          </cell>
          <cell r="G257">
            <v>4.3268430687302378E-2</v>
          </cell>
          <cell r="H257">
            <v>4.0801076072335976E-2</v>
          </cell>
          <cell r="I257">
            <v>8.4193373166757193E-2</v>
          </cell>
          <cell r="J257">
            <v>7.5978423046023189E-2</v>
          </cell>
          <cell r="K257">
            <v>2.7283511269276393E-2</v>
          </cell>
          <cell r="L257">
            <v>9.682560765041838E-2</v>
          </cell>
          <cell r="M257">
            <v>0.1330621787861001</v>
          </cell>
          <cell r="N257">
            <v>0.14456253193342475</v>
          </cell>
          <cell r="O257">
            <v>0.14504053874778244</v>
          </cell>
        </row>
        <row r="259">
          <cell r="A259" t="str">
            <v xml:space="preserve">Disney Consolidated </v>
          </cell>
          <cell r="G259" t="str">
            <v>2001PF</v>
          </cell>
          <cell r="H259" t="str">
            <v>2002PF</v>
          </cell>
          <cell r="I259">
            <v>2003</v>
          </cell>
          <cell r="J259" t="str">
            <v>2004E</v>
          </cell>
          <cell r="K259" t="str">
            <v>2005E</v>
          </cell>
          <cell r="L259" t="str">
            <v>2005E</v>
          </cell>
          <cell r="M259" t="str">
            <v>2005E</v>
          </cell>
          <cell r="N259" t="str">
            <v>2005E</v>
          </cell>
          <cell r="O259" t="str">
            <v>2005E</v>
          </cell>
        </row>
        <row r="260">
          <cell r="A260" t="str">
            <v>Revenue</v>
          </cell>
          <cell r="G260">
            <v>5.8071686579605375E-2</v>
          </cell>
          <cell r="H260">
            <v>0</v>
          </cell>
          <cell r="I260">
            <v>0.13800335570469802</v>
          </cell>
          <cell r="J260">
            <v>0.62919277552524888</v>
          </cell>
          <cell r="K260">
            <v>-1.3574660633484115E-3</v>
          </cell>
          <cell r="L260">
            <v>0.33167195287720896</v>
          </cell>
          <cell r="M260">
            <v>0.16349758215300714</v>
          </cell>
          <cell r="N260">
            <v>7.8962768770704628E-2</v>
          </cell>
          <cell r="O260">
            <v>5.1528384699590868E-2</v>
          </cell>
        </row>
        <row r="261">
          <cell r="A261" t="str">
            <v>EBITDA</v>
          </cell>
          <cell r="G261">
            <v>0</v>
          </cell>
          <cell r="H261">
            <v>0</v>
          </cell>
          <cell r="I261">
            <v>0</v>
          </cell>
          <cell r="J261">
            <v>0</v>
          </cell>
          <cell r="K261">
            <v>0</v>
          </cell>
          <cell r="L261" t="str">
            <v xml:space="preserve"> </v>
          </cell>
          <cell r="M261">
            <v>0</v>
          </cell>
          <cell r="N261">
            <v>0</v>
          </cell>
          <cell r="O261">
            <v>0</v>
          </cell>
        </row>
        <row r="262">
          <cell r="A262" t="str">
            <v>EBITA</v>
          </cell>
          <cell r="G262">
            <v>0.23299728576967818</v>
          </cell>
          <cell r="H262">
            <v>0.26416360693276481</v>
          </cell>
          <cell r="I262">
            <v>0.27212593769631571</v>
          </cell>
          <cell r="J262">
            <v>0.28333116545265347</v>
          </cell>
          <cell r="K262">
            <v>0.24182444061962136</v>
          </cell>
          <cell r="L262">
            <v>0.22310131270927785</v>
          </cell>
          <cell r="M262">
            <v>0.35943165269171307</v>
          </cell>
          <cell r="N262">
            <v>0.35368335416467883</v>
          </cell>
          <cell r="O262">
            <v>0.34591366000553614</v>
          </cell>
        </row>
        <row r="264">
          <cell r="A264" t="str">
            <v>EPS</v>
          </cell>
          <cell r="G264">
            <v>-6.4933460076045625E-3</v>
          </cell>
          <cell r="H264">
            <v>-6.7294520547945208E-3</v>
          </cell>
          <cell r="I264">
            <v>-5.3991291727140782E-3</v>
          </cell>
          <cell r="J264">
            <v>-3.5327635327635325E-3</v>
          </cell>
          <cell r="K264">
            <v>-3.3121110579224511E-3</v>
          </cell>
          <cell r="L264">
            <v>-3.3381502890173411E-3</v>
          </cell>
          <cell r="M264">
            <v>-3.5944505251549724E-3</v>
          </cell>
          <cell r="N264">
            <v>-3.69297651434069E-3</v>
          </cell>
          <cell r="O264">
            <v>-3.7645949085405818E-3</v>
          </cell>
        </row>
        <row r="265">
          <cell r="A265" t="str">
            <v>CEPS</v>
          </cell>
          <cell r="G265">
            <v>0</v>
          </cell>
          <cell r="H265">
            <v>0</v>
          </cell>
          <cell r="I265">
            <v>0</v>
          </cell>
          <cell r="J265">
            <v>0</v>
          </cell>
          <cell r="K265">
            <v>0</v>
          </cell>
          <cell r="L265">
            <v>0</v>
          </cell>
          <cell r="M265">
            <v>0</v>
          </cell>
          <cell r="N265">
            <v>0</v>
          </cell>
          <cell r="O265">
            <v>0</v>
          </cell>
        </row>
        <row r="266">
          <cell r="A266" t="str">
            <v>FCF</v>
          </cell>
          <cell r="G266">
            <v>0.43952380952380954</v>
          </cell>
          <cell r="H266">
            <v>0.59442270058708413</v>
          </cell>
          <cell r="I266">
            <v>0.65631349782293169</v>
          </cell>
          <cell r="J266">
            <v>1.2515669515669516</v>
          </cell>
          <cell r="K266">
            <v>0.97654380086165626</v>
          </cell>
          <cell r="L266">
            <v>2.066955684007707</v>
          </cell>
          <cell r="M266">
            <v>1.8168494430866804</v>
          </cell>
          <cell r="N266">
            <v>2.0230796373979887</v>
          </cell>
          <cell r="O266">
            <v>1.9031726257950363</v>
          </cell>
        </row>
        <row r="268">
          <cell r="A268" t="str">
            <v>Long-term Debt</v>
          </cell>
          <cell r="G268">
            <v>6426</v>
          </cell>
          <cell r="H268">
            <v>10081</v>
          </cell>
          <cell r="I268">
            <v>8862</v>
          </cell>
          <cell r="J268">
            <v>8930</v>
          </cell>
          <cell r="K268">
            <v>7882</v>
          </cell>
          <cell r="L268">
            <v>8818</v>
          </cell>
          <cell r="M268">
            <v>10075.728115051614</v>
          </cell>
          <cell r="N268">
            <v>9873.6795513600609</v>
          </cell>
          <cell r="O268">
            <v>9568.9873535833231</v>
          </cell>
        </row>
        <row r="269">
          <cell r="A269" t="str">
            <v>Net Debt/EBITDA</v>
          </cell>
          <cell r="G269" t="e">
            <v>#DIV/0!</v>
          </cell>
          <cell r="H269" t="e">
            <v>#DIV/0!</v>
          </cell>
          <cell r="I269" t="e">
            <v>#DIV/0!</v>
          </cell>
          <cell r="J269" t="e">
            <v>#DIV/0!</v>
          </cell>
          <cell r="K269" t="e">
            <v>#DIV/0!</v>
          </cell>
          <cell r="L269" t="e">
            <v>#VALUE!</v>
          </cell>
          <cell r="M269" t="e">
            <v>#DIV/0!</v>
          </cell>
          <cell r="N269" t="e">
            <v>#DIV/0!</v>
          </cell>
          <cell r="O269" t="e">
            <v>#DIV/0!</v>
          </cell>
        </row>
        <row r="271">
          <cell r="A271" t="str">
            <v>P/E</v>
          </cell>
        </row>
        <row r="272">
          <cell r="A272" t="str">
            <v>Adj. P/CEPS</v>
          </cell>
        </row>
        <row r="273">
          <cell r="A273" t="str">
            <v>Adj. P/FCF</v>
          </cell>
        </row>
        <row r="274">
          <cell r="A274" t="str">
            <v>EV/EBITDA</v>
          </cell>
        </row>
        <row r="276">
          <cell r="A276" t="str">
            <v>DIS</v>
          </cell>
        </row>
        <row r="277">
          <cell r="A277" t="str">
            <v>Unconsolidated Assets/Share</v>
          </cell>
        </row>
        <row r="278">
          <cell r="A278" t="str">
            <v>Net Share Price</v>
          </cell>
        </row>
        <row r="284">
          <cell r="A284" t="str">
            <v>Affiliate Fees</v>
          </cell>
        </row>
        <row r="285">
          <cell r="A285" t="str">
            <v>(millions)</v>
          </cell>
          <cell r="C285">
            <v>1998</v>
          </cell>
          <cell r="D285">
            <v>1999</v>
          </cell>
          <cell r="E285">
            <v>2000</v>
          </cell>
          <cell r="F285">
            <v>2001</v>
          </cell>
          <cell r="G285">
            <v>2002</v>
          </cell>
          <cell r="H285">
            <v>2003</v>
          </cell>
          <cell r="I285" t="str">
            <v>2004E</v>
          </cell>
          <cell r="J285" t="str">
            <v>2005E</v>
          </cell>
          <cell r="K285" t="str">
            <v>2006E</v>
          </cell>
          <cell r="L285" t="str">
            <v>2007E</v>
          </cell>
          <cell r="M285" t="str">
            <v>2008E</v>
          </cell>
          <cell r="N285" t="str">
            <v>2009E</v>
          </cell>
          <cell r="O285" t="str">
            <v>2010E</v>
          </cell>
        </row>
        <row r="286">
          <cell r="A286" t="str">
            <v>ESPN</v>
          </cell>
          <cell r="C286">
            <v>732.17179492657419</v>
          </cell>
          <cell r="D286">
            <v>906.55155687188858</v>
          </cell>
          <cell r="E286">
            <v>1146.0045248639999</v>
          </cell>
          <cell r="F286">
            <v>1427.9420502748799</v>
          </cell>
          <cell r="G286">
            <v>1811.8529999999998</v>
          </cell>
          <cell r="H286">
            <v>2187.596</v>
          </cell>
          <cell r="I286">
            <v>2562.3948759999994</v>
          </cell>
          <cell r="J286">
            <v>2938.9388030281984</v>
          </cell>
          <cell r="K286">
            <v>3281.3251735809836</v>
          </cell>
          <cell r="L286">
            <v>3612.2777578717614</v>
          </cell>
          <cell r="M286">
            <v>3884.4628869273988</v>
          </cell>
          <cell r="N286">
            <v>4177.1571654573772</v>
          </cell>
          <cell r="O286">
            <v>4449.9255283617449</v>
          </cell>
        </row>
        <row r="287">
          <cell r="A287" t="str">
            <v>ESPN2</v>
          </cell>
          <cell r="C287">
            <v>120.51244800000001</v>
          </cell>
          <cell r="D287">
            <v>144.48430080000003</v>
          </cell>
          <cell r="E287">
            <v>180.34932787200006</v>
          </cell>
          <cell r="F287">
            <v>216.02826282240008</v>
          </cell>
          <cell r="G287">
            <v>252.30975217459212</v>
          </cell>
          <cell r="H287">
            <v>259.90944350515213</v>
          </cell>
          <cell r="I287">
            <v>296.89227740853607</v>
          </cell>
          <cell r="J287">
            <v>323.04449894300916</v>
          </cell>
          <cell r="K287">
            <v>350.63249915274213</v>
          </cell>
          <cell r="L287">
            <v>380.57651458038634</v>
          </cell>
          <cell r="M287">
            <v>409.25295495401832</v>
          </cell>
          <cell r="N287">
            <v>435.97717291251575</v>
          </cell>
          <cell r="O287">
            <v>464.44648230370302</v>
          </cell>
        </row>
        <row r="288">
          <cell r="A288" t="str">
            <v>ESPN International and Developing</v>
          </cell>
          <cell r="C288">
            <v>86.37688264849703</v>
          </cell>
          <cell r="D288">
            <v>117.49794626689771</v>
          </cell>
          <cell r="E288">
            <v>94.820432387695973</v>
          </cell>
          <cell r="F288">
            <v>146.97534855508036</v>
          </cell>
          <cell r="G288">
            <v>-9289.0384032576294</v>
          </cell>
          <cell r="H288">
            <v>-10392.88964315434</v>
          </cell>
          <cell r="I288">
            <v>-11187.983593410187</v>
          </cell>
          <cell r="J288">
            <v>-11979.567571861506</v>
          </cell>
          <cell r="K288">
            <v>-12828.11637182272</v>
          </cell>
          <cell r="L288">
            <v>-13734.918619083583</v>
          </cell>
          <cell r="M288">
            <v>-14706.737666023222</v>
          </cell>
          <cell r="N288">
            <v>-15596.002658340565</v>
          </cell>
          <cell r="O288">
            <v>-16377.45551582314</v>
          </cell>
        </row>
        <row r="289">
          <cell r="A289" t="str">
            <v>The Disney Channel</v>
          </cell>
          <cell r="C289">
            <v>522.75746142000003</v>
          </cell>
          <cell r="D289">
            <v>596.2976487599999</v>
          </cell>
          <cell r="E289">
            <v>695.67782966260791</v>
          </cell>
          <cell r="F289">
            <v>800.13265047663344</v>
          </cell>
          <cell r="G289">
            <v>826.91553159018099</v>
          </cell>
          <cell r="H289">
            <v>889.35942533430273</v>
          </cell>
          <cell r="I289">
            <v>976.31236476663457</v>
          </cell>
          <cell r="J289">
            <v>1131.2981149498444</v>
          </cell>
          <cell r="K289">
            <v>1289.6792691365736</v>
          </cell>
          <cell r="L289">
            <v>1387.3579173580692</v>
          </cell>
          <cell r="M289">
            <v>1492.6002328559146</v>
          </cell>
          <cell r="N289">
            <v>1603.8147694997724</v>
          </cell>
          <cell r="O289">
            <v>1719.7645046432851</v>
          </cell>
        </row>
        <row r="290">
          <cell r="A290" t="str">
            <v>ABC Family Int</v>
          </cell>
          <cell r="C290">
            <v>16.8</v>
          </cell>
          <cell r="D290">
            <v>32.928000000000004</v>
          </cell>
          <cell r="E290">
            <v>55.845888000000016</v>
          </cell>
          <cell r="F290">
            <v>77.251722240000035</v>
          </cell>
          <cell r="G290">
            <v>92.393059799040032</v>
          </cell>
          <cell r="H290">
            <v>107.81036624117766</v>
          </cell>
          <cell r="I290">
            <v>123.20826528890885</v>
          </cell>
          <cell r="J290">
            <v>140.95025549051175</v>
          </cell>
          <cell r="K290">
            <v>161.24709228114548</v>
          </cell>
          <cell r="L290">
            <v>182.70984810706253</v>
          </cell>
          <cell r="M290">
            <v>205.21970139385269</v>
          </cell>
          <cell r="N290">
            <v>230.50276860557534</v>
          </cell>
          <cell r="O290">
            <v>258.90070969778225</v>
          </cell>
        </row>
        <row r="291">
          <cell r="A291" t="str">
            <v>ABC Family</v>
          </cell>
          <cell r="C291">
            <v>98.398917345389009</v>
          </cell>
          <cell r="D291">
            <v>108.16052941086039</v>
          </cell>
          <cell r="E291">
            <v>118.19922403828022</v>
          </cell>
          <cell r="F291">
            <v>132.38390245827881</v>
          </cell>
          <cell r="G291">
            <v>134.49140918701238</v>
          </cell>
          <cell r="H291">
            <v>130.41343157465388</v>
          </cell>
          <cell r="I291">
            <v>143.37496550333279</v>
          </cell>
          <cell r="J291">
            <v>156.36188820846814</v>
          </cell>
          <cell r="K291">
            <v>165.70907442249401</v>
          </cell>
          <cell r="L291">
            <v>175.25909543312082</v>
          </cell>
          <cell r="M291">
            <v>184.34586522671185</v>
          </cell>
          <cell r="N291">
            <v>192.50985108909097</v>
          </cell>
          <cell r="O291">
            <v>200.28989815692344</v>
          </cell>
        </row>
        <row r="292">
          <cell r="A292" t="str">
            <v>Total Affiliate Fees</v>
          </cell>
          <cell r="C292">
            <v>1577.0175043404602</v>
          </cell>
          <cell r="D292">
            <v>1905.9199821096468</v>
          </cell>
          <cell r="E292">
            <v>2290.8972268245839</v>
          </cell>
          <cell r="F292">
            <v>2800.7139368272728</v>
          </cell>
          <cell r="G292">
            <v>-6171.0756505068039</v>
          </cell>
          <cell r="H292">
            <v>-6817.8009764990538</v>
          </cell>
          <cell r="I292">
            <v>-7085.800844442776</v>
          </cell>
          <cell r="J292">
            <v>-7288.9740112414729</v>
          </cell>
          <cell r="K292">
            <v>-7579.5232632487805</v>
          </cell>
          <cell r="L292">
            <v>-7996.7374857331833</v>
          </cell>
          <cell r="M292">
            <v>-8530.8560246653233</v>
          </cell>
          <cell r="N292">
            <v>-8956.0409307762347</v>
          </cell>
          <cell r="O292">
            <v>-9284.1283926597007</v>
          </cell>
        </row>
        <row r="293">
          <cell r="C293">
            <v>6.8637600293369613E-2</v>
          </cell>
          <cell r="D293">
            <v>8.1442610978106428E-2</v>
          </cell>
          <cell r="E293">
            <v>9.0185702969238002E-2</v>
          </cell>
          <cell r="F293">
            <v>0.11126306756822155</v>
          </cell>
          <cell r="G293">
            <v>-0.24386783839189108</v>
          </cell>
          <cell r="H293">
            <v>-0.25194194510546741</v>
          </cell>
          <cell r="I293">
            <v>-0.2304175612787063</v>
          </cell>
          <cell r="J293">
            <v>-0.22817975241802757</v>
          </cell>
          <cell r="K293">
            <v>-0.22107403422046903</v>
          </cell>
          <cell r="L293">
            <v>-0.22986182994570092</v>
          </cell>
          <cell r="M293">
            <v>-0.23496999300413973</v>
          </cell>
          <cell r="N293">
            <v>-0.23513411673215376</v>
          </cell>
          <cell r="O293">
            <v>-0.23260596075680665</v>
          </cell>
        </row>
      </sheetData>
      <sheetData sheetId="3"/>
      <sheetData sheetId="4"/>
      <sheetData sheetId="5"/>
      <sheetData sheetId="6"/>
      <sheetData sheetId="7"/>
      <sheetData sheetId="8"/>
      <sheetData sheetId="9"/>
      <sheetData sheetId="10"/>
      <sheetData sheetId="11" refreshError="1">
        <row r="1">
          <cell r="B1" t="str">
            <v>F2007 Film Studio Forecasts</v>
          </cell>
          <cell r="L1" t="str">
            <v>Historic Average per Film</v>
          </cell>
        </row>
        <row r="2">
          <cell r="B2" t="str">
            <v>Buena Vista</v>
          </cell>
          <cell r="C2" t="str">
            <v>Miramax</v>
          </cell>
          <cell r="D2" t="str">
            <v>Pixar</v>
          </cell>
          <cell r="E2" t="str">
            <v>Buena Vista</v>
          </cell>
          <cell r="F2" t="str">
            <v>Miramax</v>
          </cell>
          <cell r="G2" t="str">
            <v>Pixar</v>
          </cell>
          <cell r="H2" t="str">
            <v xml:space="preserve">Total </v>
          </cell>
          <cell r="J2" t="str">
            <v>BV Margin</v>
          </cell>
          <cell r="L2" t="str">
            <v>Buena Vista</v>
          </cell>
          <cell r="M2" t="str">
            <v>Miramax</v>
          </cell>
          <cell r="N2" t="str">
            <v>Pixar</v>
          </cell>
        </row>
        <row r="3">
          <cell r="B3" t="str">
            <v>Avg. Per Film</v>
          </cell>
          <cell r="C3" t="str">
            <v>Avg. Per Film</v>
          </cell>
          <cell r="D3" t="str">
            <v>Avg. Per Film</v>
          </cell>
          <cell r="E3" t="str">
            <v>Total Slate</v>
          </cell>
          <cell r="F3" t="str">
            <v>Total Slate</v>
          </cell>
          <cell r="G3" t="str">
            <v>Total Slate</v>
          </cell>
          <cell r="H3" t="str">
            <v>Studio</v>
          </cell>
          <cell r="J3" t="str">
            <v xml:space="preserve"> Improvement</v>
          </cell>
          <cell r="L3" t="str">
            <v>F02-05 Avg.</v>
          </cell>
          <cell r="M3" t="str">
            <v>F02-05 Avg.</v>
          </cell>
          <cell r="N3" t="str">
            <v>1998-04 Avg.</v>
          </cell>
        </row>
        <row r="4">
          <cell r="A4" t="str">
            <v>New Releases</v>
          </cell>
        </row>
        <row r="5">
          <cell r="A5" t="str">
            <v>Number of Films</v>
          </cell>
          <cell r="E5">
            <v>13</v>
          </cell>
          <cell r="F5">
            <v>9</v>
          </cell>
          <cell r="G5">
            <v>1</v>
          </cell>
          <cell r="H5">
            <v>14</v>
          </cell>
          <cell r="L5">
            <v>17</v>
          </cell>
          <cell r="M5">
            <v>18</v>
          </cell>
          <cell r="N5">
            <v>5</v>
          </cell>
        </row>
        <row r="7">
          <cell r="A7" t="str">
            <v xml:space="preserve">Theatrical </v>
          </cell>
          <cell r="B7">
            <v>50.189675239326561</v>
          </cell>
          <cell r="C7">
            <v>15.579762986821212</v>
          </cell>
          <cell r="D7">
            <v>288.33999999999997</v>
          </cell>
          <cell r="E7">
            <v>652.4657781112453</v>
          </cell>
          <cell r="F7">
            <v>140.2178668813909</v>
          </cell>
          <cell r="G7">
            <v>225</v>
          </cell>
          <cell r="H7">
            <v>1017.6836449926362</v>
          </cell>
          <cell r="L7">
            <v>50.189675239326561</v>
          </cell>
          <cell r="M7">
            <v>31.159525973642424</v>
          </cell>
          <cell r="N7">
            <v>288.33999999999997</v>
          </cell>
        </row>
        <row r="8">
          <cell r="A8" t="str">
            <v>Home Video</v>
          </cell>
          <cell r="B8">
            <v>74.602737226384988</v>
          </cell>
          <cell r="C8">
            <v>37.210634483126292</v>
          </cell>
          <cell r="D8">
            <v>527.92784595862065</v>
          </cell>
          <cell r="E8">
            <v>969.83558394300485</v>
          </cell>
          <cell r="F8">
            <v>334.89571034813662</v>
          </cell>
          <cell r="G8">
            <v>450</v>
          </cell>
          <cell r="H8">
            <v>1754.7312942911415</v>
          </cell>
          <cell r="L8">
            <v>67.820670205804532</v>
          </cell>
          <cell r="M8">
            <v>37.210634483126292</v>
          </cell>
          <cell r="N8">
            <v>527.92784595862065</v>
          </cell>
        </row>
        <row r="9">
          <cell r="A9" t="str">
            <v>Television</v>
          </cell>
          <cell r="B9">
            <v>25.292326185700865</v>
          </cell>
          <cell r="C9">
            <v>9.0718129213937448</v>
          </cell>
          <cell r="D9">
            <v>115.336</v>
          </cell>
          <cell r="E9">
            <v>328.80024041411127</v>
          </cell>
          <cell r="F9">
            <v>81.646316292543702</v>
          </cell>
          <cell r="G9">
            <v>90</v>
          </cell>
          <cell r="H9">
            <v>500.44655670665497</v>
          </cell>
          <cell r="L9">
            <v>25.292326185700865</v>
          </cell>
          <cell r="M9">
            <v>18.14362584278749</v>
          </cell>
          <cell r="N9">
            <v>115.336</v>
          </cell>
        </row>
        <row r="10">
          <cell r="A10" t="str">
            <v>Total New Release Revenue</v>
          </cell>
          <cell r="B10">
            <v>150.08473865141241</v>
          </cell>
          <cell r="C10">
            <v>61.86221039134125</v>
          </cell>
          <cell r="D10">
            <v>931.6038459586207</v>
          </cell>
          <cell r="E10">
            <v>1951.1016024683613</v>
          </cell>
          <cell r="F10">
            <v>556.75989352207125</v>
          </cell>
          <cell r="G10">
            <v>765</v>
          </cell>
          <cell r="H10">
            <v>3272.8614959904326</v>
          </cell>
          <cell r="L10">
            <v>143.30267163083195</v>
          </cell>
          <cell r="M10">
            <v>86.513786299556202</v>
          </cell>
          <cell r="N10">
            <v>931.6038459586207</v>
          </cell>
        </row>
        <row r="12">
          <cell r="A12" t="str">
            <v xml:space="preserve">Theatrical </v>
          </cell>
          <cell r="B12">
            <v>-18.270086733965019</v>
          </cell>
          <cell r="C12">
            <v>-5.7070038029795898</v>
          </cell>
          <cell r="D12">
            <v>109.68143210265852</v>
          </cell>
          <cell r="E12">
            <v>-237.51112754154528</v>
          </cell>
          <cell r="F12">
            <v>-51.363034226816303</v>
          </cell>
          <cell r="G12">
            <v>18.45588235294116</v>
          </cell>
          <cell r="H12">
            <v>-270.41827941542044</v>
          </cell>
          <cell r="L12">
            <v>-20.277673743538084</v>
          </cell>
          <cell r="M12">
            <v>-12.660388644904877</v>
          </cell>
          <cell r="N12">
            <v>83.730832102658539</v>
          </cell>
        </row>
        <row r="13">
          <cell r="A13" t="str">
            <v>Home Video</v>
          </cell>
          <cell r="B13">
            <v>17.202135080774635</v>
          </cell>
          <cell r="C13">
            <v>8.8269493909824401</v>
          </cell>
          <cell r="D13">
            <v>190.57233845965496</v>
          </cell>
          <cell r="E13">
            <v>223.62775605007025</v>
          </cell>
          <cell r="F13">
            <v>79.442544518841956</v>
          </cell>
          <cell r="G13">
            <v>191.28676470588232</v>
          </cell>
          <cell r="H13">
            <v>494.35706527479454</v>
          </cell>
          <cell r="L13">
            <v>12.925477810653847</v>
          </cell>
          <cell r="M13">
            <v>7.3385240116573875</v>
          </cell>
          <cell r="N13">
            <v>143.05883232337911</v>
          </cell>
        </row>
        <row r="14">
          <cell r="A14" t="str">
            <v>Television</v>
          </cell>
          <cell r="B14">
            <v>12.457876036513374</v>
          </cell>
          <cell r="C14">
            <v>4.5390928750211108</v>
          </cell>
          <cell r="D14">
            <v>98.612572841063411</v>
          </cell>
          <cell r="E14">
            <v>161.95238847467385</v>
          </cell>
          <cell r="F14">
            <v>40.851835875189998</v>
          </cell>
          <cell r="G14">
            <v>71.382352941176478</v>
          </cell>
          <cell r="H14">
            <v>274.18657729104029</v>
          </cell>
          <cell r="L14">
            <v>11.952029512799356</v>
          </cell>
          <cell r="M14">
            <v>8.7153132331864711</v>
          </cell>
          <cell r="N14">
            <v>88.23233284106341</v>
          </cell>
        </row>
        <row r="15">
          <cell r="A15" t="str">
            <v>Total New Release EBITDA</v>
          </cell>
          <cell r="B15">
            <v>11.38992438332299</v>
          </cell>
          <cell r="C15">
            <v>7.6590384630239612</v>
          </cell>
          <cell r="D15">
            <v>398.8663434033769</v>
          </cell>
          <cell r="E15">
            <v>148.06901698319882</v>
          </cell>
          <cell r="F15">
            <v>68.931346167215651</v>
          </cell>
          <cell r="G15">
            <v>281.12499999999994</v>
          </cell>
          <cell r="H15">
            <v>498.12536315041439</v>
          </cell>
          <cell r="L15">
            <v>4.5998335799151189</v>
          </cell>
          <cell r="M15">
            <v>3.3934485999389814</v>
          </cell>
          <cell r="N15">
            <v>315.02199726710103</v>
          </cell>
        </row>
        <row r="17">
          <cell r="A17" t="str">
            <v xml:space="preserve">Theatrical </v>
          </cell>
          <cell r="B17">
            <v>-0.36402081995639879</v>
          </cell>
          <cell r="C17">
            <v>-0.36630876912614752</v>
          </cell>
          <cell r="D17">
            <v>0.38038923528701718</v>
          </cell>
          <cell r="E17">
            <v>-0.36402081995639879</v>
          </cell>
          <cell r="F17">
            <v>-0.36630876912614752</v>
          </cell>
          <cell r="G17">
            <v>8.2026143790849604E-2</v>
          </cell>
          <cell r="H17">
            <v>-0.26571939201929212</v>
          </cell>
          <cell r="J17">
            <v>4.0000000000000036E-2</v>
          </cell>
          <cell r="L17">
            <v>-0.40402081995639882</v>
          </cell>
          <cell r="M17">
            <v>-0.40630876912614755</v>
          </cell>
          <cell r="N17">
            <v>0.29038923528701721</v>
          </cell>
        </row>
        <row r="18">
          <cell r="A18" t="str">
            <v>Home Video</v>
          </cell>
          <cell r="B18">
            <v>0.23058316249944111</v>
          </cell>
          <cell r="C18">
            <v>0.23721577214667355</v>
          </cell>
          <cell r="D18">
            <v>0.36098178930798841</v>
          </cell>
          <cell r="E18">
            <v>0.23058316249944111</v>
          </cell>
          <cell r="F18">
            <v>0.23721577214667355</v>
          </cell>
          <cell r="G18">
            <v>0.42508169934640516</v>
          </cell>
          <cell r="H18">
            <v>0.28172807248787335</v>
          </cell>
          <cell r="J18">
            <v>4.0000000000000036E-2</v>
          </cell>
          <cell r="L18">
            <v>0.19058316249944107</v>
          </cell>
          <cell r="M18">
            <v>0.19721577214667352</v>
          </cell>
          <cell r="N18">
            <v>0.27098178930798844</v>
          </cell>
        </row>
        <row r="19">
          <cell r="A19" t="str">
            <v>Television</v>
          </cell>
          <cell r="B19">
            <v>0.49255556586789917</v>
          </cell>
          <cell r="C19">
            <v>0.50035124339003112</v>
          </cell>
          <cell r="D19">
            <v>0.85500253902565904</v>
          </cell>
          <cell r="E19">
            <v>0.49255556586789917</v>
          </cell>
          <cell r="F19">
            <v>0.50035124339003112</v>
          </cell>
          <cell r="G19">
            <v>0.79313725490196085</v>
          </cell>
          <cell r="H19">
            <v>0.5478838321826226</v>
          </cell>
          <cell r="J19">
            <v>2.0000000000000018E-2</v>
          </cell>
          <cell r="L19">
            <v>0.47255556586789915</v>
          </cell>
          <cell r="M19">
            <v>0.4803512433900311</v>
          </cell>
          <cell r="N19">
            <v>0.76500253902565907</v>
          </cell>
        </row>
        <row r="20">
          <cell r="A20" t="str">
            <v>New Release EBITDA Margins</v>
          </cell>
          <cell r="B20">
            <v>7.5889957137995803E-2</v>
          </cell>
          <cell r="C20">
            <v>0.12380803101882024</v>
          </cell>
          <cell r="D20">
            <v>0.42815016826486296</v>
          </cell>
          <cell r="E20">
            <v>7.5889957137995775E-2</v>
          </cell>
          <cell r="F20">
            <v>0.12380803101882024</v>
          </cell>
          <cell r="G20">
            <v>0.36748366013071887</v>
          </cell>
          <cell r="H20">
            <v>0.15219872999840214</v>
          </cell>
          <cell r="J20">
            <v>4.3791228429260046E-2</v>
          </cell>
          <cell r="L20">
            <v>3.2098728708735758E-2</v>
          </cell>
          <cell r="M20">
            <v>3.9224368104628766E-2</v>
          </cell>
          <cell r="N20">
            <v>0.33815016826486294</v>
          </cell>
        </row>
        <row r="22">
          <cell r="A22" t="str">
            <v>Catalog</v>
          </cell>
        </row>
        <row r="23">
          <cell r="A23" t="str">
            <v>Home Video</v>
          </cell>
          <cell r="E23">
            <v>-101.63924714347972</v>
          </cell>
          <cell r="F23">
            <v>-17.936337731202304</v>
          </cell>
          <cell r="G23">
            <v>120</v>
          </cell>
          <cell r="H23">
            <v>0.42441512531797443</v>
          </cell>
        </row>
        <row r="24">
          <cell r="A24" t="str">
            <v>Television</v>
          </cell>
          <cell r="E24">
            <v>412.62957320065675</v>
          </cell>
          <cell r="F24">
            <v>72.816983505998238</v>
          </cell>
          <cell r="G24">
            <v>15</v>
          </cell>
          <cell r="H24">
            <v>500.44655670665497</v>
          </cell>
        </row>
        <row r="25">
          <cell r="A25" t="str">
            <v>Total Catalog Revenue</v>
          </cell>
          <cell r="E25">
            <v>310.99032605717701</v>
          </cell>
          <cell r="F25">
            <v>54.880645774795937</v>
          </cell>
          <cell r="G25">
            <v>135</v>
          </cell>
          <cell r="H25">
            <v>500.87097183197295</v>
          </cell>
        </row>
        <row r="27">
          <cell r="A27" t="str">
            <v>Home Video</v>
          </cell>
          <cell r="E27">
            <v>-16.216350728420977</v>
          </cell>
          <cell r="F27">
            <v>-2.8617089520742902</v>
          </cell>
          <cell r="G27">
            <v>48</v>
          </cell>
          <cell r="H27">
            <v>28.921940319504731</v>
          </cell>
        </row>
        <row r="28">
          <cell r="A28" t="str">
            <v>Television</v>
          </cell>
          <cell r="E28">
            <v>220.79167561001657</v>
          </cell>
          <cell r="F28">
            <v>38.963236872355857</v>
          </cell>
          <cell r="G28">
            <v>9</v>
          </cell>
          <cell r="H28">
            <v>268.75491248237245</v>
          </cell>
        </row>
        <row r="29">
          <cell r="A29" t="str">
            <v>Total Catalog EBITDA</v>
          </cell>
          <cell r="E29">
            <v>204.57532488159558</v>
          </cell>
          <cell r="F29">
            <v>36.101527920281569</v>
          </cell>
          <cell r="G29">
            <v>57</v>
          </cell>
          <cell r="H29">
            <v>297.6768528018772</v>
          </cell>
        </row>
        <row r="31">
          <cell r="A31" t="str">
            <v>Home Video</v>
          </cell>
          <cell r="E31">
            <v>0.15954811929617166</v>
          </cell>
          <cell r="F31">
            <v>0.15954811929617166</v>
          </cell>
          <cell r="G31">
            <v>0.4</v>
          </cell>
          <cell r="H31">
            <v>68.145404332223634</v>
          </cell>
        </row>
        <row r="32">
          <cell r="A32" t="str">
            <v>Television</v>
          </cell>
          <cell r="E32">
            <v>0.53508446788579611</v>
          </cell>
          <cell r="F32">
            <v>0.53508446788579611</v>
          </cell>
          <cell r="G32">
            <v>0.6</v>
          </cell>
          <cell r="H32">
            <v>0.53703019609326152</v>
          </cell>
        </row>
        <row r="33">
          <cell r="A33" t="str">
            <v>Catalog EBITDA Margins</v>
          </cell>
          <cell r="E33">
            <v>0.65781893435483729</v>
          </cell>
          <cell r="F33">
            <v>0.65781893435483729</v>
          </cell>
          <cell r="G33">
            <v>0.42222222222222222</v>
          </cell>
          <cell r="H33">
            <v>0.59431843636915493</v>
          </cell>
        </row>
        <row r="35">
          <cell r="A35" t="str">
            <v>Total Studio Economics</v>
          </cell>
        </row>
        <row r="36">
          <cell r="A36" t="str">
            <v xml:space="preserve">Theatrical </v>
          </cell>
          <cell r="E36">
            <v>652.4657781112453</v>
          </cell>
          <cell r="F36">
            <v>140.2178668813909</v>
          </cell>
          <cell r="G36">
            <v>225</v>
          </cell>
          <cell r="H36">
            <v>1017.6836449926362</v>
          </cell>
        </row>
        <row r="37">
          <cell r="A37" t="str">
            <v>Home Video</v>
          </cell>
          <cell r="E37">
            <v>868.19633679952517</v>
          </cell>
          <cell r="F37">
            <v>316.95937261693433</v>
          </cell>
          <cell r="G37">
            <v>570</v>
          </cell>
          <cell r="H37">
            <v>1755.1557094164596</v>
          </cell>
        </row>
        <row r="38">
          <cell r="A38" t="str">
            <v>Television</v>
          </cell>
          <cell r="E38">
            <v>741.42981361476802</v>
          </cell>
          <cell r="F38">
            <v>154.46329979854193</v>
          </cell>
          <cell r="G38">
            <v>105</v>
          </cell>
          <cell r="H38">
            <v>1000.8931134133099</v>
          </cell>
        </row>
        <row r="39">
          <cell r="A39" t="str">
            <v>Total Film Revenue</v>
          </cell>
          <cell r="E39">
            <v>2262.0919285255386</v>
          </cell>
          <cell r="F39">
            <v>611.64053929686713</v>
          </cell>
          <cell r="G39">
            <v>900</v>
          </cell>
          <cell r="H39">
            <v>3773.7324678224059</v>
          </cell>
        </row>
        <row r="41">
          <cell r="A41" t="str">
            <v>Stage Plays</v>
          </cell>
          <cell r="H41" t="e">
            <v>#REF!</v>
          </cell>
        </row>
        <row r="42">
          <cell r="A42" t="str">
            <v>Music &amp; Other</v>
          </cell>
          <cell r="H42">
            <v>-3.1559395940438772E-2</v>
          </cell>
        </row>
        <row r="43">
          <cell r="A43" t="str">
            <v>Total Studio Entertainment Revenue</v>
          </cell>
          <cell r="H43" t="e">
            <v>#REF!</v>
          </cell>
        </row>
        <row r="45">
          <cell r="A45" t="str">
            <v xml:space="preserve">Theatrical </v>
          </cell>
          <cell r="E45">
            <v>-237.51112754154528</v>
          </cell>
          <cell r="F45">
            <v>-51.363034226816303</v>
          </cell>
          <cell r="G45">
            <v>18.45588235294116</v>
          </cell>
          <cell r="H45">
            <v>-270.41827941542044</v>
          </cell>
        </row>
        <row r="46">
          <cell r="A46" t="str">
            <v>Home Video</v>
          </cell>
          <cell r="E46">
            <v>207.41140532164928</v>
          </cell>
          <cell r="F46">
            <v>76.580835566767661</v>
          </cell>
          <cell r="G46">
            <v>239.28676470588232</v>
          </cell>
          <cell r="H46">
            <v>523.27900559429929</v>
          </cell>
        </row>
        <row r="47">
          <cell r="A47" t="str">
            <v>Television</v>
          </cell>
          <cell r="E47">
            <v>382.74406408469042</v>
          </cell>
          <cell r="F47">
            <v>79.815072747545855</v>
          </cell>
          <cell r="G47">
            <v>80.382352941176478</v>
          </cell>
          <cell r="H47">
            <v>542.94148977341274</v>
          </cell>
        </row>
        <row r="48">
          <cell r="A48" t="str">
            <v>Studio Entertainment Overhead</v>
          </cell>
          <cell r="E48">
            <v>0.42499999999999999</v>
          </cell>
          <cell r="F48">
            <v>7.4999999999999997E-2</v>
          </cell>
          <cell r="G48">
            <v>-20</v>
          </cell>
          <cell r="H48">
            <v>-19.5</v>
          </cell>
        </row>
        <row r="49">
          <cell r="A49" t="str">
            <v>Total Film EBITDA</v>
          </cell>
          <cell r="E49">
            <v>353.06934186479447</v>
          </cell>
          <cell r="F49">
            <v>105.10787408749722</v>
          </cell>
          <cell r="G49">
            <v>318.12499999999994</v>
          </cell>
          <cell r="H49">
            <v>776.30221595229159</v>
          </cell>
        </row>
        <row r="52">
          <cell r="A52" t="str">
            <v>Stage Plays</v>
          </cell>
          <cell r="H52" t="e">
            <v>#REF!</v>
          </cell>
        </row>
        <row r="53">
          <cell r="A53" t="str">
            <v>Music &amp; Other</v>
          </cell>
          <cell r="H53">
            <v>0.5</v>
          </cell>
        </row>
        <row r="54">
          <cell r="A54" t="str">
            <v>Total Studio Entertainment EBITDA</v>
          </cell>
          <cell r="H54" t="e">
            <v>#REF!</v>
          </cell>
        </row>
        <row r="57">
          <cell r="B57" t="str">
            <v>F2007 Film Studio Forecasts</v>
          </cell>
          <cell r="J57" t="str">
            <v>Assumed F07</v>
          </cell>
          <cell r="L57" t="str">
            <v>Historic Average per Film</v>
          </cell>
        </row>
        <row r="58">
          <cell r="B58" t="str">
            <v>Buena Vista</v>
          </cell>
          <cell r="C58" t="str">
            <v>Miramax</v>
          </cell>
          <cell r="D58" t="str">
            <v>Pixar</v>
          </cell>
          <cell r="E58" t="str">
            <v>Buena Vista</v>
          </cell>
          <cell r="F58" t="str">
            <v>Miramax</v>
          </cell>
          <cell r="G58" t="str">
            <v>Pixar</v>
          </cell>
          <cell r="H58" t="str">
            <v xml:space="preserve">Total </v>
          </cell>
          <cell r="J58" t="str">
            <v>BV/Miramax Margin</v>
          </cell>
          <cell r="L58" t="str">
            <v>Buena Vista</v>
          </cell>
          <cell r="M58" t="str">
            <v>Miramax</v>
          </cell>
          <cell r="N58" t="str">
            <v>Pixar</v>
          </cell>
        </row>
        <row r="59">
          <cell r="B59" t="str">
            <v>Avg. Per Film</v>
          </cell>
          <cell r="C59" t="str">
            <v>Avg. Per Film</v>
          </cell>
          <cell r="D59" t="str">
            <v>Avg. Per Film</v>
          </cell>
          <cell r="E59" t="str">
            <v>Total Slate</v>
          </cell>
          <cell r="F59" t="str">
            <v>Total Slate</v>
          </cell>
          <cell r="G59" t="str">
            <v>Total Slate</v>
          </cell>
          <cell r="H59" t="str">
            <v>Studio</v>
          </cell>
          <cell r="J59" t="str">
            <v xml:space="preserve"> Improvement</v>
          </cell>
          <cell r="L59" t="str">
            <v>F02-05 Avg.</v>
          </cell>
          <cell r="M59" t="str">
            <v>F02-05 Avg.</v>
          </cell>
          <cell r="N59" t="str">
            <v>1998-04 Avg.</v>
          </cell>
        </row>
        <row r="60">
          <cell r="A60" t="str">
            <v>New Slate Economics</v>
          </cell>
        </row>
        <row r="61">
          <cell r="A61" t="str">
            <v>As % of Theatrical Revenue</v>
          </cell>
        </row>
        <row r="62">
          <cell r="A62" t="str">
            <v>Film Amortization</v>
          </cell>
          <cell r="B62">
            <v>0.31697831362221746</v>
          </cell>
          <cell r="C62">
            <v>0.30365187765485213</v>
          </cell>
          <cell r="D62">
            <v>9.4997460974340947E-2</v>
          </cell>
          <cell r="E62">
            <v>0.31697831362221746</v>
          </cell>
          <cell r="F62">
            <v>0.30365187765485213</v>
          </cell>
          <cell r="G62">
            <v>0.15686274509803921</v>
          </cell>
          <cell r="H62">
            <v>0.2660643616046211</v>
          </cell>
          <cell r="J62">
            <v>0.02</v>
          </cell>
          <cell r="L62">
            <v>0.33697831362221747</v>
          </cell>
          <cell r="M62">
            <v>0.32365187765485215</v>
          </cell>
          <cell r="N62">
            <v>9.4997460974340947E-2</v>
          </cell>
        </row>
        <row r="63">
          <cell r="A63" t="str">
            <v>Marketing</v>
          </cell>
          <cell r="B63">
            <v>0.85657638582429785</v>
          </cell>
          <cell r="C63">
            <v>0.79226186810662502</v>
          </cell>
          <cell r="D63">
            <v>0.47461330373864186</v>
          </cell>
          <cell r="E63">
            <v>0.85657638582429785</v>
          </cell>
          <cell r="F63">
            <v>0.79226186810662502</v>
          </cell>
          <cell r="G63">
            <v>0.71111111111111114</v>
          </cell>
          <cell r="H63">
            <v>0.76326670317351974</v>
          </cell>
          <cell r="J63">
            <v>0.02</v>
          </cell>
          <cell r="L63">
            <v>0.87657638582429787</v>
          </cell>
          <cell r="M63">
            <v>0.81226186810662504</v>
          </cell>
          <cell r="N63">
            <v>0.47461330373864186</v>
          </cell>
        </row>
        <row r="64">
          <cell r="A64" t="str">
            <v>Distribution</v>
          </cell>
          <cell r="B64">
            <v>9.9999999999999992E-2</v>
          </cell>
          <cell r="C64">
            <v>0.10000000000000002</v>
          </cell>
          <cell r="D64">
            <v>0.05</v>
          </cell>
          <cell r="E64">
            <v>9.9999999999999992E-2</v>
          </cell>
          <cell r="F64">
            <v>0.10000000000000002</v>
          </cell>
          <cell r="G64">
            <v>0.05</v>
          </cell>
          <cell r="H64">
            <v>8.8945484134137373E-2</v>
          </cell>
          <cell r="J64">
            <v>0</v>
          </cell>
          <cell r="L64">
            <v>9.9999999999999992E-2</v>
          </cell>
          <cell r="M64">
            <v>0.10000000000000002</v>
          </cell>
          <cell r="N64">
            <v>0.14000000000000001</v>
          </cell>
        </row>
        <row r="65">
          <cell r="A65" t="str">
            <v>Participations &amp; Other</v>
          </cell>
          <cell r="B65">
            <v>9.0466120509883369E-2</v>
          </cell>
          <cell r="C65">
            <v>0.17039502336467027</v>
          </cell>
          <cell r="D65">
            <v>0</v>
          </cell>
          <cell r="E65">
            <v>9.0466120509883369E-2</v>
          </cell>
          <cell r="F65">
            <v>0.17039502336467027</v>
          </cell>
          <cell r="G65">
            <v>0</v>
          </cell>
          <cell r="H65">
            <v>8.1477652532369785E-2</v>
          </cell>
          <cell r="J65">
            <v>0</v>
          </cell>
          <cell r="L65">
            <v>9.0466120509883369E-2</v>
          </cell>
          <cell r="M65">
            <v>0.17039502336467027</v>
          </cell>
          <cell r="N65">
            <v>0</v>
          </cell>
        </row>
        <row r="66">
          <cell r="A66" t="str">
            <v>Theatrical EBITDA Margin</v>
          </cell>
          <cell r="B66">
            <v>-0.36402081995639879</v>
          </cell>
          <cell r="C66">
            <v>-0.36630876912614752</v>
          </cell>
          <cell r="D66">
            <v>0.38038923528701718</v>
          </cell>
          <cell r="E66">
            <v>-0.36402081995639879</v>
          </cell>
          <cell r="F66">
            <v>-0.36630876912614752</v>
          </cell>
          <cell r="G66">
            <v>8.2026143790849604E-2</v>
          </cell>
          <cell r="H66">
            <v>-0.26571939201929212</v>
          </cell>
          <cell r="J66">
            <v>4.0000000000000036E-2</v>
          </cell>
          <cell r="L66">
            <v>-0.40402081995639882</v>
          </cell>
          <cell r="M66">
            <v>-0.40630876912614755</v>
          </cell>
          <cell r="N66">
            <v>0.29038923528701721</v>
          </cell>
        </row>
        <row r="68">
          <cell r="A68" t="str">
            <v>As % of Home Video Revenue</v>
          </cell>
        </row>
        <row r="69">
          <cell r="A69" t="str">
            <v>Film Amortization</v>
          </cell>
          <cell r="B69">
            <v>0.31697831362221746</v>
          </cell>
          <cell r="C69">
            <v>0.30365187765485213</v>
          </cell>
          <cell r="D69">
            <v>9.4997460974340947E-2</v>
          </cell>
          <cell r="E69">
            <v>0.31697831362221746</v>
          </cell>
          <cell r="F69">
            <v>0.30365187765485213</v>
          </cell>
          <cell r="G69">
            <v>0.15686274509803921</v>
          </cell>
          <cell r="H69">
            <v>0.25750804015598844</v>
          </cell>
          <cell r="J69">
            <v>0.02</v>
          </cell>
          <cell r="L69">
            <v>0.33697831362221747</v>
          </cell>
          <cell r="M69">
            <v>0.32365187765485215</v>
          </cell>
          <cell r="N69">
            <v>9.4997460974340947E-2</v>
          </cell>
        </row>
        <row r="70">
          <cell r="A70" t="str">
            <v>Marketing</v>
          </cell>
          <cell r="B70">
            <v>8.6281754388232546E-2</v>
          </cell>
          <cell r="C70">
            <v>9.3567068057236025E-2</v>
          </cell>
          <cell r="D70">
            <v>4.5744887648705108E-2</v>
          </cell>
          <cell r="E70">
            <v>8.6281754388232546E-2</v>
          </cell>
          <cell r="F70">
            <v>9.3567068057236025E-2</v>
          </cell>
          <cell r="G70">
            <v>5.5555555555555552E-2</v>
          </cell>
          <cell r="H70">
            <v>7.7276518208820325E-2</v>
          </cell>
          <cell r="J70">
            <v>0.02</v>
          </cell>
          <cell r="L70">
            <v>0.10628175438823255</v>
          </cell>
          <cell r="M70">
            <v>0.11356706805723603</v>
          </cell>
          <cell r="N70">
            <v>4.5744887648705108E-2</v>
          </cell>
        </row>
        <row r="71">
          <cell r="A71" t="str">
            <v>Manufacturing</v>
          </cell>
          <cell r="B71">
            <v>0.29486883588946833</v>
          </cell>
          <cell r="C71">
            <v>0.2945793667315475</v>
          </cell>
          <cell r="D71">
            <v>0.44827586206896552</v>
          </cell>
          <cell r="E71">
            <v>0.29486883588946833</v>
          </cell>
          <cell r="F71">
            <v>0.2945793667315475</v>
          </cell>
          <cell r="G71">
            <v>0.3125</v>
          </cell>
          <cell r="H71">
            <v>0.33415474822589597</v>
          </cell>
          <cell r="J71">
            <v>0</v>
          </cell>
          <cell r="L71">
            <v>0.29486883588946833</v>
          </cell>
          <cell r="M71">
            <v>0.2945793667315475</v>
          </cell>
          <cell r="N71">
            <v>0.44827586206896552</v>
          </cell>
        </row>
        <row r="72">
          <cell r="A72" t="str">
            <v>Distribution</v>
          </cell>
          <cell r="B72">
            <v>7.0000000000000021E-2</v>
          </cell>
          <cell r="C72">
            <v>7.0000000000000007E-2</v>
          </cell>
          <cell r="D72">
            <v>0.05</v>
          </cell>
          <cell r="E72">
            <v>7.0000000000000021E-2</v>
          </cell>
          <cell r="F72">
            <v>7.0000000000000007E-2</v>
          </cell>
          <cell r="G72">
            <v>0.05</v>
          </cell>
          <cell r="H72">
            <v>6.4871009578913508E-2</v>
          </cell>
          <cell r="J72">
            <v>0</v>
          </cell>
          <cell r="L72">
            <v>7.0000000000000021E-2</v>
          </cell>
          <cell r="M72">
            <v>7.0000000000000007E-2</v>
          </cell>
          <cell r="N72">
            <v>0.14000000000000001</v>
          </cell>
        </row>
        <row r="73">
          <cell r="A73" t="str">
            <v>Participations &amp; Other</v>
          </cell>
          <cell r="B73">
            <v>1.2879336006404903E-3</v>
          </cell>
          <cell r="C73">
            <v>9.8591540969079211E-4</v>
          </cell>
          <cell r="D73">
            <v>0</v>
          </cell>
          <cell r="E73">
            <v>1.2879336006404903E-3</v>
          </cell>
          <cell r="F73">
            <v>9.8591540969079211E-4</v>
          </cell>
          <cell r="G73">
            <v>0</v>
          </cell>
          <cell r="H73">
            <v>9.0000257148575727E-4</v>
          </cell>
          <cell r="J73">
            <v>0</v>
          </cell>
          <cell r="L73">
            <v>1.2879336006404903E-3</v>
          </cell>
          <cell r="M73">
            <v>9.8591540969079211E-4</v>
          </cell>
          <cell r="N73">
            <v>0</v>
          </cell>
        </row>
        <row r="74">
          <cell r="A74" t="str">
            <v>Home Video EBITDA Margin</v>
          </cell>
          <cell r="B74">
            <v>0.23058316249944111</v>
          </cell>
          <cell r="C74">
            <v>0.23721577214667355</v>
          </cell>
          <cell r="D74">
            <v>0.36098178930798841</v>
          </cell>
          <cell r="E74">
            <v>0.23058316249944111</v>
          </cell>
          <cell r="F74">
            <v>0.23721577214667355</v>
          </cell>
          <cell r="G74">
            <v>0.42508169934640516</v>
          </cell>
          <cell r="H74">
            <v>0.28172807248787335</v>
          </cell>
          <cell r="J74">
            <v>4.0000000000000036E-2</v>
          </cell>
          <cell r="L74">
            <v>0.19058316249944107</v>
          </cell>
          <cell r="M74">
            <v>0.19721577214667352</v>
          </cell>
          <cell r="N74">
            <v>0.27098178930798844</v>
          </cell>
        </row>
        <row r="76">
          <cell r="A76" t="str">
            <v>As % of Television Revenue</v>
          </cell>
        </row>
        <row r="77">
          <cell r="A77" t="str">
            <v>Film Amortization</v>
          </cell>
          <cell r="B77">
            <v>0.31697831362221746</v>
          </cell>
          <cell r="C77">
            <v>0.30365187765485213</v>
          </cell>
          <cell r="D77">
            <v>9.4997460974340947E-2</v>
          </cell>
          <cell r="E77">
            <v>0.31697831362221746</v>
          </cell>
          <cell r="F77">
            <v>0.30365187765485213</v>
          </cell>
          <cell r="G77">
            <v>0.15686274509803921</v>
          </cell>
          <cell r="H77">
            <v>0.27488324700214462</v>
          </cell>
          <cell r="J77">
            <v>0.02</v>
          </cell>
          <cell r="L77">
            <v>0.33697831362221747</v>
          </cell>
          <cell r="M77">
            <v>0.32365187765485215</v>
          </cell>
          <cell r="N77">
            <v>9.4997460974340947E-2</v>
          </cell>
        </row>
        <row r="78">
          <cell r="A78" t="str">
            <v>Distribution</v>
          </cell>
          <cell r="B78">
            <v>9.9999999999999992E-2</v>
          </cell>
          <cell r="C78">
            <v>0.10000000000000002</v>
          </cell>
          <cell r="D78">
            <v>0.05</v>
          </cell>
          <cell r="E78">
            <v>9.9999999999999992E-2</v>
          </cell>
          <cell r="F78">
            <v>0.10000000000000002</v>
          </cell>
          <cell r="G78">
            <v>0.05</v>
          </cell>
          <cell r="H78">
            <v>9.1008030848261492E-2</v>
          </cell>
          <cell r="J78">
            <v>0</v>
          </cell>
          <cell r="L78">
            <v>9.9999999999999992E-2</v>
          </cell>
          <cell r="M78">
            <v>0.10000000000000002</v>
          </cell>
          <cell r="N78">
            <v>0.14000000000000001</v>
          </cell>
        </row>
        <row r="79">
          <cell r="A79" t="str">
            <v>Participations &amp; Other</v>
          </cell>
          <cell r="B79">
            <v>9.0466120509883369E-2</v>
          </cell>
          <cell r="C79">
            <v>9.599687895511673E-2</v>
          </cell>
          <cell r="D79">
            <v>0</v>
          </cell>
          <cell r="E79">
            <v>9.0466120509883369E-2</v>
          </cell>
          <cell r="F79">
            <v>9.599687895511673E-2</v>
          </cell>
          <cell r="G79">
            <v>0</v>
          </cell>
          <cell r="H79">
            <v>7.5099075438894561E-2</v>
          </cell>
          <cell r="J79">
            <v>0</v>
          </cell>
          <cell r="L79">
            <v>9.0466120509883369E-2</v>
          </cell>
          <cell r="M79">
            <v>9.599687895511673E-2</v>
          </cell>
          <cell r="N79">
            <v>0</v>
          </cell>
        </row>
        <row r="80">
          <cell r="A80" t="str">
            <v>Television EBITDA Margin</v>
          </cell>
          <cell r="B80">
            <v>0.49255556586789917</v>
          </cell>
          <cell r="C80">
            <v>0.50035124339003112</v>
          </cell>
          <cell r="D80">
            <v>0.85500253902565904</v>
          </cell>
          <cell r="E80">
            <v>0.49255556586789917</v>
          </cell>
          <cell r="F80">
            <v>0.50035124339003112</v>
          </cell>
          <cell r="G80">
            <v>0.79313725490196085</v>
          </cell>
          <cell r="H80">
            <v>0.5478838321826226</v>
          </cell>
          <cell r="J80">
            <v>2.0000000000000018E-2</v>
          </cell>
          <cell r="L80">
            <v>0.47255556586789915</v>
          </cell>
          <cell r="M80">
            <v>0.4803512433900311</v>
          </cell>
          <cell r="N80">
            <v>0.76500253902565907</v>
          </cell>
        </row>
      </sheetData>
      <sheetData sheetId="12"/>
      <sheetData sheetId="13"/>
      <sheetData sheetId="14"/>
      <sheetData sheetId="15"/>
      <sheetData sheetId="16"/>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AP Financial Statements"/>
      <sheetName val="Stock Options"/>
    </sheetNames>
    <sheetDataSet>
      <sheetData sheetId="0" refreshError="1">
        <row r="1">
          <cell r="A1" t="str">
            <v>Liberty Media Corporation</v>
          </cell>
          <cell r="AC1" t="str">
            <v>ElementName</v>
          </cell>
          <cell r="AD1" t="str">
            <v>ScaleOverride</v>
          </cell>
          <cell r="AE1" t="str">
            <v>UnitOverride</v>
          </cell>
          <cell r="AF1" t="str">
            <v>ReverseSign</v>
          </cell>
          <cell r="AG1" t="str">
            <v>IsDrivingAssumption</v>
          </cell>
          <cell r="AH1" t="str">
            <v>SegmentID</v>
          </cell>
        </row>
        <row r="2">
          <cell r="Q2">
            <v>2004</v>
          </cell>
          <cell r="V2">
            <v>2005</v>
          </cell>
        </row>
        <row r="3">
          <cell r="A3" t="str">
            <v>($ in Millions)</v>
          </cell>
          <cell r="B3">
            <v>2002</v>
          </cell>
          <cell r="C3">
            <v>2003</v>
          </cell>
          <cell r="D3">
            <v>2004</v>
          </cell>
          <cell r="E3">
            <v>2005</v>
          </cell>
          <cell r="F3" t="str">
            <v>2006E</v>
          </cell>
          <cell r="G3" t="str">
            <v>2007E</v>
          </cell>
          <cell r="H3" t="str">
            <v>2008E</v>
          </cell>
          <cell r="I3" t="str">
            <v>2009E</v>
          </cell>
          <cell r="J3" t="str">
            <v>2010E</v>
          </cell>
          <cell r="K3" t="str">
            <v>2011E</v>
          </cell>
          <cell r="L3" t="str">
            <v>2012E</v>
          </cell>
          <cell r="M3" t="str">
            <v>2013E</v>
          </cell>
          <cell r="N3" t="str">
            <v>2014E</v>
          </cell>
          <cell r="Q3" t="str">
            <v>1Q</v>
          </cell>
          <cell r="R3" t="str">
            <v>2Q</v>
          </cell>
          <cell r="S3" t="str">
            <v>3Q</v>
          </cell>
          <cell r="T3" t="str">
            <v>4Q</v>
          </cell>
          <cell r="V3" t="str">
            <v>1Q</v>
          </cell>
          <cell r="W3" t="str">
            <v>2Q</v>
          </cell>
          <cell r="X3" t="str">
            <v>3Q</v>
          </cell>
          <cell r="Y3" t="str">
            <v>4Q</v>
          </cell>
        </row>
        <row r="4">
          <cell r="A4" t="str">
            <v>Net Sales from Electronic Trading</v>
          </cell>
          <cell r="B4">
            <v>0</v>
          </cell>
          <cell r="C4">
            <v>1973</v>
          </cell>
          <cell r="D4">
            <v>5687</v>
          </cell>
          <cell r="E4">
            <v>6501</v>
          </cell>
          <cell r="F4">
            <v>7271.9947472809918</v>
          </cell>
          <cell r="G4">
            <v>7908.8984600946387</v>
          </cell>
          <cell r="H4">
            <v>8582.7484975765947</v>
          </cell>
          <cell r="I4">
            <v>9259.1552487656954</v>
          </cell>
          <cell r="J4">
            <v>9936.7997267028713</v>
          </cell>
          <cell r="K4">
            <v>10611.470557147128</v>
          </cell>
          <cell r="L4">
            <v>11252.78207451283</v>
          </cell>
          <cell r="M4">
            <v>11905.799968285639</v>
          </cell>
          <cell r="N4">
            <v>12583.503982637152</v>
          </cell>
        </row>
        <row r="5">
          <cell r="A5" t="str">
            <v>Communications and Programming Services</v>
          </cell>
          <cell r="B5">
            <v>1266</v>
          </cell>
          <cell r="C5">
            <v>1257</v>
          </cell>
          <cell r="D5">
            <v>1364</v>
          </cell>
          <cell r="E5">
            <v>1459</v>
          </cell>
          <cell r="F5">
            <v>1465.8662795275591</v>
          </cell>
          <cell r="G5">
            <v>1544.0368887949603</v>
          </cell>
          <cell r="H5">
            <v>1612.5687696995778</v>
          </cell>
          <cell r="I5">
            <v>1672.8142060607042</v>
          </cell>
          <cell r="J5">
            <v>1729.6246544476712</v>
          </cell>
          <cell r="K5">
            <v>1804.1834241444844</v>
          </cell>
          <cell r="L5">
            <v>1881.9932338051156</v>
          </cell>
          <cell r="M5">
            <v>1963.1975594869145</v>
          </cell>
          <cell r="N5">
            <v>2047.9462880124649</v>
          </cell>
        </row>
        <row r="6">
          <cell r="A6" t="str">
            <v>Revenue</v>
          </cell>
          <cell r="B6">
            <v>1266</v>
          </cell>
          <cell r="C6">
            <v>3230</v>
          </cell>
          <cell r="D6">
            <v>7051</v>
          </cell>
          <cell r="E6">
            <v>7960</v>
          </cell>
          <cell r="F6">
            <v>8737.8610268085504</v>
          </cell>
          <cell r="G6">
            <v>9452.9353488895995</v>
          </cell>
          <cell r="H6">
            <v>10195.317267276172</v>
          </cell>
          <cell r="I6">
            <v>10931.9694548264</v>
          </cell>
          <cell r="J6">
            <v>11666.424381150542</v>
          </cell>
          <cell r="K6">
            <v>12415.653981291613</v>
          </cell>
          <cell r="L6">
            <v>13134.775308317945</v>
          </cell>
          <cell r="M6">
            <v>13868.997527772553</v>
          </cell>
          <cell r="N6">
            <v>14631.450270649617</v>
          </cell>
          <cell r="Q6">
            <v>1795</v>
          </cell>
          <cell r="R6">
            <v>1847</v>
          </cell>
          <cell r="S6">
            <v>1830</v>
          </cell>
          <cell r="T6">
            <v>1579</v>
          </cell>
          <cell r="U6">
            <v>0</v>
          </cell>
          <cell r="V6">
            <v>1821</v>
          </cell>
          <cell r="W6">
            <v>1839</v>
          </cell>
          <cell r="X6">
            <v>1850</v>
          </cell>
          <cell r="Y6">
            <v>2450</v>
          </cell>
          <cell r="Z6">
            <v>0</v>
          </cell>
          <cell r="AC6" t="str">
            <v>mstag:revenueNet</v>
          </cell>
          <cell r="AD6">
            <v>6</v>
          </cell>
          <cell r="AE6" t="str">
            <v>ISO4217:USD</v>
          </cell>
          <cell r="AF6" t="b">
            <v>0</v>
          </cell>
          <cell r="AG6" t="b">
            <v>0</v>
          </cell>
        </row>
        <row r="8">
          <cell r="A8" t="str">
            <v>Cost of Sales - Electronic Retailing</v>
          </cell>
          <cell r="B8" t="str">
            <v>n.a.</v>
          </cell>
          <cell r="C8">
            <v>1258</v>
          </cell>
          <cell r="D8">
            <v>3594</v>
          </cell>
          <cell r="E8">
            <v>4112</v>
          </cell>
          <cell r="F8">
            <v>4444.376295811524</v>
          </cell>
          <cell r="G8">
            <v>4822.0458499976794</v>
          </cell>
          <cell r="H8">
            <v>5218.5480053465008</v>
          </cell>
          <cell r="I8">
            <v>5619.795608752529</v>
          </cell>
          <cell r="J8">
            <v>6023.0630249674159</v>
          </cell>
          <cell r="K8">
            <v>6422.4050442774696</v>
          </cell>
          <cell r="L8">
            <v>6809.5227058521832</v>
          </cell>
          <cell r="M8">
            <v>7202.9940689544228</v>
          </cell>
          <cell r="N8">
            <v>7614.3763706290529</v>
          </cell>
          <cell r="Q8">
            <v>1442</v>
          </cell>
          <cell r="R8">
            <v>1489</v>
          </cell>
          <cell r="S8">
            <v>1496</v>
          </cell>
          <cell r="T8">
            <v>1143</v>
          </cell>
          <cell r="U8">
            <v>42</v>
          </cell>
          <cell r="V8">
            <v>1459</v>
          </cell>
          <cell r="W8">
            <v>1471</v>
          </cell>
          <cell r="X8">
            <v>1494</v>
          </cell>
          <cell r="Y8">
            <v>1948</v>
          </cell>
          <cell r="Z8">
            <v>0</v>
          </cell>
          <cell r="AC8" t="str">
            <v>mstag:otherOperatingExpense</v>
          </cell>
          <cell r="AD8">
            <v>6</v>
          </cell>
          <cell r="AE8" t="str">
            <v>ISO4217:USD</v>
          </cell>
          <cell r="AF8" t="b">
            <v>0</v>
          </cell>
          <cell r="AG8" t="b">
            <v>0</v>
          </cell>
        </row>
        <row r="9">
          <cell r="A9" t="str">
            <v>Operating Expenses</v>
          </cell>
          <cell r="B9" t="str">
            <v>n.a.</v>
          </cell>
          <cell r="C9">
            <v>860</v>
          </cell>
          <cell r="D9">
            <v>1356</v>
          </cell>
          <cell r="E9">
            <v>1608</v>
          </cell>
          <cell r="F9">
            <v>1642.8339097115518</v>
          </cell>
          <cell r="G9">
            <v>1756.4859241048421</v>
          </cell>
          <cell r="H9">
            <v>1863.5270401049879</v>
          </cell>
          <cell r="I9">
            <v>1983.5375073723203</v>
          </cell>
          <cell r="J9">
            <v>2095.4781972289279</v>
          </cell>
          <cell r="K9">
            <v>2219.8768904428198</v>
          </cell>
          <cell r="L9">
            <v>2333.5901602972826</v>
          </cell>
          <cell r="M9">
            <v>2464.2963064124078</v>
          </cell>
          <cell r="N9">
            <v>2587.5275703349289</v>
          </cell>
        </row>
        <row r="10">
          <cell r="A10" t="str">
            <v>Selling, General &amp; Administrative</v>
          </cell>
          <cell r="B10" t="str">
            <v>n.a.</v>
          </cell>
          <cell r="C10">
            <v>387</v>
          </cell>
          <cell r="D10">
            <v>662</v>
          </cell>
          <cell r="E10">
            <v>652</v>
          </cell>
          <cell r="F10">
            <v>768.23318577739587</v>
          </cell>
          <cell r="G10">
            <v>813.12178169312256</v>
          </cell>
          <cell r="H10">
            <v>859.73909263877204</v>
          </cell>
          <cell r="I10">
            <v>895.86721929396015</v>
          </cell>
          <cell r="J10">
            <v>932.40979328820686</v>
          </cell>
          <cell r="K10">
            <v>971.1164790047294</v>
          </cell>
          <cell r="L10">
            <v>1011.6335985255354</v>
          </cell>
          <cell r="M10">
            <v>1054.0838404052047</v>
          </cell>
          <cell r="N10">
            <v>1098.560151416993</v>
          </cell>
        </row>
        <row r="11">
          <cell r="A11" t="str">
            <v>Recurring EBITDA, excl. FAS 123R Expense</v>
          </cell>
          <cell r="B11">
            <v>317</v>
          </cell>
          <cell r="C11">
            <v>725</v>
          </cell>
          <cell r="D11">
            <v>1439</v>
          </cell>
          <cell r="E11">
            <v>1588</v>
          </cell>
          <cell r="F11">
            <v>1882.4176355080788</v>
          </cell>
          <cell r="G11">
            <v>2061.2817930939555</v>
          </cell>
          <cell r="H11">
            <v>2253.5031291859113</v>
          </cell>
          <cell r="I11">
            <v>2432.7691194075901</v>
          </cell>
          <cell r="J11">
            <v>2615.4733656659914</v>
          </cell>
          <cell r="K11">
            <v>2802.2555675665935</v>
          </cell>
          <cell r="L11">
            <v>2980.0288436429437</v>
          </cell>
          <cell r="M11">
            <v>3147.6233120005181</v>
          </cell>
          <cell r="N11">
            <v>3330.9861782686421</v>
          </cell>
        </row>
        <row r="13">
          <cell r="A13" t="str">
            <v>Stock Based Compensation</v>
          </cell>
          <cell r="B13">
            <v>46</v>
          </cell>
          <cell r="C13">
            <v>91</v>
          </cell>
          <cell r="D13">
            <v>-98</v>
          </cell>
          <cell r="E13">
            <v>-52</v>
          </cell>
          <cell r="F13">
            <v>-52</v>
          </cell>
          <cell r="G13">
            <v>-52</v>
          </cell>
          <cell r="H13">
            <v>-52</v>
          </cell>
          <cell r="I13">
            <v>-52</v>
          </cell>
          <cell r="J13">
            <v>-52</v>
          </cell>
          <cell r="K13">
            <v>-52</v>
          </cell>
          <cell r="L13">
            <v>-52</v>
          </cell>
          <cell r="M13">
            <v>-52</v>
          </cell>
          <cell r="N13">
            <v>-52</v>
          </cell>
          <cell r="Q13">
            <v>1</v>
          </cell>
          <cell r="R13">
            <v>10</v>
          </cell>
          <cell r="S13">
            <v>6</v>
          </cell>
          <cell r="T13">
            <v>-115</v>
          </cell>
          <cell r="U13">
            <v>0</v>
          </cell>
          <cell r="V13">
            <v>2</v>
          </cell>
          <cell r="W13">
            <v>-19</v>
          </cell>
          <cell r="X13">
            <v>-15</v>
          </cell>
          <cell r="Y13">
            <v>-20</v>
          </cell>
          <cell r="Z13">
            <v>0</v>
          </cell>
          <cell r="AC13" t="str">
            <v>mstag:stockCompensation</v>
          </cell>
          <cell r="AD13">
            <v>6</v>
          </cell>
          <cell r="AE13" t="str">
            <v>ISO4217:USD</v>
          </cell>
          <cell r="AF13" t="b">
            <v>0</v>
          </cell>
          <cell r="AG13" t="b">
            <v>0</v>
          </cell>
        </row>
        <row r="14">
          <cell r="A14" t="str">
            <v>Litigation Settlements</v>
          </cell>
          <cell r="B14">
            <v>0</v>
          </cell>
          <cell r="C14">
            <v>0</v>
          </cell>
          <cell r="D14">
            <v>42</v>
          </cell>
          <cell r="E14">
            <v>0</v>
          </cell>
          <cell r="F14">
            <v>0</v>
          </cell>
          <cell r="G14">
            <v>0</v>
          </cell>
          <cell r="H14">
            <v>0</v>
          </cell>
          <cell r="I14">
            <v>0</v>
          </cell>
          <cell r="J14">
            <v>0</v>
          </cell>
          <cell r="K14">
            <v>0</v>
          </cell>
          <cell r="L14">
            <v>0</v>
          </cell>
          <cell r="M14">
            <v>0</v>
          </cell>
          <cell r="N14">
            <v>0</v>
          </cell>
        </row>
        <row r="15">
          <cell r="A15" t="str">
            <v>Impairment of Long-lived Assets</v>
          </cell>
          <cell r="B15">
            <v>-103</v>
          </cell>
          <cell r="C15">
            <v>-1362</v>
          </cell>
          <cell r="D15">
            <v>0</v>
          </cell>
          <cell r="E15">
            <v>0</v>
          </cell>
          <cell r="F15">
            <v>0</v>
          </cell>
          <cell r="G15">
            <v>0</v>
          </cell>
          <cell r="H15">
            <v>0</v>
          </cell>
          <cell r="I15">
            <v>0</v>
          </cell>
          <cell r="J15">
            <v>0</v>
          </cell>
          <cell r="K15">
            <v>0</v>
          </cell>
          <cell r="L15">
            <v>0</v>
          </cell>
          <cell r="M15">
            <v>0</v>
          </cell>
          <cell r="N15">
            <v>0</v>
          </cell>
          <cell r="Q15">
            <v>0</v>
          </cell>
          <cell r="R15">
            <v>0</v>
          </cell>
          <cell r="S15">
            <v>0</v>
          </cell>
          <cell r="T15">
            <v>0</v>
          </cell>
          <cell r="U15">
            <v>0</v>
          </cell>
          <cell r="V15">
            <v>0</v>
          </cell>
          <cell r="W15">
            <v>0</v>
          </cell>
          <cell r="X15">
            <v>0</v>
          </cell>
          <cell r="Y15">
            <v>0</v>
          </cell>
          <cell r="Z15">
            <v>0</v>
          </cell>
          <cell r="AC15" t="str">
            <v>mstag:assetImpairmentNonGoodwillOneTimeGrossOfTax</v>
          </cell>
          <cell r="AD15">
            <v>6</v>
          </cell>
          <cell r="AE15" t="str">
            <v>ISO4217:USD</v>
          </cell>
          <cell r="AF15" t="b">
            <v>0</v>
          </cell>
          <cell r="AG15" t="b">
            <v>0</v>
          </cell>
        </row>
        <row r="16">
          <cell r="A16" t="str">
            <v>EBITDA</v>
          </cell>
          <cell r="B16">
            <v>260</v>
          </cell>
          <cell r="C16">
            <v>-546</v>
          </cell>
          <cell r="D16">
            <v>1383</v>
          </cell>
          <cell r="E16">
            <v>1536</v>
          </cell>
          <cell r="F16">
            <v>1830.4176355080788</v>
          </cell>
          <cell r="G16">
            <v>2009.2817930939555</v>
          </cell>
          <cell r="H16">
            <v>2201.5031291859113</v>
          </cell>
          <cell r="I16">
            <v>2380.7691194075901</v>
          </cell>
          <cell r="J16">
            <v>2563.4733656659914</v>
          </cell>
          <cell r="K16">
            <v>2750.2555675665935</v>
          </cell>
          <cell r="L16">
            <v>2928.0288436429437</v>
          </cell>
          <cell r="M16">
            <v>3095.6233120005181</v>
          </cell>
          <cell r="N16">
            <v>3278.9861782686421</v>
          </cell>
          <cell r="Q16">
            <v>354</v>
          </cell>
          <cell r="R16">
            <v>368</v>
          </cell>
          <cell r="S16">
            <v>340</v>
          </cell>
          <cell r="T16">
            <v>321</v>
          </cell>
          <cell r="U16">
            <v>0</v>
          </cell>
          <cell r="V16">
            <v>364</v>
          </cell>
          <cell r="W16">
            <v>349</v>
          </cell>
          <cell r="X16">
            <v>341</v>
          </cell>
          <cell r="Y16">
            <v>482</v>
          </cell>
          <cell r="Z16">
            <v>0</v>
          </cell>
        </row>
        <row r="18">
          <cell r="A18" t="str">
            <v>Depreciation</v>
          </cell>
          <cell r="B18">
            <v>100</v>
          </cell>
          <cell r="C18">
            <v>127</v>
          </cell>
          <cell r="D18">
            <v>172</v>
          </cell>
          <cell r="E18">
            <v>162</v>
          </cell>
          <cell r="F18">
            <v>180.27562110187108</v>
          </cell>
          <cell r="G18">
            <v>199.9450183608601</v>
          </cell>
          <cell r="H18">
            <v>217.26313838829944</v>
          </cell>
          <cell r="I18">
            <v>233.04092402545029</v>
          </cell>
          <cell r="J18">
            <v>248.35316983458429</v>
          </cell>
          <cell r="K18">
            <v>263.26654504405138</v>
          </cell>
          <cell r="L18">
            <v>277.80278177967898</v>
          </cell>
          <cell r="M18">
            <v>291.99545076385317</v>
          </cell>
          <cell r="N18">
            <v>305.92617827971935</v>
          </cell>
          <cell r="Q18">
            <v>63.5</v>
          </cell>
          <cell r="R18">
            <v>64.5</v>
          </cell>
          <cell r="S18">
            <v>65.5</v>
          </cell>
          <cell r="T18">
            <v>-21.5</v>
          </cell>
          <cell r="U18">
            <v>0</v>
          </cell>
          <cell r="V18">
            <v>41.75</v>
          </cell>
          <cell r="W18">
            <v>41.75</v>
          </cell>
          <cell r="X18">
            <v>42.75</v>
          </cell>
          <cell r="Y18">
            <v>35.75</v>
          </cell>
          <cell r="Z18">
            <v>0</v>
          </cell>
          <cell r="AC18" t="str">
            <v>mstag:depreciationInIncomeStatement</v>
          </cell>
          <cell r="AD18">
            <v>6</v>
          </cell>
          <cell r="AE18" t="str">
            <v>ISO4217:USD</v>
          </cell>
          <cell r="AF18" t="b">
            <v>0</v>
          </cell>
          <cell r="AG18" t="b">
            <v>0</v>
          </cell>
        </row>
        <row r="19">
          <cell r="A19" t="str">
            <v>EBITA</v>
          </cell>
          <cell r="B19">
            <v>160</v>
          </cell>
          <cell r="C19">
            <v>-673</v>
          </cell>
          <cell r="D19">
            <v>1211</v>
          </cell>
          <cell r="E19">
            <v>1374</v>
          </cell>
          <cell r="F19">
            <v>1650.1420144062076</v>
          </cell>
          <cell r="G19">
            <v>1809.3367747330954</v>
          </cell>
          <cell r="H19">
            <v>1984.2399907976119</v>
          </cell>
          <cell r="I19">
            <v>2147.7281953821398</v>
          </cell>
          <cell r="J19">
            <v>2315.1201958314073</v>
          </cell>
          <cell r="K19">
            <v>2486.9890225225422</v>
          </cell>
          <cell r="L19">
            <v>2650.2260618632645</v>
          </cell>
          <cell r="M19">
            <v>2803.627861236665</v>
          </cell>
          <cell r="N19">
            <v>2973.0599999889228</v>
          </cell>
          <cell r="Q19">
            <v>290.5</v>
          </cell>
          <cell r="R19">
            <v>303.5</v>
          </cell>
          <cell r="S19">
            <v>274.5</v>
          </cell>
          <cell r="T19">
            <v>342.5</v>
          </cell>
          <cell r="U19">
            <v>0</v>
          </cell>
          <cell r="V19">
            <v>322.25</v>
          </cell>
          <cell r="W19">
            <v>307.25</v>
          </cell>
          <cell r="X19">
            <v>298.25</v>
          </cell>
          <cell r="Y19">
            <v>446.25</v>
          </cell>
          <cell r="Z19">
            <v>0</v>
          </cell>
        </row>
        <row r="21">
          <cell r="A21" t="str">
            <v>Amortization</v>
          </cell>
          <cell r="B21">
            <v>174</v>
          </cell>
          <cell r="C21">
            <v>267</v>
          </cell>
          <cell r="D21">
            <v>486</v>
          </cell>
          <cell r="E21">
            <v>477</v>
          </cell>
          <cell r="F21">
            <v>451</v>
          </cell>
          <cell r="G21">
            <v>410</v>
          </cell>
          <cell r="H21">
            <v>376</v>
          </cell>
          <cell r="I21">
            <v>343</v>
          </cell>
          <cell r="J21">
            <v>333</v>
          </cell>
          <cell r="K21">
            <v>333</v>
          </cell>
          <cell r="L21">
            <v>333</v>
          </cell>
          <cell r="M21">
            <v>333</v>
          </cell>
          <cell r="N21">
            <v>333</v>
          </cell>
          <cell r="Q21">
            <v>121.5</v>
          </cell>
          <cell r="R21">
            <v>121.5</v>
          </cell>
          <cell r="S21">
            <v>121.5</v>
          </cell>
          <cell r="T21">
            <v>121.5</v>
          </cell>
          <cell r="U21">
            <v>0</v>
          </cell>
          <cell r="V21">
            <v>119.25</v>
          </cell>
          <cell r="W21">
            <v>119.25</v>
          </cell>
          <cell r="X21">
            <v>119.25</v>
          </cell>
          <cell r="Y21">
            <v>119.25</v>
          </cell>
          <cell r="Z21">
            <v>0</v>
          </cell>
          <cell r="AC21" t="str">
            <v>mstag:amortizationOfOtherIntangiblesInIncomeStatement</v>
          </cell>
          <cell r="AD21">
            <v>6</v>
          </cell>
          <cell r="AE21" t="str">
            <v>ISO4217:USD</v>
          </cell>
          <cell r="AF21" t="b">
            <v>0</v>
          </cell>
          <cell r="AG21" t="b">
            <v>0</v>
          </cell>
        </row>
        <row r="22">
          <cell r="A22" t="str">
            <v>EBIT</v>
          </cell>
          <cell r="B22">
            <v>-14</v>
          </cell>
          <cell r="C22">
            <v>-940</v>
          </cell>
          <cell r="D22">
            <v>725</v>
          </cell>
          <cell r="E22">
            <v>897</v>
          </cell>
          <cell r="F22">
            <v>1199.1420144062076</v>
          </cell>
          <cell r="G22">
            <v>1399.3367747330954</v>
          </cell>
          <cell r="H22">
            <v>1608.2399907976119</v>
          </cell>
          <cell r="I22">
            <v>1804.7281953821398</v>
          </cell>
          <cell r="J22">
            <v>1982.1201958314073</v>
          </cell>
          <cell r="K22">
            <v>2153.9890225225422</v>
          </cell>
          <cell r="L22">
            <v>2317.2260618632645</v>
          </cell>
          <cell r="M22">
            <v>2470.627861236665</v>
          </cell>
          <cell r="N22">
            <v>2640.0599999889228</v>
          </cell>
          <cell r="Q22">
            <v>169</v>
          </cell>
          <cell r="R22">
            <v>182</v>
          </cell>
          <cell r="S22">
            <v>153</v>
          </cell>
          <cell r="T22">
            <v>221</v>
          </cell>
          <cell r="U22">
            <v>0</v>
          </cell>
          <cell r="V22">
            <v>203</v>
          </cell>
          <cell r="W22">
            <v>188</v>
          </cell>
          <cell r="X22">
            <v>179</v>
          </cell>
          <cell r="Y22">
            <v>327</v>
          </cell>
          <cell r="Z22">
            <v>0</v>
          </cell>
        </row>
        <row r="24">
          <cell r="A24" t="str">
            <v>Interest Expense</v>
          </cell>
          <cell r="B24">
            <v>-367</v>
          </cell>
          <cell r="C24">
            <v>-508</v>
          </cell>
          <cell r="D24">
            <v>-615</v>
          </cell>
          <cell r="E24">
            <v>-623</v>
          </cell>
          <cell r="F24">
            <v>-594.47236738340416</v>
          </cell>
          <cell r="G24">
            <v>-603.59737308741592</v>
          </cell>
          <cell r="H24">
            <v>-542.07896060667872</v>
          </cell>
          <cell r="I24">
            <v>-505.6400773898896</v>
          </cell>
          <cell r="J24">
            <v>-495.06090108509102</v>
          </cell>
          <cell r="K24">
            <v>-497.6536551903979</v>
          </cell>
          <cell r="L24">
            <v>-500.61438549554947</v>
          </cell>
          <cell r="M24">
            <v>-503.99420182542883</v>
          </cell>
          <cell r="N24">
            <v>-507.60115024190145</v>
          </cell>
          <cell r="Q24">
            <v>-151</v>
          </cell>
          <cell r="R24">
            <v>-150</v>
          </cell>
          <cell r="S24">
            <v>-152</v>
          </cell>
          <cell r="T24">
            <v>-162</v>
          </cell>
          <cell r="U24">
            <v>0</v>
          </cell>
          <cell r="V24">
            <v>-149</v>
          </cell>
          <cell r="W24">
            <v>-146</v>
          </cell>
          <cell r="X24">
            <v>-149</v>
          </cell>
          <cell r="Y24">
            <v>-179</v>
          </cell>
          <cell r="Z24">
            <v>0</v>
          </cell>
          <cell r="AC24" t="str">
            <v>mstag:interestExpense</v>
          </cell>
          <cell r="AD24">
            <v>6</v>
          </cell>
          <cell r="AE24" t="str">
            <v>ISO4217:USD</v>
          </cell>
          <cell r="AF24" t="b">
            <v>1</v>
          </cell>
          <cell r="AG24" t="b">
            <v>0</v>
          </cell>
        </row>
        <row r="25">
          <cell r="A25" t="str">
            <v>Dividend and Interest Income</v>
          </cell>
          <cell r="B25">
            <v>179</v>
          </cell>
          <cell r="C25">
            <v>164</v>
          </cell>
          <cell r="D25">
            <v>131</v>
          </cell>
          <cell r="E25">
            <v>144</v>
          </cell>
          <cell r="F25">
            <v>144</v>
          </cell>
          <cell r="G25">
            <v>149.54316735396208</v>
          </cell>
          <cell r="H25">
            <v>156.39926601264298</v>
          </cell>
          <cell r="I25">
            <v>163.98791894866358</v>
          </cell>
          <cell r="J25">
            <v>172.31115633400719</v>
          </cell>
          <cell r="K25">
            <v>181.47447413383884</v>
          </cell>
          <cell r="L25">
            <v>191.43658589608003</v>
          </cell>
          <cell r="M25">
            <v>202.1489317062144</v>
          </cell>
          <cell r="N25">
            <v>213.6002410907108</v>
          </cell>
          <cell r="Q25">
            <v>45</v>
          </cell>
          <cell r="R25">
            <v>28</v>
          </cell>
          <cell r="S25">
            <v>41</v>
          </cell>
          <cell r="T25">
            <v>17</v>
          </cell>
          <cell r="U25">
            <v>0</v>
          </cell>
          <cell r="V25">
            <v>42</v>
          </cell>
          <cell r="W25">
            <v>23</v>
          </cell>
          <cell r="X25">
            <v>56</v>
          </cell>
          <cell r="Y25">
            <v>23</v>
          </cell>
          <cell r="Z25">
            <v>0</v>
          </cell>
          <cell r="AC25" t="str">
            <v>mstag:interestAndDividendIncome</v>
          </cell>
          <cell r="AD25">
            <v>6</v>
          </cell>
          <cell r="AE25" t="str">
            <v>ISO4217:USD</v>
          </cell>
          <cell r="AF25" t="b">
            <v>0</v>
          </cell>
          <cell r="AG25" t="b">
            <v>0</v>
          </cell>
        </row>
        <row r="26">
          <cell r="A26" t="str">
            <v xml:space="preserve">     Dividend/interest Income rate of return</v>
          </cell>
          <cell r="B26">
            <v>7.8868523087768771E-3</v>
          </cell>
          <cell r="C26">
            <v>6.8849706129303105E-3</v>
          </cell>
          <cell r="D26">
            <v>5.2726906822298247E-3</v>
          </cell>
          <cell r="E26">
            <v>6.2576047279680165E-3</v>
          </cell>
          <cell r="F26">
            <v>6.0785977382744648E-3</v>
          </cell>
          <cell r="G26">
            <v>6.0810147382822409E-3</v>
          </cell>
          <cell r="H26">
            <v>6.1105245325195155E-3</v>
          </cell>
          <cell r="I26">
            <v>6.1406664325644742E-3</v>
          </cell>
          <cell r="J26">
            <v>6.167652084476857E-3</v>
          </cell>
          <cell r="K26">
            <v>6.1970834689146779E-3</v>
          </cell>
          <cell r="L26">
            <v>6.2270970798997752E-3</v>
          </cell>
          <cell r="M26">
            <v>6.2572643307960019E-3</v>
          </cell>
          <cell r="N26">
            <v>6.2858883709421736E-3</v>
          </cell>
        </row>
        <row r="27">
          <cell r="A27" t="str">
            <v>Share in Earnings of Affiliates</v>
          </cell>
          <cell r="B27">
            <v>-57</v>
          </cell>
          <cell r="C27">
            <v>7</v>
          </cell>
          <cell r="D27">
            <v>15</v>
          </cell>
          <cell r="E27">
            <v>13</v>
          </cell>
          <cell r="F27">
            <v>127.80700872688762</v>
          </cell>
          <cell r="G27">
            <v>148.58032321846042</v>
          </cell>
          <cell r="H27">
            <v>168.8298066973876</v>
          </cell>
          <cell r="I27">
            <v>188.4147810148599</v>
          </cell>
          <cell r="J27">
            <v>207.32772980468178</v>
          </cell>
          <cell r="K27">
            <v>223.15381616331473</v>
          </cell>
          <cell r="L27">
            <v>239.37943892129275</v>
          </cell>
          <cell r="M27">
            <v>255.94336880420764</v>
          </cell>
          <cell r="N27">
            <v>272.7978429854403</v>
          </cell>
          <cell r="Q27">
            <v>7</v>
          </cell>
          <cell r="R27">
            <v>36</v>
          </cell>
          <cell r="S27">
            <v>20</v>
          </cell>
          <cell r="T27">
            <v>-48</v>
          </cell>
          <cell r="U27">
            <v>0</v>
          </cell>
          <cell r="V27">
            <v>5</v>
          </cell>
          <cell r="W27">
            <v>6</v>
          </cell>
          <cell r="X27">
            <v>4</v>
          </cell>
          <cell r="Y27">
            <v>-2</v>
          </cell>
          <cell r="Z27">
            <v>0</v>
          </cell>
          <cell r="AC27" t="str">
            <v>mstag:incomeLossFromInvestmentsAccountedForUnderTheEquityMethodNonOperatingIncomeStatement</v>
          </cell>
          <cell r="AD27">
            <v>6</v>
          </cell>
          <cell r="AE27" t="str">
            <v>ISO4217:USD</v>
          </cell>
          <cell r="AF27" t="b">
            <v>0</v>
          </cell>
          <cell r="AG27" t="b">
            <v>0</v>
          </cell>
        </row>
        <row r="28">
          <cell r="A28" t="str">
            <v>Non-temporary declines in fair value of investments</v>
          </cell>
          <cell r="B28">
            <v>-5806</v>
          </cell>
          <cell r="C28">
            <v>-22</v>
          </cell>
          <cell r="D28">
            <v>-129</v>
          </cell>
          <cell r="E28">
            <v>-449</v>
          </cell>
          <cell r="F28">
            <v>0</v>
          </cell>
          <cell r="G28">
            <v>0</v>
          </cell>
          <cell r="H28">
            <v>0</v>
          </cell>
          <cell r="I28">
            <v>0</v>
          </cell>
          <cell r="J28">
            <v>0</v>
          </cell>
          <cell r="K28">
            <v>0</v>
          </cell>
          <cell r="L28">
            <v>0</v>
          </cell>
          <cell r="M28">
            <v>0</v>
          </cell>
          <cell r="N28">
            <v>0</v>
          </cell>
          <cell r="Q28">
            <v>0</v>
          </cell>
          <cell r="R28">
            <v>-128</v>
          </cell>
          <cell r="S28">
            <v>0</v>
          </cell>
          <cell r="T28">
            <v>-1</v>
          </cell>
          <cell r="U28">
            <v>0</v>
          </cell>
          <cell r="V28">
            <v>0</v>
          </cell>
          <cell r="W28">
            <v>0</v>
          </cell>
          <cell r="X28">
            <v>-68</v>
          </cell>
          <cell r="Y28">
            <v>-381</v>
          </cell>
          <cell r="Z28">
            <v>0</v>
          </cell>
          <cell r="AC28" t="str">
            <v>mstag:gainsLossesFromSaleOfOperatingAssetsOneTimeGrossOfTax</v>
          </cell>
          <cell r="AD28">
            <v>6</v>
          </cell>
          <cell r="AE28" t="str">
            <v>ISO4217:USD</v>
          </cell>
          <cell r="AF28" t="b">
            <v>0</v>
          </cell>
          <cell r="AG28" t="b">
            <v>0</v>
          </cell>
        </row>
        <row r="29">
          <cell r="A29" t="str">
            <v>Gains on Dispositions of Assets, Net</v>
          </cell>
          <cell r="B29">
            <v>-538</v>
          </cell>
          <cell r="C29">
            <v>1126</v>
          </cell>
          <cell r="D29">
            <v>1406</v>
          </cell>
          <cell r="E29">
            <v>-365</v>
          </cell>
          <cell r="F29">
            <v>0</v>
          </cell>
          <cell r="G29">
            <v>0</v>
          </cell>
          <cell r="H29">
            <v>0</v>
          </cell>
          <cell r="I29">
            <v>0</v>
          </cell>
          <cell r="J29">
            <v>0</v>
          </cell>
          <cell r="K29">
            <v>0</v>
          </cell>
          <cell r="L29">
            <v>0</v>
          </cell>
          <cell r="M29">
            <v>0</v>
          </cell>
          <cell r="N29">
            <v>0</v>
          </cell>
          <cell r="Q29">
            <v>218</v>
          </cell>
          <cell r="R29">
            <v>13</v>
          </cell>
          <cell r="S29">
            <v>389</v>
          </cell>
          <cell r="T29">
            <v>786</v>
          </cell>
          <cell r="U29">
            <v>0</v>
          </cell>
          <cell r="V29">
            <v>-380</v>
          </cell>
          <cell r="W29">
            <v>17</v>
          </cell>
          <cell r="X29">
            <v>0</v>
          </cell>
          <cell r="Y29">
            <v>-2</v>
          </cell>
          <cell r="Z29">
            <v>0</v>
          </cell>
          <cell r="AC29" t="str">
            <v>mstag:gainsLossesFromSaleOfOperatingAssetsOneTimeGrossOfTax</v>
          </cell>
          <cell r="AD29">
            <v>6</v>
          </cell>
          <cell r="AE29" t="str">
            <v>ISO4217:USD</v>
          </cell>
          <cell r="AF29" t="b">
            <v>0</v>
          </cell>
          <cell r="AG29" t="b">
            <v>0</v>
          </cell>
        </row>
        <row r="30">
          <cell r="A30" t="str">
            <v>Realized and Unrealized Gains on Financial Instruments</v>
          </cell>
          <cell r="B30">
            <v>2127</v>
          </cell>
          <cell r="C30">
            <v>-661</v>
          </cell>
          <cell r="D30">
            <v>-1284</v>
          </cell>
          <cell r="E30">
            <v>257</v>
          </cell>
          <cell r="F30">
            <v>0</v>
          </cell>
          <cell r="G30">
            <v>0</v>
          </cell>
          <cell r="H30">
            <v>0</v>
          </cell>
          <cell r="I30">
            <v>0</v>
          </cell>
          <cell r="J30">
            <v>0</v>
          </cell>
          <cell r="K30">
            <v>0</v>
          </cell>
          <cell r="L30">
            <v>0</v>
          </cell>
          <cell r="M30">
            <v>0</v>
          </cell>
          <cell r="N30">
            <v>0</v>
          </cell>
          <cell r="Q30">
            <v>-209</v>
          </cell>
          <cell r="R30">
            <v>-374</v>
          </cell>
          <cell r="S30">
            <v>239</v>
          </cell>
          <cell r="T30">
            <v>-940</v>
          </cell>
          <cell r="U30">
            <v>0</v>
          </cell>
          <cell r="V30">
            <v>768</v>
          </cell>
          <cell r="W30">
            <v>-288</v>
          </cell>
          <cell r="X30">
            <v>-332</v>
          </cell>
          <cell r="Y30">
            <v>109</v>
          </cell>
          <cell r="Z30">
            <v>0</v>
          </cell>
          <cell r="AC30" t="str">
            <v>mstag:gainsLossesFromSaleOfOperatingAssetsOneTimeGrossOfTax</v>
          </cell>
          <cell r="AD30">
            <v>6</v>
          </cell>
          <cell r="AE30" t="str">
            <v>ISO4217:USD</v>
          </cell>
          <cell r="AF30" t="b">
            <v>0</v>
          </cell>
          <cell r="AG30" t="b">
            <v>0</v>
          </cell>
        </row>
        <row r="31">
          <cell r="A31" t="str">
            <v>Other, net</v>
          </cell>
          <cell r="B31">
            <v>-5</v>
          </cell>
          <cell r="C31">
            <v>-53</v>
          </cell>
          <cell r="D31">
            <v>-25</v>
          </cell>
          <cell r="E31">
            <v>-38</v>
          </cell>
          <cell r="F31">
            <v>0</v>
          </cell>
          <cell r="G31">
            <v>0</v>
          </cell>
          <cell r="H31">
            <v>0</v>
          </cell>
          <cell r="I31">
            <v>0</v>
          </cell>
          <cell r="J31">
            <v>0</v>
          </cell>
          <cell r="K31">
            <v>0</v>
          </cell>
          <cell r="L31">
            <v>0</v>
          </cell>
          <cell r="M31">
            <v>0</v>
          </cell>
          <cell r="N31">
            <v>0</v>
          </cell>
          <cell r="Q31">
            <v>61</v>
          </cell>
          <cell r="R31">
            <v>-5</v>
          </cell>
          <cell r="S31">
            <v>-37</v>
          </cell>
          <cell r="T31">
            <v>-44</v>
          </cell>
          <cell r="U31">
            <v>0</v>
          </cell>
          <cell r="V31">
            <v>-6</v>
          </cell>
          <cell r="W31">
            <v>-24</v>
          </cell>
          <cell r="X31">
            <v>-5</v>
          </cell>
          <cell r="Y31">
            <v>-3</v>
          </cell>
          <cell r="Z31">
            <v>0</v>
          </cell>
          <cell r="AC31" t="str">
            <v>mstag:gainsLossesFromSaleOfOperatingAssetsOneTimeGrossOfTax</v>
          </cell>
          <cell r="AD31">
            <v>6</v>
          </cell>
          <cell r="AE31" t="str">
            <v>ISO4217:USD</v>
          </cell>
          <cell r="AF31" t="b">
            <v>0</v>
          </cell>
          <cell r="AG31" t="b">
            <v>0</v>
          </cell>
        </row>
        <row r="33">
          <cell r="A33" t="str">
            <v>Pre-tax Profit</v>
          </cell>
          <cell r="B33">
            <v>-4481</v>
          </cell>
          <cell r="C33">
            <v>-887</v>
          </cell>
          <cell r="D33">
            <v>224</v>
          </cell>
          <cell r="E33">
            <v>-164</v>
          </cell>
          <cell r="F33">
            <v>876.47665574969108</v>
          </cell>
          <cell r="G33">
            <v>1093.8628922181019</v>
          </cell>
          <cell r="H33">
            <v>1391.3901029009637</v>
          </cell>
          <cell r="I33">
            <v>1651.4908179557738</v>
          </cell>
          <cell r="J33">
            <v>1866.6981808850051</v>
          </cell>
          <cell r="K33">
            <v>2060.9636576292978</v>
          </cell>
          <cell r="L33">
            <v>2247.4277011850877</v>
          </cell>
          <cell r="M33">
            <v>2424.7259599216582</v>
          </cell>
          <cell r="N33">
            <v>2618.8569338231723</v>
          </cell>
          <cell r="Q33">
            <v>140</v>
          </cell>
          <cell r="R33">
            <v>-398</v>
          </cell>
          <cell r="S33">
            <v>653</v>
          </cell>
          <cell r="T33">
            <v>-171</v>
          </cell>
          <cell r="U33">
            <v>0</v>
          </cell>
          <cell r="V33">
            <v>483</v>
          </cell>
          <cell r="W33">
            <v>-224</v>
          </cell>
          <cell r="X33">
            <v>-315</v>
          </cell>
          <cell r="Y33">
            <v>-108</v>
          </cell>
          <cell r="Z33">
            <v>0</v>
          </cell>
        </row>
        <row r="35">
          <cell r="A35" t="str">
            <v>Tax Benefit (Expense)</v>
          </cell>
          <cell r="B35">
            <v>1481</v>
          </cell>
          <cell r="C35">
            <v>-342</v>
          </cell>
          <cell r="D35">
            <v>-119</v>
          </cell>
          <cell r="E35">
            <v>141</v>
          </cell>
          <cell r="F35">
            <v>-368.12019541487041</v>
          </cell>
          <cell r="G35">
            <v>-459.42241473160254</v>
          </cell>
          <cell r="H35">
            <v>-584.38384321840488</v>
          </cell>
          <cell r="I35">
            <v>-693.62614354142477</v>
          </cell>
          <cell r="J35">
            <v>-784.01323597170222</v>
          </cell>
          <cell r="K35">
            <v>-865.60473620430525</v>
          </cell>
          <cell r="L35">
            <v>-943.91963449773755</v>
          </cell>
          <cell r="M35">
            <v>-1018.384903167096</v>
          </cell>
          <cell r="N35">
            <v>-1099.9199122057328</v>
          </cell>
          <cell r="Q35">
            <v>-66</v>
          </cell>
          <cell r="R35">
            <v>91</v>
          </cell>
          <cell r="S35">
            <v>-280</v>
          </cell>
          <cell r="T35">
            <v>136</v>
          </cell>
          <cell r="U35">
            <v>0</v>
          </cell>
          <cell r="V35">
            <v>-225</v>
          </cell>
          <cell r="W35">
            <v>102</v>
          </cell>
          <cell r="X35">
            <v>233</v>
          </cell>
          <cell r="Y35">
            <v>31</v>
          </cell>
          <cell r="Z35">
            <v>0</v>
          </cell>
        </row>
        <row r="36">
          <cell r="A36" t="str">
            <v xml:space="preserve">    Current Taxes</v>
          </cell>
          <cell r="B36">
            <v>-8</v>
          </cell>
          <cell r="C36">
            <v>-73</v>
          </cell>
          <cell r="D36">
            <v>-352</v>
          </cell>
          <cell r="E36">
            <v>-264</v>
          </cell>
          <cell r="F36">
            <v>-423.63988627215713</v>
          </cell>
          <cell r="G36">
            <v>-495.58920674607748</v>
          </cell>
          <cell r="H36">
            <v>-598.81949824357662</v>
          </cell>
          <cell r="I36">
            <v>-700.1962759028811</v>
          </cell>
          <cell r="J36">
            <v>-786.05539116665943</v>
          </cell>
          <cell r="K36">
            <v>-865.60473620430525</v>
          </cell>
          <cell r="L36">
            <v>-943.91963449773755</v>
          </cell>
          <cell r="M36">
            <v>-1018.384903167096</v>
          </cell>
          <cell r="N36">
            <v>-1099.9199122057328</v>
          </cell>
          <cell r="Q36">
            <v>0.47142857142857142</v>
          </cell>
          <cell r="R36">
            <v>0.228643216080402</v>
          </cell>
          <cell r="S36">
            <v>0.42879019908116384</v>
          </cell>
          <cell r="T36">
            <v>0.42879019908116384</v>
          </cell>
          <cell r="V36">
            <v>0.46583850931677018</v>
          </cell>
          <cell r="W36">
            <v>0.45535714285714285</v>
          </cell>
          <cell r="X36">
            <v>0.73968253968253972</v>
          </cell>
          <cell r="Y36">
            <v>0.28703703703703703</v>
          </cell>
          <cell r="AC36" t="str">
            <v>mstag:currentIncomeTax</v>
          </cell>
          <cell r="AD36">
            <v>6</v>
          </cell>
          <cell r="AE36" t="str">
            <v>ISO4217:USD</v>
          </cell>
          <cell r="AF36" t="b">
            <v>1</v>
          </cell>
          <cell r="AG36" t="b">
            <v>0</v>
          </cell>
        </row>
        <row r="37">
          <cell r="A37" t="str">
            <v>Effective Tax Rate</v>
          </cell>
          <cell r="B37">
            <v>0.33050658335193039</v>
          </cell>
          <cell r="C37">
            <v>-0.38556933483652761</v>
          </cell>
          <cell r="D37">
            <v>0.53125</v>
          </cell>
          <cell r="E37">
            <v>0.8597560975609756</v>
          </cell>
          <cell r="F37">
            <v>0.42000000000000021</v>
          </cell>
          <cell r="G37">
            <v>0.41999999999999976</v>
          </cell>
          <cell r="H37">
            <v>0.4200000000000001</v>
          </cell>
          <cell r="I37">
            <v>0.41999999999999987</v>
          </cell>
          <cell r="J37">
            <v>0.42000000000000004</v>
          </cell>
          <cell r="K37">
            <v>0.4200000000000001</v>
          </cell>
          <cell r="L37">
            <v>0.42000000000000032</v>
          </cell>
          <cell r="M37">
            <v>0.41999999999999982</v>
          </cell>
          <cell r="N37">
            <v>0.42000000000000015</v>
          </cell>
          <cell r="Q37">
            <v>0.47142857142857142</v>
          </cell>
          <cell r="R37">
            <v>0.228643216080402</v>
          </cell>
          <cell r="S37">
            <v>0.42879019908116384</v>
          </cell>
          <cell r="T37">
            <v>0.79532163742690054</v>
          </cell>
          <cell r="V37">
            <v>0.46583850931677018</v>
          </cell>
          <cell r="W37">
            <v>0.45535714285714285</v>
          </cell>
          <cell r="X37">
            <v>0.73968253968253972</v>
          </cell>
          <cell r="Y37">
            <v>0.42</v>
          </cell>
        </row>
        <row r="39">
          <cell r="A39" t="str">
            <v>After-tax Minority Interests</v>
          </cell>
          <cell r="B39">
            <v>27</v>
          </cell>
          <cell r="C39">
            <v>0</v>
          </cell>
          <cell r="D39">
            <v>-5</v>
          </cell>
          <cell r="E39">
            <v>-41</v>
          </cell>
          <cell r="F39">
            <v>-41</v>
          </cell>
          <cell r="G39">
            <v>-41</v>
          </cell>
          <cell r="H39">
            <v>-41</v>
          </cell>
          <cell r="I39">
            <v>-41</v>
          </cell>
          <cell r="J39">
            <v>-41</v>
          </cell>
          <cell r="K39">
            <v>-41</v>
          </cell>
          <cell r="L39">
            <v>-41</v>
          </cell>
          <cell r="M39">
            <v>-41</v>
          </cell>
          <cell r="N39">
            <v>-41</v>
          </cell>
          <cell r="Q39">
            <v>0</v>
          </cell>
          <cell r="R39">
            <v>-5</v>
          </cell>
          <cell r="S39">
            <v>-1</v>
          </cell>
          <cell r="T39">
            <v>1</v>
          </cell>
          <cell r="U39">
            <v>0</v>
          </cell>
          <cell r="V39">
            <v>-19</v>
          </cell>
          <cell r="W39">
            <v>-4</v>
          </cell>
          <cell r="X39">
            <v>-5</v>
          </cell>
          <cell r="Y39">
            <v>-13</v>
          </cell>
          <cell r="Z39">
            <v>0</v>
          </cell>
          <cell r="AC39" t="str">
            <v>mstag:minorityInterestsInNetIncome</v>
          </cell>
          <cell r="AD39">
            <v>6</v>
          </cell>
          <cell r="AE39" t="str">
            <v>ISO4217:USD</v>
          </cell>
          <cell r="AF39" t="b">
            <v>1</v>
          </cell>
          <cell r="AG39" t="b">
            <v>0</v>
          </cell>
        </row>
        <row r="41">
          <cell r="A41" t="str">
            <v>Net Income from Continuing Operations</v>
          </cell>
          <cell r="B41">
            <v>-2973</v>
          </cell>
          <cell r="C41">
            <v>-1229</v>
          </cell>
          <cell r="D41">
            <v>100</v>
          </cell>
          <cell r="E41">
            <v>-64</v>
          </cell>
          <cell r="F41">
            <v>467.35646033482067</v>
          </cell>
          <cell r="G41">
            <v>593.44047748649939</v>
          </cell>
          <cell r="H41">
            <v>766.00625968255883</v>
          </cell>
          <cell r="I41">
            <v>916.864674414349</v>
          </cell>
          <cell r="J41">
            <v>1041.6849449133028</v>
          </cell>
          <cell r="K41">
            <v>1154.3589214249926</v>
          </cell>
          <cell r="L41">
            <v>1262.50806668735</v>
          </cell>
          <cell r="M41">
            <v>1365.341056754562</v>
          </cell>
          <cell r="N41">
            <v>1477.9370216174395</v>
          </cell>
          <cell r="Q41">
            <v>74</v>
          </cell>
          <cell r="R41">
            <v>-312</v>
          </cell>
          <cell r="S41">
            <v>372</v>
          </cell>
          <cell r="T41">
            <v>-34</v>
          </cell>
          <cell r="U41">
            <v>0</v>
          </cell>
          <cell r="V41">
            <v>239</v>
          </cell>
          <cell r="W41">
            <v>-126</v>
          </cell>
          <cell r="X41">
            <v>-87</v>
          </cell>
          <cell r="Y41">
            <v>-90</v>
          </cell>
          <cell r="Z41">
            <v>0</v>
          </cell>
        </row>
        <row r="42">
          <cell r="A42" t="str">
            <v>Extraordinary Items</v>
          </cell>
          <cell r="B42">
            <v>0</v>
          </cell>
          <cell r="C42">
            <v>0</v>
          </cell>
          <cell r="D42">
            <v>0</v>
          </cell>
          <cell r="E42">
            <v>0</v>
          </cell>
          <cell r="F42">
            <v>0</v>
          </cell>
          <cell r="G42">
            <v>0</v>
          </cell>
          <cell r="H42">
            <v>0</v>
          </cell>
          <cell r="I42">
            <v>0</v>
          </cell>
          <cell r="J42">
            <v>0</v>
          </cell>
          <cell r="K42">
            <v>0</v>
          </cell>
          <cell r="L42">
            <v>0</v>
          </cell>
          <cell r="M42">
            <v>0</v>
          </cell>
          <cell r="N42">
            <v>0</v>
          </cell>
          <cell r="Q42">
            <v>0</v>
          </cell>
          <cell r="R42">
            <v>0</v>
          </cell>
          <cell r="S42">
            <v>0</v>
          </cell>
          <cell r="T42">
            <v>0</v>
          </cell>
          <cell r="U42">
            <v>0</v>
          </cell>
          <cell r="V42">
            <v>0</v>
          </cell>
          <cell r="W42">
            <v>0</v>
          </cell>
          <cell r="X42">
            <v>0</v>
          </cell>
          <cell r="Y42">
            <v>0</v>
          </cell>
          <cell r="Z42">
            <v>0</v>
          </cell>
        </row>
        <row r="43">
          <cell r="A43" t="str">
            <v>Earnings (Loss) from Discontinued Ops</v>
          </cell>
          <cell r="B43">
            <v>-849</v>
          </cell>
          <cell r="C43">
            <v>7</v>
          </cell>
          <cell r="D43">
            <v>-54</v>
          </cell>
          <cell r="E43">
            <v>31</v>
          </cell>
          <cell r="F43">
            <v>0</v>
          </cell>
          <cell r="G43">
            <v>0</v>
          </cell>
          <cell r="H43">
            <v>0</v>
          </cell>
          <cell r="I43">
            <v>0</v>
          </cell>
          <cell r="J43">
            <v>0</v>
          </cell>
          <cell r="K43">
            <v>0</v>
          </cell>
          <cell r="L43">
            <v>0</v>
          </cell>
          <cell r="M43">
            <v>0</v>
          </cell>
          <cell r="N43">
            <v>0</v>
          </cell>
          <cell r="Q43">
            <v>-84</v>
          </cell>
          <cell r="R43">
            <v>-2</v>
          </cell>
          <cell r="S43">
            <v>0</v>
          </cell>
          <cell r="T43">
            <v>32</v>
          </cell>
          <cell r="U43">
            <v>0</v>
          </cell>
          <cell r="V43">
            <v>0</v>
          </cell>
          <cell r="W43">
            <v>0</v>
          </cell>
          <cell r="X43">
            <v>0</v>
          </cell>
          <cell r="Y43">
            <v>31</v>
          </cell>
          <cell r="Z43">
            <v>0</v>
          </cell>
          <cell r="AC43" t="str">
            <v>mstag:incomeLossFromDiscontinuedOperationsNetOfTax</v>
          </cell>
          <cell r="AD43">
            <v>6</v>
          </cell>
          <cell r="AE43" t="str">
            <v>ISO4217:USD</v>
          </cell>
          <cell r="AF43" t="b">
            <v>0</v>
          </cell>
          <cell r="AG43" t="b">
            <v>0</v>
          </cell>
        </row>
        <row r="44">
          <cell r="A44" t="str">
            <v>Cumulative Effect of accounting change, net</v>
          </cell>
          <cell r="B44">
            <v>-1508</v>
          </cell>
          <cell r="C44">
            <v>0</v>
          </cell>
          <cell r="D44">
            <v>0</v>
          </cell>
          <cell r="E44">
            <v>0</v>
          </cell>
          <cell r="F44">
            <v>0</v>
          </cell>
          <cell r="G44">
            <v>0</v>
          </cell>
          <cell r="H44">
            <v>0</v>
          </cell>
          <cell r="I44">
            <v>0</v>
          </cell>
          <cell r="J44">
            <v>0</v>
          </cell>
          <cell r="K44">
            <v>0</v>
          </cell>
          <cell r="L44">
            <v>0</v>
          </cell>
          <cell r="M44">
            <v>0</v>
          </cell>
          <cell r="N44">
            <v>0</v>
          </cell>
          <cell r="Q44">
            <v>0</v>
          </cell>
          <cell r="R44">
            <v>0</v>
          </cell>
          <cell r="S44">
            <v>0</v>
          </cell>
          <cell r="T44">
            <v>0</v>
          </cell>
          <cell r="V44">
            <v>0</v>
          </cell>
          <cell r="W44">
            <v>0</v>
          </cell>
          <cell r="X44">
            <v>0</v>
          </cell>
          <cell r="Y44">
            <v>0</v>
          </cell>
          <cell r="Z44">
            <v>0</v>
          </cell>
          <cell r="AC44" t="str">
            <v>mstag:cumulativeEffectOfChangeInAccountingPrincipleNetOfTax</v>
          </cell>
          <cell r="AD44">
            <v>6</v>
          </cell>
          <cell r="AE44" t="str">
            <v>ISO4217:USD</v>
          </cell>
          <cell r="AF44" t="b">
            <v>0</v>
          </cell>
          <cell r="AG44" t="b">
            <v>0</v>
          </cell>
        </row>
        <row r="46">
          <cell r="A46" t="str">
            <v>Net Income</v>
          </cell>
          <cell r="B46">
            <v>-5330</v>
          </cell>
          <cell r="C46">
            <v>-1222</v>
          </cell>
          <cell r="D46">
            <v>46</v>
          </cell>
          <cell r="E46">
            <v>-33</v>
          </cell>
          <cell r="F46">
            <v>467.35646033482067</v>
          </cell>
          <cell r="G46">
            <v>593.44047748649939</v>
          </cell>
          <cell r="H46">
            <v>766.00625968255883</v>
          </cell>
          <cell r="I46">
            <v>916.864674414349</v>
          </cell>
          <cell r="J46">
            <v>1041.6849449133028</v>
          </cell>
          <cell r="K46">
            <v>1154.3589214249926</v>
          </cell>
          <cell r="L46">
            <v>1262.50806668735</v>
          </cell>
          <cell r="M46">
            <v>1365.341056754562</v>
          </cell>
          <cell r="N46">
            <v>1477.9370216174395</v>
          </cell>
          <cell r="Q46">
            <v>-10</v>
          </cell>
          <cell r="R46">
            <v>-314</v>
          </cell>
          <cell r="S46">
            <v>372</v>
          </cell>
          <cell r="T46">
            <v>-2</v>
          </cell>
          <cell r="V46">
            <v>239</v>
          </cell>
          <cell r="W46">
            <v>-126</v>
          </cell>
          <cell r="X46">
            <v>-87</v>
          </cell>
          <cell r="Y46">
            <v>-59</v>
          </cell>
          <cell r="Z46">
            <v>0</v>
          </cell>
        </row>
        <row r="48">
          <cell r="A48" t="str">
            <v>Average Basic Shares Outstanding</v>
          </cell>
          <cell r="B48">
            <v>2590</v>
          </cell>
          <cell r="C48">
            <v>2748</v>
          </cell>
          <cell r="D48">
            <v>2856</v>
          </cell>
          <cell r="E48">
            <v>2795</v>
          </cell>
          <cell r="Q48">
            <v>2903</v>
          </cell>
          <cell r="R48">
            <v>2917</v>
          </cell>
          <cell r="S48">
            <v>2824</v>
          </cell>
          <cell r="T48">
            <v>2780</v>
          </cell>
          <cell r="V48">
            <v>2793</v>
          </cell>
          <cell r="W48">
            <v>2795</v>
          </cell>
          <cell r="X48">
            <v>2796</v>
          </cell>
          <cell r="Y48">
            <v>2796</v>
          </cell>
          <cell r="Z48">
            <v>0</v>
          </cell>
          <cell r="AC48" t="str">
            <v>mstag:averageBasicSharesOutstanding</v>
          </cell>
          <cell r="AD48">
            <v>6</v>
          </cell>
          <cell r="AE48" t="str">
            <v>ms_eqr_gcim_Decimal:ms_eqr_gcim_decimal</v>
          </cell>
          <cell r="AF48" t="b">
            <v>0</v>
          </cell>
          <cell r="AG48" t="b">
            <v>0</v>
          </cell>
        </row>
        <row r="49">
          <cell r="A49" t="str">
            <v>Reported Basic EPS</v>
          </cell>
          <cell r="B49">
            <v>-1.1478764478764478</v>
          </cell>
          <cell r="C49">
            <v>-0.4472343522561863</v>
          </cell>
          <cell r="D49">
            <v>3.5014005602240897E-2</v>
          </cell>
          <cell r="E49">
            <v>-2.2898032200357781E-2</v>
          </cell>
          <cell r="Q49">
            <v>-3.4447123665173958E-3</v>
          </cell>
          <cell r="R49">
            <v>-0.10764484058964689</v>
          </cell>
          <cell r="S49">
            <v>0.13172804532577903</v>
          </cell>
          <cell r="T49">
            <v>-7.1942446043165469E-4</v>
          </cell>
          <cell r="U49">
            <v>1.5094937693057815E-2</v>
          </cell>
          <cell r="V49">
            <v>8.5571070533476554E-2</v>
          </cell>
          <cell r="W49">
            <v>-4.5080500894454381E-2</v>
          </cell>
          <cell r="X49">
            <v>-3.1115879828326181E-2</v>
          </cell>
          <cell r="Y49">
            <v>-2.1101573676680974E-2</v>
          </cell>
          <cell r="Z49">
            <v>-1.9966311233861535E-2</v>
          </cell>
        </row>
        <row r="51">
          <cell r="A51" t="str">
            <v>Average Fully Diluted Shares Outstanding</v>
          </cell>
          <cell r="B51">
            <v>2590</v>
          </cell>
          <cell r="C51">
            <v>2748</v>
          </cell>
          <cell r="D51">
            <v>2856</v>
          </cell>
          <cell r="E51">
            <v>2795</v>
          </cell>
          <cell r="Q51">
            <v>2903</v>
          </cell>
          <cell r="R51">
            <v>2917</v>
          </cell>
          <cell r="S51">
            <v>2824</v>
          </cell>
          <cell r="T51">
            <v>2780</v>
          </cell>
          <cell r="V51">
            <v>2807.6</v>
          </cell>
          <cell r="W51">
            <v>2807.9</v>
          </cell>
          <cell r="X51">
            <v>2808</v>
          </cell>
          <cell r="Y51">
            <v>2796</v>
          </cell>
          <cell r="AC51" t="str">
            <v>mstag:averageDilutedSharesOutstanding</v>
          </cell>
          <cell r="AD51">
            <v>6</v>
          </cell>
          <cell r="AE51" t="str">
            <v>ms_eqr_gcim_Decimal:ms_eqr_gcim_decimal</v>
          </cell>
          <cell r="AF51" t="b">
            <v>0</v>
          </cell>
          <cell r="AG51" t="b">
            <v>0</v>
          </cell>
        </row>
        <row r="52">
          <cell r="A52" t="str">
            <v>Reported Fully Diluted EPS from Continuing Operations</v>
          </cell>
          <cell r="B52">
            <v>-1.1478764478764478</v>
          </cell>
          <cell r="C52">
            <v>-0.4472343522561863</v>
          </cell>
          <cell r="D52">
            <v>3.5014005602240897E-2</v>
          </cell>
          <cell r="E52">
            <v>-2.2898032200357781E-2</v>
          </cell>
          <cell r="Q52">
            <v>-3.4447123665173958E-3</v>
          </cell>
          <cell r="R52">
            <v>-0.10764484058964689</v>
          </cell>
          <cell r="S52">
            <v>0.13172804532577903</v>
          </cell>
          <cell r="T52">
            <v>-7.1942446043165469E-4</v>
          </cell>
          <cell r="U52">
            <v>1.5094937693057815E-2</v>
          </cell>
          <cell r="V52">
            <v>8.5126086337085058E-2</v>
          </cell>
          <cell r="W52">
            <v>-4.4873392927098542E-2</v>
          </cell>
          <cell r="X52">
            <v>-3.0982905982905984E-2</v>
          </cell>
          <cell r="Y52">
            <v>-2.1101573676680974E-2</v>
          </cell>
          <cell r="Z52">
            <v>-1.9940085637957669E-2</v>
          </cell>
        </row>
        <row r="54">
          <cell r="A54" t="str">
            <v>Reported Net Income from Continuing Operations</v>
          </cell>
          <cell r="B54">
            <v>-2973</v>
          </cell>
          <cell r="C54">
            <v>-1229</v>
          </cell>
          <cell r="D54">
            <v>100</v>
          </cell>
          <cell r="E54">
            <v>-64</v>
          </cell>
          <cell r="Q54">
            <v>74</v>
          </cell>
          <cell r="R54">
            <v>-312</v>
          </cell>
          <cell r="S54">
            <v>372</v>
          </cell>
          <cell r="T54">
            <v>-34</v>
          </cell>
          <cell r="V54">
            <v>239</v>
          </cell>
          <cell r="W54">
            <v>-126</v>
          </cell>
          <cell r="X54">
            <v>-87</v>
          </cell>
          <cell r="Y54">
            <v>-90</v>
          </cell>
        </row>
        <row r="55">
          <cell r="A55" t="str">
            <v>Pre-tax (Income)/Loss from Nonrecurring Items</v>
          </cell>
          <cell r="B55">
            <v>4325</v>
          </cell>
          <cell r="C55">
            <v>972</v>
          </cell>
          <cell r="D55">
            <v>-10</v>
          </cell>
          <cell r="E55">
            <v>595</v>
          </cell>
          <cell r="Q55">
            <v>-70</v>
          </cell>
          <cell r="R55">
            <v>494</v>
          </cell>
          <cell r="S55">
            <v>-591</v>
          </cell>
          <cell r="T55">
            <v>199</v>
          </cell>
          <cell r="V55">
            <v>-382</v>
          </cell>
          <cell r="W55">
            <v>295</v>
          </cell>
          <cell r="X55">
            <v>405</v>
          </cell>
          <cell r="Y55">
            <v>277</v>
          </cell>
        </row>
        <row r="56">
          <cell r="A56" t="str">
            <v>Amortization of Intangible Assets</v>
          </cell>
          <cell r="B56">
            <v>174</v>
          </cell>
          <cell r="C56">
            <v>267</v>
          </cell>
          <cell r="D56">
            <v>486</v>
          </cell>
          <cell r="E56">
            <v>477</v>
          </cell>
          <cell r="Q56">
            <v>121.5</v>
          </cell>
          <cell r="R56">
            <v>121.5</v>
          </cell>
          <cell r="S56">
            <v>121.5</v>
          </cell>
          <cell r="T56">
            <v>121.5</v>
          </cell>
          <cell r="V56">
            <v>119.25</v>
          </cell>
          <cell r="W56">
            <v>119.25</v>
          </cell>
          <cell r="X56">
            <v>119.25</v>
          </cell>
          <cell r="Y56">
            <v>119.25</v>
          </cell>
          <cell r="Z56">
            <v>0</v>
          </cell>
        </row>
        <row r="57">
          <cell r="A57" t="str">
            <v>Marginal Taxes/(Benefit) Related to Nonrecurring Items and Amort.</v>
          </cell>
          <cell r="B57">
            <v>-1799.6000000000001</v>
          </cell>
          <cell r="C57">
            <v>-495.6</v>
          </cell>
          <cell r="D57">
            <v>-190.4</v>
          </cell>
          <cell r="E57">
            <v>-428.8</v>
          </cell>
          <cell r="Q57">
            <v>-20.6</v>
          </cell>
          <cell r="R57">
            <v>-246.20000000000002</v>
          </cell>
          <cell r="S57">
            <v>187.8</v>
          </cell>
          <cell r="T57">
            <v>-128.20000000000002</v>
          </cell>
          <cell r="V57">
            <v>105.10000000000001</v>
          </cell>
          <cell r="W57">
            <v>-165.70000000000002</v>
          </cell>
          <cell r="X57">
            <v>-209.70000000000002</v>
          </cell>
          <cell r="Y57">
            <v>-158.5</v>
          </cell>
        </row>
        <row r="58">
          <cell r="A58" t="str">
            <v>Fully Diluted Adjusted Income from Continuing Operations</v>
          </cell>
          <cell r="B58">
            <v>-273.60000000000014</v>
          </cell>
          <cell r="C58">
            <v>-485.6</v>
          </cell>
          <cell r="D58">
            <v>385.6</v>
          </cell>
          <cell r="E58">
            <v>579.20000000000005</v>
          </cell>
          <cell r="Q58">
            <v>104.9</v>
          </cell>
          <cell r="R58">
            <v>57.299999999999983</v>
          </cell>
          <cell r="S58">
            <v>90.300000000000011</v>
          </cell>
          <cell r="T58">
            <v>158.29999999999998</v>
          </cell>
          <cell r="V58">
            <v>81.350000000000009</v>
          </cell>
          <cell r="W58">
            <v>122.54999999999998</v>
          </cell>
          <cell r="X58">
            <v>227.54999999999998</v>
          </cell>
          <cell r="Y58">
            <v>147.75</v>
          </cell>
        </row>
        <row r="59">
          <cell r="A59" t="str">
            <v>Fully Diluted Adjusted EPS from Continuing Operations</v>
          </cell>
          <cell r="B59">
            <v>-0.10506912442396318</v>
          </cell>
          <cell r="C59">
            <v>-0.17581462708182477</v>
          </cell>
          <cell r="D59">
            <v>0.13435540069686411</v>
          </cell>
          <cell r="E59">
            <v>0.20590117312477782</v>
          </cell>
          <cell r="Q59">
            <v>3.5961604388069938E-2</v>
          </cell>
          <cell r="R59">
            <v>1.9549641760491294E-2</v>
          </cell>
          <cell r="S59">
            <v>3.1818181818181822E-2</v>
          </cell>
          <cell r="T59">
            <v>5.6657122405153894E-2</v>
          </cell>
          <cell r="V59">
            <v>2.8939879046602637E-2</v>
          </cell>
          <cell r="W59">
            <v>4.3565588339850685E-2</v>
          </cell>
          <cell r="X59">
            <v>8.086353944562899E-2</v>
          </cell>
          <cell r="Y59">
            <v>5.2505330490405115E-2</v>
          </cell>
        </row>
        <row r="60">
          <cell r="A60" t="str">
            <v>Adjusted Fully Diluted Average Shares Outstanding</v>
          </cell>
          <cell r="B60">
            <v>2604</v>
          </cell>
          <cell r="C60">
            <v>2762</v>
          </cell>
          <cell r="D60">
            <v>2870</v>
          </cell>
          <cell r="E60">
            <v>2813</v>
          </cell>
          <cell r="Q60">
            <v>2917</v>
          </cell>
          <cell r="R60">
            <v>2931</v>
          </cell>
          <cell r="S60">
            <v>2838</v>
          </cell>
          <cell r="T60">
            <v>2794</v>
          </cell>
          <cell r="U60">
            <v>-8610</v>
          </cell>
          <cell r="V60">
            <v>2811</v>
          </cell>
          <cell r="W60">
            <v>2813</v>
          </cell>
          <cell r="X60">
            <v>2814</v>
          </cell>
          <cell r="Y60">
            <v>2814</v>
          </cell>
          <cell r="Z60">
            <v>0</v>
          </cell>
        </row>
        <row r="62">
          <cell r="A62" t="str">
            <v>SHARES OUTSTANDING</v>
          </cell>
        </row>
        <row r="63">
          <cell r="A63" t="str">
            <v>Beginning Class A Shares Outstanding</v>
          </cell>
          <cell r="C63">
            <v>2476.9535660000001</v>
          </cell>
          <cell r="D63">
            <v>2669.8351659999998</v>
          </cell>
          <cell r="E63">
            <v>2678.8951499999998</v>
          </cell>
        </row>
        <row r="64">
          <cell r="A64" t="str">
            <v>Options Exercised</v>
          </cell>
          <cell r="C64">
            <v>0.32300000000000001</v>
          </cell>
          <cell r="D64">
            <v>2.06</v>
          </cell>
          <cell r="E64">
            <v>14.249000000000001</v>
          </cell>
        </row>
        <row r="65">
          <cell r="A65" t="str">
            <v>Shares Issued/(Repurchased)</v>
          </cell>
          <cell r="C65">
            <v>175.39999999999998</v>
          </cell>
          <cell r="D65">
            <v>-14.899999999999991</v>
          </cell>
          <cell r="E65">
            <v>0</v>
          </cell>
        </row>
        <row r="66">
          <cell r="A66" t="str">
            <v>Other</v>
          </cell>
          <cell r="C66">
            <v>17.158599999999751</v>
          </cell>
          <cell r="D66">
            <v>21.899984000000131</v>
          </cell>
          <cell r="E66">
            <v>-11.398164999999608</v>
          </cell>
        </row>
        <row r="67">
          <cell r="A67" t="str">
            <v>Ending Class A Shares Outstanding</v>
          </cell>
          <cell r="B67">
            <v>2476.9535660000001</v>
          </cell>
          <cell r="C67">
            <v>2669.8351659999998</v>
          </cell>
          <cell r="D67">
            <v>2678.8951499999998</v>
          </cell>
          <cell r="E67">
            <v>2681.745985</v>
          </cell>
        </row>
        <row r="68">
          <cell r="A68" t="str">
            <v>Average Class A Shares Outstanding</v>
          </cell>
          <cell r="C68">
            <v>2533.3781785000001</v>
          </cell>
          <cell r="D68">
            <v>2681.8688299999999</v>
          </cell>
          <cell r="E68">
            <v>2663.937175</v>
          </cell>
        </row>
        <row r="70">
          <cell r="A70" t="str">
            <v>Beginning Class B Shares Outstanding</v>
          </cell>
          <cell r="C70">
            <v>212.044128</v>
          </cell>
          <cell r="D70">
            <v>217.19951499999999</v>
          </cell>
          <cell r="E70">
            <v>131.062825</v>
          </cell>
        </row>
        <row r="71">
          <cell r="A71" t="str">
            <v>Options Exercised</v>
          </cell>
          <cell r="C71">
            <v>0</v>
          </cell>
          <cell r="D71">
            <v>0</v>
          </cell>
          <cell r="E71">
            <v>0</v>
          </cell>
        </row>
        <row r="72">
          <cell r="A72" t="str">
            <v>Shares Issued/(Repurchased)</v>
          </cell>
          <cell r="C72">
            <v>0</v>
          </cell>
          <cell r="D72">
            <v>-96</v>
          </cell>
          <cell r="E72">
            <v>0</v>
          </cell>
        </row>
        <row r="73">
          <cell r="A73" t="str">
            <v>Other</v>
          </cell>
          <cell r="C73">
            <v>5.1553869999999904</v>
          </cell>
          <cell r="D73">
            <v>9.8633100000000127</v>
          </cell>
          <cell r="E73">
            <v>0</v>
          </cell>
        </row>
        <row r="74">
          <cell r="A74" t="str">
            <v>Ending Class B Shares Outstanding</v>
          </cell>
          <cell r="B74">
            <v>212.044128</v>
          </cell>
          <cell r="C74">
            <v>217.19951499999999</v>
          </cell>
          <cell r="D74">
            <v>131.062825</v>
          </cell>
          <cell r="E74">
            <v>131.062825</v>
          </cell>
        </row>
        <row r="75">
          <cell r="A75" t="str">
            <v>Average Class A Shares Outstanding</v>
          </cell>
          <cell r="C75">
            <v>214.62182150000001</v>
          </cell>
          <cell r="D75">
            <v>174.13117</v>
          </cell>
          <cell r="E75">
            <v>131.062825</v>
          </cell>
        </row>
        <row r="77">
          <cell r="A77" t="str">
            <v>Average Basic Shares, Class A and Class B</v>
          </cell>
          <cell r="B77">
            <v>2590</v>
          </cell>
          <cell r="C77">
            <v>2748</v>
          </cell>
          <cell r="D77">
            <v>2856</v>
          </cell>
          <cell r="E77">
            <v>2795</v>
          </cell>
          <cell r="Q77">
            <v>2903</v>
          </cell>
          <cell r="R77">
            <v>2917</v>
          </cell>
          <cell r="S77">
            <v>2824</v>
          </cell>
          <cell r="T77">
            <v>2780</v>
          </cell>
          <cell r="V77">
            <v>2793</v>
          </cell>
          <cell r="W77">
            <v>2795</v>
          </cell>
          <cell r="X77">
            <v>2796</v>
          </cell>
          <cell r="Y77">
            <v>2796</v>
          </cell>
        </row>
        <row r="78">
          <cell r="A78" t="str">
            <v>Average Unvested Restricted Shares</v>
          </cell>
          <cell r="B78">
            <v>0</v>
          </cell>
          <cell r="C78">
            <v>0</v>
          </cell>
          <cell r="D78">
            <v>0</v>
          </cell>
          <cell r="E78">
            <v>0</v>
          </cell>
          <cell r="Q78">
            <v>0</v>
          </cell>
          <cell r="R78">
            <v>0</v>
          </cell>
          <cell r="S78">
            <v>0</v>
          </cell>
          <cell r="T78">
            <v>0</v>
          </cell>
          <cell r="V78">
            <v>0</v>
          </cell>
          <cell r="W78">
            <v>0</v>
          </cell>
          <cell r="X78">
            <v>0</v>
          </cell>
          <cell r="Y78">
            <v>0</v>
          </cell>
        </row>
        <row r="79">
          <cell r="A79" t="str">
            <v>Average Unvested Restricted Share Units (RSUs)</v>
          </cell>
          <cell r="B79">
            <v>0</v>
          </cell>
          <cell r="C79">
            <v>0</v>
          </cell>
          <cell r="D79">
            <v>0</v>
          </cell>
          <cell r="E79">
            <v>0</v>
          </cell>
          <cell r="Q79">
            <v>0</v>
          </cell>
          <cell r="R79">
            <v>0</v>
          </cell>
          <cell r="S79">
            <v>0</v>
          </cell>
          <cell r="T79">
            <v>0</v>
          </cell>
          <cell r="V79">
            <v>0</v>
          </cell>
          <cell r="W79">
            <v>0</v>
          </cell>
          <cell r="X79">
            <v>0</v>
          </cell>
          <cell r="Y79">
            <v>0</v>
          </cell>
        </row>
        <row r="80">
          <cell r="A80" t="str">
            <v>Phantom Shares</v>
          </cell>
          <cell r="B80">
            <v>0</v>
          </cell>
          <cell r="C80">
            <v>0</v>
          </cell>
          <cell r="D80">
            <v>0</v>
          </cell>
          <cell r="E80">
            <v>0</v>
          </cell>
          <cell r="Q80">
            <v>0</v>
          </cell>
          <cell r="R80">
            <v>0</v>
          </cell>
          <cell r="S80">
            <v>0</v>
          </cell>
          <cell r="T80">
            <v>0</v>
          </cell>
          <cell r="V80">
            <v>0</v>
          </cell>
          <cell r="W80">
            <v>0</v>
          </cell>
          <cell r="X80">
            <v>0</v>
          </cell>
          <cell r="Y80">
            <v>0</v>
          </cell>
        </row>
        <row r="81">
          <cell r="A81" t="str">
            <v>Net Dilutive Effect of Options (Treasury Stock Method)</v>
          </cell>
          <cell r="B81">
            <v>14</v>
          </cell>
          <cell r="C81">
            <v>14</v>
          </cell>
          <cell r="D81">
            <v>14</v>
          </cell>
          <cell r="E81">
            <v>18</v>
          </cell>
          <cell r="Q81">
            <v>14</v>
          </cell>
          <cell r="R81">
            <v>14</v>
          </cell>
          <cell r="S81">
            <v>14</v>
          </cell>
          <cell r="T81">
            <v>14</v>
          </cell>
          <cell r="V81">
            <v>18</v>
          </cell>
          <cell r="W81">
            <v>18</v>
          </cell>
          <cell r="X81">
            <v>18</v>
          </cell>
          <cell r="Y81">
            <v>18</v>
          </cell>
        </row>
        <row r="82">
          <cell r="A82" t="str">
            <v>Average Fully Diluted Shares Outstanding for EPS</v>
          </cell>
          <cell r="B82">
            <v>2604</v>
          </cell>
          <cell r="C82">
            <v>2762</v>
          </cell>
          <cell r="D82">
            <v>2870</v>
          </cell>
          <cell r="E82">
            <v>2813</v>
          </cell>
          <cell r="Q82">
            <v>2917</v>
          </cell>
          <cell r="R82">
            <v>2931</v>
          </cell>
          <cell r="S82">
            <v>2838</v>
          </cell>
          <cell r="T82">
            <v>2794</v>
          </cell>
          <cell r="V82">
            <v>2811</v>
          </cell>
          <cell r="W82">
            <v>2813</v>
          </cell>
          <cell r="X82">
            <v>2814</v>
          </cell>
          <cell r="Y82">
            <v>2814</v>
          </cell>
        </row>
        <row r="83">
          <cell r="A83" t="str">
            <v>Other</v>
          </cell>
          <cell r="B83">
            <v>0</v>
          </cell>
          <cell r="C83">
            <v>0</v>
          </cell>
          <cell r="D83">
            <v>0</v>
          </cell>
          <cell r="E83">
            <v>0</v>
          </cell>
          <cell r="Q83">
            <v>0</v>
          </cell>
          <cell r="R83">
            <v>0</v>
          </cell>
          <cell r="S83">
            <v>0</v>
          </cell>
          <cell r="T83">
            <v>0</v>
          </cell>
          <cell r="V83">
            <v>0</v>
          </cell>
          <cell r="W83">
            <v>0</v>
          </cell>
          <cell r="X83">
            <v>0</v>
          </cell>
          <cell r="Y83">
            <v>0</v>
          </cell>
        </row>
        <row r="84">
          <cell r="A84" t="str">
            <v>Fully Diluted Shares Modelware</v>
          </cell>
          <cell r="B84">
            <v>2604</v>
          </cell>
          <cell r="C84">
            <v>2762</v>
          </cell>
          <cell r="D84">
            <v>2870</v>
          </cell>
          <cell r="E84">
            <v>2813</v>
          </cell>
          <cell r="Q84">
            <v>2917</v>
          </cell>
          <cell r="R84">
            <v>2931</v>
          </cell>
          <cell r="S84">
            <v>2838</v>
          </cell>
          <cell r="T84">
            <v>2794</v>
          </cell>
          <cell r="V84">
            <v>2811</v>
          </cell>
          <cell r="W84">
            <v>2813</v>
          </cell>
          <cell r="X84">
            <v>2814</v>
          </cell>
          <cell r="Y84">
            <v>2814</v>
          </cell>
        </row>
        <row r="86">
          <cell r="A86" t="str">
            <v>Options, Class A Shares</v>
          </cell>
        </row>
        <row r="87">
          <cell r="A87" t="str">
            <v>Options Outstanding - Beginning of Period</v>
          </cell>
          <cell r="B87">
            <v>47.658999999999999</v>
          </cell>
          <cell r="C87">
            <v>48.661000000000001</v>
          </cell>
          <cell r="D87">
            <v>55.094000000000001</v>
          </cell>
          <cell r="E87">
            <v>55.975999999999999</v>
          </cell>
        </row>
        <row r="89">
          <cell r="A89" t="str">
            <v>Options Granted</v>
          </cell>
          <cell r="B89">
            <v>2.4850000000000003</v>
          </cell>
          <cell r="C89">
            <v>7.375</v>
          </cell>
          <cell r="D89">
            <v>8.3990000000000009</v>
          </cell>
          <cell r="E89">
            <v>13.334</v>
          </cell>
        </row>
        <row r="90">
          <cell r="A90" t="str">
            <v>% of Options Outstanding - Beginning of Period</v>
          </cell>
          <cell r="B90">
            <v>5.2141253488323304E-2</v>
          </cell>
          <cell r="C90">
            <v>0.15155874314132467</v>
          </cell>
          <cell r="D90">
            <v>0.15244854249101536</v>
          </cell>
          <cell r="E90">
            <v>0.23820923252822637</v>
          </cell>
        </row>
        <row r="92">
          <cell r="A92" t="str">
            <v>Options Exercised</v>
          </cell>
          <cell r="B92">
            <v>-0.48799999999999999</v>
          </cell>
          <cell r="C92">
            <v>-0.32300000000000001</v>
          </cell>
          <cell r="D92">
            <v>-2.06</v>
          </cell>
          <cell r="E92">
            <v>-14.249000000000001</v>
          </cell>
        </row>
        <row r="93">
          <cell r="A93" t="str">
            <v>% of Options Outstanding - Beginning of Period</v>
          </cell>
          <cell r="B93">
            <v>-1.0239409135735119E-2</v>
          </cell>
          <cell r="C93">
            <v>-6.6377591911386943E-3</v>
          </cell>
          <cell r="D93">
            <v>-3.7390641449159621E-2</v>
          </cell>
          <cell r="E93">
            <v>-0.25455552379591256</v>
          </cell>
        </row>
        <row r="95">
          <cell r="A95" t="str">
            <v>Options Cancelled</v>
          </cell>
          <cell r="B95">
            <v>-0.995</v>
          </cell>
          <cell r="C95">
            <v>-0.61899999999999999</v>
          </cell>
          <cell r="D95">
            <v>-5.4569999999999999</v>
          </cell>
          <cell r="E95">
            <v>-3.3319999999999999</v>
          </cell>
        </row>
        <row r="96">
          <cell r="A96" t="str">
            <v>% of Options Outstanding - Beginning of Period</v>
          </cell>
          <cell r="B96">
            <v>-2.0877483791099268E-2</v>
          </cell>
          <cell r="C96">
            <v>-1.2720659254844741E-2</v>
          </cell>
          <cell r="D96">
            <v>-9.9048898246633016E-2</v>
          </cell>
          <cell r="E96">
            <v>-5.9525510933257107E-2</v>
          </cell>
        </row>
        <row r="98">
          <cell r="A98" t="str">
            <v>Options Outstanding - End of Period</v>
          </cell>
          <cell r="B98">
            <v>48.661000000000001</v>
          </cell>
          <cell r="C98">
            <v>55.094000000000001</v>
          </cell>
          <cell r="D98">
            <v>55.975999999999999</v>
          </cell>
          <cell r="E98">
            <v>51.728999999999999</v>
          </cell>
        </row>
        <row r="100">
          <cell r="A100" t="str">
            <v>Options, Class B Shares</v>
          </cell>
        </row>
        <row r="101">
          <cell r="A101" t="str">
            <v>Options Outstanding - Beginning of Period</v>
          </cell>
          <cell r="B101">
            <v>27.462</v>
          </cell>
          <cell r="C101">
            <v>28.164999999999999</v>
          </cell>
          <cell r="D101">
            <v>28.164999999999999</v>
          </cell>
          <cell r="E101">
            <v>28.164999999999999</v>
          </cell>
        </row>
        <row r="103">
          <cell r="A103" t="str">
            <v>Options Granted</v>
          </cell>
          <cell r="B103">
            <v>0.70299999999999996</v>
          </cell>
          <cell r="C103">
            <v>0</v>
          </cell>
          <cell r="D103">
            <v>0</v>
          </cell>
          <cell r="E103">
            <v>1.8</v>
          </cell>
        </row>
        <row r="104">
          <cell r="A104" t="str">
            <v>% of Options Outstanding - Beginning of Period</v>
          </cell>
          <cell r="B104">
            <v>2.5599009540455901E-2</v>
          </cell>
          <cell r="C104">
            <v>0</v>
          </cell>
          <cell r="D104">
            <v>0</v>
          </cell>
          <cell r="E104">
            <v>0</v>
          </cell>
        </row>
        <row r="106">
          <cell r="A106" t="str">
            <v>Options Exercised</v>
          </cell>
          <cell r="B106">
            <v>0</v>
          </cell>
          <cell r="C106">
            <v>0</v>
          </cell>
          <cell r="D106">
            <v>0</v>
          </cell>
          <cell r="E106">
            <v>0</v>
          </cell>
        </row>
        <row r="107">
          <cell r="A107" t="str">
            <v>% of Options Outstanding - Beginning of Period</v>
          </cell>
          <cell r="B107">
            <v>0</v>
          </cell>
          <cell r="C107">
            <v>0</v>
          </cell>
          <cell r="D107">
            <v>0</v>
          </cell>
          <cell r="E107">
            <v>0</v>
          </cell>
        </row>
        <row r="109">
          <cell r="A109" t="str">
            <v>Options Cancelled</v>
          </cell>
          <cell r="B109">
            <v>0</v>
          </cell>
          <cell r="C109">
            <v>0</v>
          </cell>
          <cell r="D109">
            <v>0</v>
          </cell>
          <cell r="E109">
            <v>0</v>
          </cell>
        </row>
        <row r="110">
          <cell r="A110" t="str">
            <v>% of Options Outstanding - Beginning of Period</v>
          </cell>
          <cell r="B110">
            <v>0</v>
          </cell>
          <cell r="C110">
            <v>0</v>
          </cell>
          <cell r="D110">
            <v>0</v>
          </cell>
          <cell r="E110">
            <v>0</v>
          </cell>
        </row>
        <row r="112">
          <cell r="A112" t="str">
            <v>Options Outstanding - End of Period</v>
          </cell>
          <cell r="B112">
            <v>28.164999999999999</v>
          </cell>
          <cell r="C112">
            <v>28.164999999999999</v>
          </cell>
          <cell r="D112">
            <v>28.164999999999999</v>
          </cell>
          <cell r="E112">
            <v>29.965</v>
          </cell>
        </row>
        <row r="115">
          <cell r="A115" t="str">
            <v>Dividends on Common Stock</v>
          </cell>
          <cell r="B115">
            <v>0</v>
          </cell>
          <cell r="C115">
            <v>0</v>
          </cell>
          <cell r="D115">
            <v>0</v>
          </cell>
          <cell r="E115">
            <v>0</v>
          </cell>
        </row>
        <row r="116">
          <cell r="A116" t="str">
            <v>Period-End Basic Shares</v>
          </cell>
          <cell r="B116">
            <v>2688.9976940000001</v>
          </cell>
          <cell r="C116">
            <v>2887.0346809999996</v>
          </cell>
          <cell r="D116">
            <v>2809.9579749999998</v>
          </cell>
          <cell r="E116">
            <v>2812.80881</v>
          </cell>
        </row>
        <row r="117">
          <cell r="A117" t="str">
            <v>Dividends per Share</v>
          </cell>
          <cell r="B117">
            <v>0</v>
          </cell>
          <cell r="C117">
            <v>0</v>
          </cell>
          <cell r="D117">
            <v>0</v>
          </cell>
          <cell r="E117">
            <v>0</v>
          </cell>
        </row>
        <row r="119">
          <cell r="A119" t="str">
            <v>Gross Shares Repurchased - #</v>
          </cell>
          <cell r="B119">
            <v>25.7</v>
          </cell>
          <cell r="C119">
            <v>42.3</v>
          </cell>
          <cell r="D119">
            <v>120.3</v>
          </cell>
          <cell r="E119">
            <v>0</v>
          </cell>
        </row>
        <row r="120">
          <cell r="A120" t="str">
            <v>Gross Shares Repurchased - $</v>
          </cell>
          <cell r="B120">
            <v>281</v>
          </cell>
          <cell r="C120">
            <v>437</v>
          </cell>
          <cell r="D120">
            <v>1017</v>
          </cell>
          <cell r="E120">
            <v>0</v>
          </cell>
        </row>
        <row r="121">
          <cell r="A121" t="str">
            <v>Average Price</v>
          </cell>
          <cell r="B121">
            <v>10.933852140077821</v>
          </cell>
          <cell r="C121">
            <v>10.33096926713948</v>
          </cell>
          <cell r="D121">
            <v>8.4538653366583549</v>
          </cell>
        </row>
        <row r="124">
          <cell r="A124" t="str">
            <v>Balance Sheet Forecasts</v>
          </cell>
        </row>
        <row r="125">
          <cell r="A125" t="str">
            <v>($ in Millions)</v>
          </cell>
          <cell r="AL125" t="str">
            <v>As of 3/31/05</v>
          </cell>
        </row>
        <row r="126">
          <cell r="B126">
            <v>2002</v>
          </cell>
          <cell r="C126">
            <v>2003</v>
          </cell>
          <cell r="D126">
            <v>2004</v>
          </cell>
          <cell r="E126">
            <v>2005</v>
          </cell>
          <cell r="F126" t="str">
            <v>2006E</v>
          </cell>
          <cell r="G126" t="str">
            <v>2007E</v>
          </cell>
          <cell r="H126" t="str">
            <v>2008E</v>
          </cell>
          <cell r="I126" t="str">
            <v>2009E</v>
          </cell>
          <cell r="J126" t="str">
            <v>2010E</v>
          </cell>
          <cell r="K126" t="str">
            <v>2011E</v>
          </cell>
          <cell r="L126" t="str">
            <v>2012E</v>
          </cell>
          <cell r="M126" t="str">
            <v>2013E</v>
          </cell>
          <cell r="N126" t="str">
            <v>2014E</v>
          </cell>
          <cell r="AL126" t="str">
            <v>LMG</v>
          </cell>
          <cell r="AM126" t="str">
            <v>DHC</v>
          </cell>
          <cell r="AN126" t="str">
            <v>LMG PF</v>
          </cell>
          <cell r="AP126" t="str">
            <v>DHC</v>
          </cell>
        </row>
        <row r="127">
          <cell r="A127" t="str">
            <v>Cash and Cash Equivalents</v>
          </cell>
          <cell r="B127">
            <v>2164</v>
          </cell>
          <cell r="C127">
            <v>2966</v>
          </cell>
          <cell r="D127">
            <v>1387</v>
          </cell>
          <cell r="E127">
            <v>1946</v>
          </cell>
          <cell r="F127">
            <v>2512.8671892037319</v>
          </cell>
          <cell r="G127">
            <v>3266.4240334395136</v>
          </cell>
          <cell r="H127">
            <v>4100.8467843157459</v>
          </cell>
          <cell r="I127">
            <v>5022.5996296448957</v>
          </cell>
          <cell r="J127">
            <v>6047.9256225833005</v>
          </cell>
          <cell r="K127">
            <v>7170.7383727652923</v>
          </cell>
          <cell r="L127">
            <v>8390.0157539436605</v>
          </cell>
          <cell r="M127">
            <v>9697.8434392239615</v>
          </cell>
          <cell r="N127">
            <v>11099.681306552984</v>
          </cell>
          <cell r="AC127" t="str">
            <v>mstag:cashAndCashEquivalents</v>
          </cell>
          <cell r="AD127">
            <v>6</v>
          </cell>
          <cell r="AE127" t="str">
            <v>ISO4217:USD</v>
          </cell>
          <cell r="AF127" t="b">
            <v>0</v>
          </cell>
          <cell r="AG127" t="b">
            <v>0</v>
          </cell>
          <cell r="AL127">
            <v>1347</v>
          </cell>
          <cell r="AM127">
            <v>15</v>
          </cell>
          <cell r="AN127">
            <v>1332</v>
          </cell>
          <cell r="AP127">
            <v>15</v>
          </cell>
        </row>
        <row r="128">
          <cell r="A128" t="str">
            <v>Accounts Receivable</v>
          </cell>
          <cell r="B128">
            <v>348</v>
          </cell>
          <cell r="C128">
            <v>946</v>
          </cell>
          <cell r="D128">
            <v>1035</v>
          </cell>
          <cell r="E128">
            <v>1106</v>
          </cell>
          <cell r="F128">
            <v>1206.5310845573474</v>
          </cell>
          <cell r="G128">
            <v>1302.9446088459449</v>
          </cell>
          <cell r="H128">
            <v>1402.3378312267705</v>
          </cell>
          <cell r="I128">
            <v>1500.5324335584382</v>
          </cell>
          <cell r="J128">
            <v>1598.2530739445465</v>
          </cell>
          <cell r="K128">
            <v>1698.8631676580073</v>
          </cell>
          <cell r="L128">
            <v>1795.7776725853996</v>
          </cell>
          <cell r="M128">
            <v>1894.8252233433304</v>
          </cell>
          <cell r="N128">
            <v>1997.704589568606</v>
          </cell>
          <cell r="AC128" t="str">
            <v>mstag:tradeReceivables</v>
          </cell>
          <cell r="AD128">
            <v>6</v>
          </cell>
          <cell r="AE128" t="str">
            <v>ISO4217:USD</v>
          </cell>
          <cell r="AF128" t="b">
            <v>0</v>
          </cell>
          <cell r="AG128" t="b">
            <v>0</v>
          </cell>
          <cell r="AL128">
            <v>1035</v>
          </cell>
          <cell r="AM128">
            <v>157</v>
          </cell>
          <cell r="AN128">
            <v>878</v>
          </cell>
          <cell r="AP128">
            <v>157</v>
          </cell>
        </row>
        <row r="129">
          <cell r="A129" t="str">
            <v>Inventory, Net</v>
          </cell>
          <cell r="C129">
            <v>588</v>
          </cell>
          <cell r="D129">
            <v>712</v>
          </cell>
          <cell r="E129">
            <v>719</v>
          </cell>
          <cell r="F129">
            <v>804.27076192816992</v>
          </cell>
          <cell r="G129">
            <v>874.71127408214818</v>
          </cell>
          <cell r="H129">
            <v>949.23798950277978</v>
          </cell>
          <cell r="I129">
            <v>1024.047473290653</v>
          </cell>
          <cell r="J129">
            <v>1098.9938476387269</v>
          </cell>
          <cell r="K129">
            <v>1173.6113414226711</v>
          </cell>
          <cell r="L129">
            <v>1244.5393495731003</v>
          </cell>
          <cell r="M129">
            <v>1316.7620638666936</v>
          </cell>
          <cell r="N129">
            <v>1391.715022845118</v>
          </cell>
        </row>
        <row r="130">
          <cell r="A130" t="str">
            <v>Current Deferred Taxes</v>
          </cell>
          <cell r="C130">
            <v>0</v>
          </cell>
          <cell r="D130">
            <v>116</v>
          </cell>
          <cell r="E130">
            <v>169</v>
          </cell>
          <cell r="F130">
            <v>169</v>
          </cell>
          <cell r="G130">
            <v>169</v>
          </cell>
          <cell r="H130">
            <v>169</v>
          </cell>
          <cell r="I130">
            <v>169</v>
          </cell>
          <cell r="J130">
            <v>169</v>
          </cell>
          <cell r="K130">
            <v>169</v>
          </cell>
          <cell r="L130">
            <v>169</v>
          </cell>
          <cell r="M130">
            <v>169</v>
          </cell>
          <cell r="N130">
            <v>169</v>
          </cell>
        </row>
        <row r="131">
          <cell r="A131" t="str">
            <v>Current Deferred Taxes - Eliminations</v>
          </cell>
          <cell r="C131">
            <v>0</v>
          </cell>
          <cell r="D131">
            <v>-88</v>
          </cell>
          <cell r="E131">
            <v>-136</v>
          </cell>
          <cell r="F131">
            <v>-136</v>
          </cell>
          <cell r="G131">
            <v>-136</v>
          </cell>
          <cell r="H131">
            <v>-136</v>
          </cell>
          <cell r="I131">
            <v>-136</v>
          </cell>
          <cell r="J131">
            <v>-136</v>
          </cell>
          <cell r="K131">
            <v>-136</v>
          </cell>
          <cell r="L131">
            <v>-136</v>
          </cell>
          <cell r="M131">
            <v>-136</v>
          </cell>
          <cell r="N131">
            <v>-136</v>
          </cell>
        </row>
        <row r="132">
          <cell r="A132" t="str">
            <v>Derivative Instruments</v>
          </cell>
          <cell r="B132">
            <v>107</v>
          </cell>
          <cell r="C132">
            <v>543</v>
          </cell>
          <cell r="D132">
            <v>827</v>
          </cell>
          <cell r="E132">
            <v>661</v>
          </cell>
          <cell r="F132">
            <v>644</v>
          </cell>
          <cell r="G132">
            <v>644</v>
          </cell>
          <cell r="H132">
            <v>644</v>
          </cell>
          <cell r="I132">
            <v>644</v>
          </cell>
          <cell r="J132">
            <v>644</v>
          </cell>
          <cell r="K132">
            <v>644</v>
          </cell>
          <cell r="L132">
            <v>644</v>
          </cell>
          <cell r="M132">
            <v>644</v>
          </cell>
          <cell r="N132">
            <v>644</v>
          </cell>
          <cell r="AC132" t="str">
            <v>mstag:otherAssetsNonOperating</v>
          </cell>
          <cell r="AD132">
            <v>6</v>
          </cell>
          <cell r="AE132" t="str">
            <v>ISO4217:USD</v>
          </cell>
          <cell r="AF132" t="b">
            <v>0</v>
          </cell>
          <cell r="AG132" t="b">
            <v>0</v>
          </cell>
          <cell r="AL132">
            <v>827</v>
          </cell>
          <cell r="AM132">
            <v>0</v>
          </cell>
          <cell r="AN132">
            <v>827</v>
          </cell>
          <cell r="AP132">
            <v>0</v>
          </cell>
        </row>
        <row r="133">
          <cell r="A133" t="str">
            <v>Other, net</v>
          </cell>
          <cell r="B133">
            <v>1860</v>
          </cell>
          <cell r="C133">
            <v>811</v>
          </cell>
          <cell r="D133">
            <v>615</v>
          </cell>
          <cell r="E133">
            <v>695</v>
          </cell>
          <cell r="F133">
            <v>710.0528556411349</v>
          </cell>
          <cell r="G133">
            <v>749.31971721095681</v>
          </cell>
          <cell r="H133">
            <v>784.39461270028994</v>
          </cell>
          <cell r="I133">
            <v>815.70132281131123</v>
          </cell>
          <cell r="J133">
            <v>845.44700430805244</v>
          </cell>
          <cell r="K133">
            <v>883.27765464193544</v>
          </cell>
          <cell r="L133">
            <v>922.40462161125151</v>
          </cell>
          <cell r="M133">
            <v>963.14697744124612</v>
          </cell>
          <cell r="N133">
            <v>1005.6461773358585</v>
          </cell>
          <cell r="AC133" t="str">
            <v>mstag:otherAssetsOperatingCurrent</v>
          </cell>
          <cell r="AD133">
            <v>6</v>
          </cell>
          <cell r="AE133" t="str">
            <v>ISO4217:USD</v>
          </cell>
          <cell r="AF133" t="b">
            <v>0</v>
          </cell>
          <cell r="AG133" t="b">
            <v>0</v>
          </cell>
          <cell r="AL133">
            <v>1887</v>
          </cell>
          <cell r="AM133">
            <v>20</v>
          </cell>
          <cell r="AN133">
            <v>1867</v>
          </cell>
          <cell r="AP133">
            <v>20</v>
          </cell>
        </row>
        <row r="134">
          <cell r="A134" t="str">
            <v>Total Current Assets</v>
          </cell>
          <cell r="B134">
            <v>4479</v>
          </cell>
          <cell r="C134">
            <v>5854</v>
          </cell>
          <cell r="D134">
            <v>4604</v>
          </cell>
          <cell r="E134">
            <v>5160</v>
          </cell>
          <cell r="F134">
            <v>5910.7218913303841</v>
          </cell>
          <cell r="G134">
            <v>6870.3996335785641</v>
          </cell>
          <cell r="H134">
            <v>7913.8172177455863</v>
          </cell>
          <cell r="I134">
            <v>9039.8808593052981</v>
          </cell>
          <cell r="J134">
            <v>10267.619548474626</v>
          </cell>
          <cell r="K134">
            <v>11603.490536487907</v>
          </cell>
          <cell r="L134">
            <v>13029.737397713412</v>
          </cell>
          <cell r="M134">
            <v>14549.577703875231</v>
          </cell>
          <cell r="N134">
            <v>16171.747096302566</v>
          </cell>
          <cell r="AL134">
            <v>5096</v>
          </cell>
          <cell r="AM134">
            <v>192</v>
          </cell>
          <cell r="AN134">
            <v>4904</v>
          </cell>
          <cell r="AP134">
            <v>192</v>
          </cell>
        </row>
        <row r="136">
          <cell r="A136" t="str">
            <v>Gross PPE</v>
          </cell>
          <cell r="B136">
            <v>1105</v>
          </cell>
          <cell r="C136">
            <v>1474</v>
          </cell>
          <cell r="D136">
            <v>1637</v>
          </cell>
          <cell r="E136">
            <v>1726</v>
          </cell>
          <cell r="F136">
            <v>1990.2600000000002</v>
          </cell>
          <cell r="G136">
            <v>2226.9706729346499</v>
          </cell>
          <cell r="H136">
            <v>2430.2472701169213</v>
          </cell>
          <cell r="I136">
            <v>2627.5061388073073</v>
          </cell>
          <cell r="J136">
            <v>2819.9236293593581</v>
          </cell>
          <cell r="K136">
            <v>3007.9863549468246</v>
          </cell>
          <cell r="L136">
            <v>3191.6787406642297</v>
          </cell>
          <cell r="M136">
            <v>3371.8119802254223</v>
          </cell>
          <cell r="N136">
            <v>3549.6622600107075</v>
          </cell>
          <cell r="AC136" t="str">
            <v>mstag:propertyPlantAndEquipmentGross</v>
          </cell>
          <cell r="AD136">
            <v>6</v>
          </cell>
          <cell r="AE136" t="str">
            <v>ISO4217:USD</v>
          </cell>
          <cell r="AF136" t="b">
            <v>0</v>
          </cell>
          <cell r="AG136" t="b">
            <v>0</v>
          </cell>
          <cell r="AL136">
            <v>1731</v>
          </cell>
          <cell r="AM136">
            <v>419</v>
          </cell>
          <cell r="AN136">
            <v>1312</v>
          </cell>
          <cell r="AP136">
            <v>419</v>
          </cell>
        </row>
        <row r="137">
          <cell r="A137" t="str">
            <v>Accumulated Depreciation</v>
          </cell>
          <cell r="B137">
            <v>279</v>
          </cell>
          <cell r="C137">
            <v>355</v>
          </cell>
          <cell r="D137">
            <v>504</v>
          </cell>
          <cell r="E137">
            <v>595</v>
          </cell>
          <cell r="F137">
            <v>659.53562110187113</v>
          </cell>
          <cell r="G137">
            <v>704.41533946273125</v>
          </cell>
          <cell r="H137">
            <v>720.20059805756568</v>
          </cell>
          <cell r="I137">
            <v>731.84454350882379</v>
          </cell>
          <cell r="J137">
            <v>739.45276676736489</v>
          </cell>
          <cell r="K137">
            <v>743.08219113231632</v>
          </cell>
          <cell r="L137">
            <v>742.76493650488612</v>
          </cell>
          <cell r="M137">
            <v>738.57021735832154</v>
          </cell>
          <cell r="N137">
            <v>730.56957395980351</v>
          </cell>
          <cell r="AC137" t="str">
            <v>mstag:accumulatedDepreciation</v>
          </cell>
          <cell r="AD137">
            <v>6</v>
          </cell>
          <cell r="AE137" t="str">
            <v>ISO4217:USD</v>
          </cell>
          <cell r="AF137" t="b">
            <v>0</v>
          </cell>
          <cell r="AG137" t="b">
            <v>0</v>
          </cell>
          <cell r="AL137">
            <v>347</v>
          </cell>
          <cell r="AM137">
            <v>157</v>
          </cell>
          <cell r="AN137">
            <v>190</v>
          </cell>
          <cell r="AP137">
            <v>157</v>
          </cell>
        </row>
        <row r="138">
          <cell r="A138" t="str">
            <v>Net PPE</v>
          </cell>
          <cell r="B138">
            <v>826</v>
          </cell>
          <cell r="C138">
            <v>1119</v>
          </cell>
          <cell r="D138">
            <v>1133</v>
          </cell>
          <cell r="E138">
            <v>1131</v>
          </cell>
          <cell r="F138">
            <v>1330.7243788981291</v>
          </cell>
          <cell r="G138">
            <v>1522.5553334719186</v>
          </cell>
          <cell r="H138">
            <v>1710.0466720593556</v>
          </cell>
          <cell r="I138">
            <v>1895.6615952984835</v>
          </cell>
          <cell r="J138">
            <v>2080.470862591993</v>
          </cell>
          <cell r="K138">
            <v>2264.9041638145081</v>
          </cell>
          <cell r="L138">
            <v>2448.9138041593437</v>
          </cell>
          <cell r="M138">
            <v>2633.241762867101</v>
          </cell>
          <cell r="N138">
            <v>2819.0926860509039</v>
          </cell>
          <cell r="AL138">
            <v>1384</v>
          </cell>
          <cell r="AM138">
            <v>262</v>
          </cell>
          <cell r="AN138">
            <v>1122</v>
          </cell>
          <cell r="AP138">
            <v>262</v>
          </cell>
        </row>
        <row r="140">
          <cell r="A140" t="str">
            <v>Investments in Available for sale securities and other cost investments</v>
          </cell>
          <cell r="B140">
            <v>14181</v>
          </cell>
          <cell r="C140">
            <v>19566</v>
          </cell>
          <cell r="D140">
            <v>21847</v>
          </cell>
          <cell r="E140">
            <v>18497</v>
          </cell>
          <cell r="F140">
            <v>18497</v>
          </cell>
          <cell r="G140">
            <v>18497</v>
          </cell>
          <cell r="H140">
            <v>18497</v>
          </cell>
          <cell r="I140">
            <v>18497</v>
          </cell>
          <cell r="J140">
            <v>18497</v>
          </cell>
          <cell r="K140">
            <v>18497</v>
          </cell>
          <cell r="L140">
            <v>18497</v>
          </cell>
          <cell r="M140">
            <v>18497</v>
          </cell>
          <cell r="N140">
            <v>18497</v>
          </cell>
          <cell r="AC140" t="str">
            <v>mstag:investmentsUnderTheEquityMethodNonOperating</v>
          </cell>
          <cell r="AD140">
            <v>6</v>
          </cell>
          <cell r="AE140" t="str">
            <v>ISO4217:USD</v>
          </cell>
          <cell r="AF140" t="b">
            <v>0</v>
          </cell>
          <cell r="AG140" t="b">
            <v>0</v>
          </cell>
          <cell r="AL140">
            <v>19533</v>
          </cell>
          <cell r="AM140">
            <v>11</v>
          </cell>
          <cell r="AN140">
            <v>19522</v>
          </cell>
          <cell r="AP140">
            <v>11</v>
          </cell>
        </row>
        <row r="141">
          <cell r="A141" t="str">
            <v>Long-term derivative instruments</v>
          </cell>
          <cell r="B141">
            <v>4379</v>
          </cell>
          <cell r="C141">
            <v>3247</v>
          </cell>
          <cell r="D141">
            <v>1601</v>
          </cell>
          <cell r="E141">
            <v>1123</v>
          </cell>
          <cell r="F141">
            <v>1123</v>
          </cell>
          <cell r="G141">
            <v>1123</v>
          </cell>
          <cell r="H141">
            <v>1123</v>
          </cell>
          <cell r="I141">
            <v>1123</v>
          </cell>
          <cell r="J141">
            <v>1123</v>
          </cell>
          <cell r="K141">
            <v>1123</v>
          </cell>
          <cell r="L141">
            <v>1123</v>
          </cell>
          <cell r="M141">
            <v>1123</v>
          </cell>
          <cell r="N141">
            <v>1123</v>
          </cell>
          <cell r="AC141" t="str">
            <v>mstag:otherAssetsNonOperating</v>
          </cell>
          <cell r="AD141">
            <v>6</v>
          </cell>
          <cell r="AE141" t="str">
            <v>ISO4217:USD</v>
          </cell>
          <cell r="AF141" t="b">
            <v>0</v>
          </cell>
          <cell r="AG141" t="b">
            <v>0</v>
          </cell>
          <cell r="AL141">
            <v>1601</v>
          </cell>
          <cell r="AM141">
            <v>0</v>
          </cell>
          <cell r="AN141">
            <v>1601</v>
          </cell>
          <cell r="AP141">
            <v>0</v>
          </cell>
        </row>
        <row r="142">
          <cell r="A142" t="str">
            <v>Investments in Affiliates</v>
          </cell>
          <cell r="B142">
            <v>6244</v>
          </cell>
          <cell r="C142">
            <v>745</v>
          </cell>
          <cell r="D142">
            <v>784</v>
          </cell>
          <cell r="E142">
            <v>1908</v>
          </cell>
          <cell r="F142">
            <v>2035.8070087268877</v>
          </cell>
          <cell r="G142">
            <v>2184.3873319453483</v>
          </cell>
          <cell r="H142">
            <v>2353.2171386427358</v>
          </cell>
          <cell r="I142">
            <v>2541.6319196575955</v>
          </cell>
          <cell r="J142">
            <v>2748.9596494622774</v>
          </cell>
          <cell r="K142">
            <v>2972.1134656255917</v>
          </cell>
          <cell r="L142">
            <v>3211.4929045468848</v>
          </cell>
          <cell r="M142">
            <v>3467.4362733510925</v>
          </cell>
          <cell r="N142">
            <v>3740.2341163365327</v>
          </cell>
          <cell r="AC142" t="str">
            <v>mstag:investmentsUnderTheEquityMethodNonOperating</v>
          </cell>
          <cell r="AD142">
            <v>6</v>
          </cell>
          <cell r="AE142" t="str">
            <v>ISO4217:USD</v>
          </cell>
          <cell r="AF142" t="b">
            <v>0</v>
          </cell>
          <cell r="AG142" t="b">
            <v>0</v>
          </cell>
          <cell r="AL142">
            <v>3647</v>
          </cell>
          <cell r="AM142">
            <v>2970</v>
          </cell>
          <cell r="AN142">
            <v>677</v>
          </cell>
          <cell r="AP142">
            <v>2970</v>
          </cell>
        </row>
        <row r="143">
          <cell r="A143" t="str">
            <v>Goodwill, net</v>
          </cell>
          <cell r="B143">
            <v>6286</v>
          </cell>
          <cell r="C143">
            <v>6780</v>
          </cell>
          <cell r="D143">
            <v>6938</v>
          </cell>
          <cell r="E143">
            <v>6953</v>
          </cell>
          <cell r="F143">
            <v>6953</v>
          </cell>
          <cell r="G143">
            <v>6953</v>
          </cell>
          <cell r="H143">
            <v>6953</v>
          </cell>
          <cell r="I143">
            <v>6953</v>
          </cell>
          <cell r="J143">
            <v>6953</v>
          </cell>
          <cell r="K143">
            <v>6953</v>
          </cell>
          <cell r="L143">
            <v>6953</v>
          </cell>
          <cell r="M143">
            <v>6953</v>
          </cell>
          <cell r="N143">
            <v>6953</v>
          </cell>
          <cell r="AC143" t="str">
            <v>mstag:goodwill</v>
          </cell>
          <cell r="AD143">
            <v>6</v>
          </cell>
          <cell r="AE143" t="str">
            <v>ISO4217:USD</v>
          </cell>
          <cell r="AF143" t="b">
            <v>0</v>
          </cell>
          <cell r="AG143" t="b">
            <v>0</v>
          </cell>
          <cell r="AL143">
            <v>9149</v>
          </cell>
          <cell r="AM143">
            <v>2136</v>
          </cell>
          <cell r="AN143">
            <v>7013</v>
          </cell>
          <cell r="AP143">
            <v>2136</v>
          </cell>
        </row>
        <row r="144">
          <cell r="A144" t="str">
            <v>Other Intangibles not subject to amortization</v>
          </cell>
          <cell r="B144">
            <v>0</v>
          </cell>
          <cell r="C144">
            <v>2385</v>
          </cell>
          <cell r="D144">
            <v>2385</v>
          </cell>
          <cell r="E144">
            <v>2385</v>
          </cell>
          <cell r="F144">
            <v>2385</v>
          </cell>
          <cell r="G144">
            <v>2385</v>
          </cell>
          <cell r="H144">
            <v>2385</v>
          </cell>
          <cell r="I144">
            <v>2385</v>
          </cell>
          <cell r="J144">
            <v>2385</v>
          </cell>
          <cell r="K144">
            <v>2385</v>
          </cell>
          <cell r="L144">
            <v>2385</v>
          </cell>
          <cell r="M144">
            <v>2385</v>
          </cell>
          <cell r="N144">
            <v>2385</v>
          </cell>
          <cell r="AC144" t="str">
            <v>mstag:otherIntangibleAssets</v>
          </cell>
          <cell r="AD144">
            <v>6</v>
          </cell>
          <cell r="AE144" t="str">
            <v>ISO4217:USD</v>
          </cell>
          <cell r="AF144" t="b">
            <v>0</v>
          </cell>
          <cell r="AG144" t="b">
            <v>0</v>
          </cell>
          <cell r="AL144">
            <v>2388</v>
          </cell>
          <cell r="AM144">
            <v>2</v>
          </cell>
          <cell r="AN144">
            <v>2386</v>
          </cell>
          <cell r="AP144">
            <v>2</v>
          </cell>
        </row>
        <row r="145">
          <cell r="A145" t="str">
            <v>Intangible subject to amortization</v>
          </cell>
          <cell r="B145">
            <v>607</v>
          </cell>
          <cell r="C145">
            <v>4815</v>
          </cell>
          <cell r="D145">
            <v>4436</v>
          </cell>
          <cell r="E145">
            <v>4028</v>
          </cell>
          <cell r="F145">
            <v>3577</v>
          </cell>
          <cell r="G145">
            <v>3167</v>
          </cell>
          <cell r="H145">
            <v>2791</v>
          </cell>
          <cell r="I145">
            <v>2448</v>
          </cell>
          <cell r="J145">
            <v>2115</v>
          </cell>
          <cell r="K145">
            <v>1782</v>
          </cell>
          <cell r="L145">
            <v>1449</v>
          </cell>
          <cell r="M145">
            <v>1116</v>
          </cell>
          <cell r="N145">
            <v>783</v>
          </cell>
          <cell r="AC145" t="str">
            <v>mstag:otherIntangibleAssets</v>
          </cell>
          <cell r="AD145">
            <v>6</v>
          </cell>
          <cell r="AE145" t="str">
            <v>ISO4217:USD</v>
          </cell>
          <cell r="AF145" t="b">
            <v>0</v>
          </cell>
          <cell r="AG145" t="b">
            <v>0</v>
          </cell>
          <cell r="AL145">
            <v>4436</v>
          </cell>
          <cell r="AM145">
            <v>0</v>
          </cell>
          <cell r="AN145">
            <v>4436</v>
          </cell>
          <cell r="AP145">
            <v>0</v>
          </cell>
        </row>
        <row r="146">
          <cell r="A146" t="str">
            <v>Deferred Taxes &amp; Other Assets</v>
          </cell>
          <cell r="B146">
            <v>521</v>
          </cell>
          <cell r="C146">
            <v>573</v>
          </cell>
          <cell r="D146">
            <v>765</v>
          </cell>
          <cell r="E146">
            <v>767</v>
          </cell>
          <cell r="F146">
            <v>784.66666666666663</v>
          </cell>
          <cell r="G146">
            <v>802.33333333333337</v>
          </cell>
          <cell r="H146">
            <v>820</v>
          </cell>
          <cell r="I146">
            <v>837.66666666666663</v>
          </cell>
          <cell r="J146">
            <v>855.33333333333337</v>
          </cell>
          <cell r="K146">
            <v>873</v>
          </cell>
          <cell r="L146">
            <v>890.66666666666663</v>
          </cell>
          <cell r="M146">
            <v>908.33333333333337</v>
          </cell>
          <cell r="N146">
            <v>926</v>
          </cell>
          <cell r="AC146" t="str">
            <v>mstag:deferredTaxAssets</v>
          </cell>
          <cell r="AD146">
            <v>6</v>
          </cell>
          <cell r="AE146" t="str">
            <v>ISO4217:USD</v>
          </cell>
          <cell r="AF146" t="b">
            <v>0</v>
          </cell>
          <cell r="AG146" t="b">
            <v>0</v>
          </cell>
          <cell r="AL146">
            <v>382</v>
          </cell>
          <cell r="AM146">
            <v>5</v>
          </cell>
          <cell r="AN146">
            <v>377</v>
          </cell>
          <cell r="AP146">
            <v>5</v>
          </cell>
        </row>
        <row r="147">
          <cell r="A147" t="str">
            <v>Assets of Discontinued Ops.</v>
          </cell>
          <cell r="B147">
            <v>2801</v>
          </cell>
          <cell r="C147">
            <v>9141</v>
          </cell>
          <cell r="D147">
            <v>5716</v>
          </cell>
          <cell r="E147">
            <v>0</v>
          </cell>
          <cell r="F147">
            <v>0</v>
          </cell>
          <cell r="G147">
            <v>0</v>
          </cell>
          <cell r="H147">
            <v>0</v>
          </cell>
          <cell r="I147">
            <v>0</v>
          </cell>
          <cell r="J147">
            <v>0</v>
          </cell>
          <cell r="K147">
            <v>0</v>
          </cell>
          <cell r="L147">
            <v>0</v>
          </cell>
          <cell r="M147">
            <v>0</v>
          </cell>
          <cell r="N147">
            <v>0</v>
          </cell>
          <cell r="AC147" t="str">
            <v>mstag:assetsOfDiscontinuedOperations</v>
          </cell>
          <cell r="AD147">
            <v>6</v>
          </cell>
          <cell r="AE147" t="str">
            <v>ISO4217:USD</v>
          </cell>
          <cell r="AF147" t="b">
            <v>0</v>
          </cell>
          <cell r="AG147" t="b">
            <v>0</v>
          </cell>
          <cell r="AL147">
            <v>0</v>
          </cell>
          <cell r="AM147">
            <v>0</v>
          </cell>
          <cell r="AN147">
            <v>0</v>
          </cell>
          <cell r="AP147">
            <v>0</v>
          </cell>
        </row>
        <row r="148">
          <cell r="A148" t="str">
            <v>Total Assets</v>
          </cell>
          <cell r="B148">
            <v>40324</v>
          </cell>
          <cell r="C148">
            <v>54225</v>
          </cell>
          <cell r="D148">
            <v>50209</v>
          </cell>
          <cell r="E148">
            <v>41952</v>
          </cell>
          <cell r="F148">
            <v>42596.919945622067</v>
          </cell>
          <cell r="G148">
            <v>43504.675632329163</v>
          </cell>
          <cell r="H148">
            <v>44546.081028447676</v>
          </cell>
          <cell r="I148">
            <v>45720.84104092804</v>
          </cell>
          <cell r="J148">
            <v>47025.383393862241</v>
          </cell>
          <cell r="K148">
            <v>48453.508165928004</v>
          </cell>
          <cell r="L148">
            <v>49987.810773086312</v>
          </cell>
          <cell r="M148">
            <v>51632.58907342676</v>
          </cell>
          <cell r="N148">
            <v>53398.073898690003</v>
          </cell>
          <cell r="AL148">
            <v>47616</v>
          </cell>
          <cell r="AM148">
            <v>5578</v>
          </cell>
          <cell r="AN148">
            <v>42038</v>
          </cell>
          <cell r="AP148">
            <v>5578</v>
          </cell>
        </row>
        <row r="150">
          <cell r="A150" t="str">
            <v>Accounts Payable</v>
          </cell>
          <cell r="B150">
            <v>111</v>
          </cell>
          <cell r="C150">
            <v>390</v>
          </cell>
          <cell r="D150">
            <v>424</v>
          </cell>
          <cell r="E150">
            <v>516</v>
          </cell>
          <cell r="F150">
            <v>554.90205393293934</v>
          </cell>
          <cell r="G150">
            <v>599.53201081185568</v>
          </cell>
          <cell r="H150">
            <v>645.39965894049237</v>
          </cell>
          <cell r="I150">
            <v>692.42481475181455</v>
          </cell>
          <cell r="J150">
            <v>738.78928163484829</v>
          </cell>
          <cell r="K150">
            <v>785.91996789041957</v>
          </cell>
          <cell r="L150">
            <v>830.90023204022691</v>
          </cell>
          <cell r="M150">
            <v>877.97054846465107</v>
          </cell>
          <cell r="N150">
            <v>925.94489847215732</v>
          </cell>
          <cell r="AC150" t="str">
            <v>mstag:tradeAndOtherPayables</v>
          </cell>
          <cell r="AD150">
            <v>6</v>
          </cell>
          <cell r="AE150" t="str">
            <v>ISO4217:USD</v>
          </cell>
          <cell r="AF150" t="b">
            <v>0</v>
          </cell>
          <cell r="AG150" t="b">
            <v>0</v>
          </cell>
          <cell r="AL150">
            <v>424</v>
          </cell>
          <cell r="AM150">
            <v>35</v>
          </cell>
          <cell r="AN150">
            <v>389</v>
          </cell>
          <cell r="AP150">
            <v>35</v>
          </cell>
        </row>
        <row r="151">
          <cell r="A151" t="str">
            <v>Accrued Liabilities</v>
          </cell>
          <cell r="B151">
            <v>420</v>
          </cell>
          <cell r="C151">
            <v>746</v>
          </cell>
          <cell r="D151">
            <v>788</v>
          </cell>
          <cell r="E151">
            <v>826</v>
          </cell>
          <cell r="F151">
            <v>905.96592147462002</v>
          </cell>
          <cell r="G151">
            <v>979.87531507628137</v>
          </cell>
          <cell r="H151">
            <v>1056.5372597885978</v>
          </cell>
          <cell r="I151">
            <v>1132.5645487322543</v>
          </cell>
          <cell r="J151">
            <v>1208.3470319749931</v>
          </cell>
          <cell r="K151">
            <v>1285.7459879604833</v>
          </cell>
          <cell r="L151">
            <v>1360.0692263671244</v>
          </cell>
          <cell r="M151">
            <v>1435.9629385322871</v>
          </cell>
          <cell r="N151">
            <v>1514.7770693398113</v>
          </cell>
          <cell r="AC151" t="str">
            <v>mstag:accruedExpenses</v>
          </cell>
          <cell r="AD151">
            <v>6</v>
          </cell>
          <cell r="AE151" t="str">
            <v>ISO4217:USD</v>
          </cell>
          <cell r="AF151" t="b">
            <v>0</v>
          </cell>
          <cell r="AG151" t="b">
            <v>0</v>
          </cell>
          <cell r="AL151">
            <v>788</v>
          </cell>
          <cell r="AM151">
            <v>55</v>
          </cell>
          <cell r="AN151">
            <v>733</v>
          </cell>
          <cell r="AP151">
            <v>55</v>
          </cell>
        </row>
        <row r="152">
          <cell r="A152" t="str">
            <v>Intergroup Payable / Receivable</v>
          </cell>
          <cell r="C152">
            <v>0</v>
          </cell>
          <cell r="D152">
            <v>0</v>
          </cell>
          <cell r="E152">
            <v>0</v>
          </cell>
          <cell r="F152">
            <v>0</v>
          </cell>
          <cell r="G152">
            <v>0</v>
          </cell>
          <cell r="H152">
            <v>0</v>
          </cell>
          <cell r="I152">
            <v>0</v>
          </cell>
          <cell r="J152">
            <v>0</v>
          </cell>
          <cell r="K152">
            <v>0</v>
          </cell>
          <cell r="L152">
            <v>0</v>
          </cell>
          <cell r="M152">
            <v>0</v>
          </cell>
          <cell r="N152">
            <v>0</v>
          </cell>
          <cell r="AC152" t="str">
            <v>mstag:shortTermBorrowings</v>
          </cell>
          <cell r="AD152">
            <v>6</v>
          </cell>
          <cell r="AE152" t="str">
            <v>ISO4217:USD</v>
          </cell>
          <cell r="AF152" t="b">
            <v>0</v>
          </cell>
          <cell r="AG152" t="b">
            <v>0</v>
          </cell>
          <cell r="AL152">
            <v>0</v>
          </cell>
          <cell r="AM152">
            <v>0</v>
          </cell>
          <cell r="AN152">
            <v>0</v>
          </cell>
          <cell r="AP152">
            <v>0</v>
          </cell>
        </row>
        <row r="153">
          <cell r="A153" t="str">
            <v>Accrued Stock Compensation</v>
          </cell>
          <cell r="C153">
            <v>190</v>
          </cell>
          <cell r="D153">
            <v>235</v>
          </cell>
          <cell r="E153">
            <v>133</v>
          </cell>
          <cell r="F153">
            <v>0</v>
          </cell>
          <cell r="G153">
            <v>0</v>
          </cell>
          <cell r="H153">
            <v>0</v>
          </cell>
          <cell r="I153">
            <v>0</v>
          </cell>
          <cell r="J153">
            <v>0</v>
          </cell>
          <cell r="K153">
            <v>0</v>
          </cell>
          <cell r="L153">
            <v>0</v>
          </cell>
          <cell r="M153">
            <v>0</v>
          </cell>
          <cell r="N153">
            <v>0</v>
          </cell>
        </row>
        <row r="154">
          <cell r="A154" t="str">
            <v>Derivative Instruments</v>
          </cell>
          <cell r="C154">
            <v>854</v>
          </cell>
          <cell r="D154">
            <v>1179</v>
          </cell>
          <cell r="E154">
            <v>1939</v>
          </cell>
          <cell r="F154">
            <v>1927</v>
          </cell>
          <cell r="G154">
            <v>1927</v>
          </cell>
          <cell r="H154">
            <v>1927</v>
          </cell>
          <cell r="I154">
            <v>1927</v>
          </cell>
          <cell r="J154">
            <v>1927</v>
          </cell>
          <cell r="K154">
            <v>1927</v>
          </cell>
          <cell r="L154">
            <v>1927</v>
          </cell>
          <cell r="M154">
            <v>1927</v>
          </cell>
          <cell r="N154">
            <v>1927</v>
          </cell>
        </row>
        <row r="155">
          <cell r="A155" t="str">
            <v>Current Deferred Tax Liabilities</v>
          </cell>
          <cell r="C155">
            <v>0</v>
          </cell>
          <cell r="D155">
            <v>0</v>
          </cell>
          <cell r="E155">
            <v>296</v>
          </cell>
          <cell r="F155">
            <v>296</v>
          </cell>
          <cell r="G155">
            <v>296</v>
          </cell>
          <cell r="H155">
            <v>296</v>
          </cell>
          <cell r="I155">
            <v>296</v>
          </cell>
          <cell r="J155">
            <v>296</v>
          </cell>
          <cell r="K155">
            <v>296</v>
          </cell>
          <cell r="L155">
            <v>296</v>
          </cell>
          <cell r="M155">
            <v>296</v>
          </cell>
          <cell r="N155">
            <v>296</v>
          </cell>
        </row>
        <row r="156">
          <cell r="A156" t="str">
            <v>CurrentDeferred Tax Liabilities - Eliminations</v>
          </cell>
          <cell r="C156">
            <v>0</v>
          </cell>
          <cell r="D156">
            <v>0</v>
          </cell>
          <cell r="E156">
            <v>-136</v>
          </cell>
          <cell r="F156">
            <v>-136</v>
          </cell>
          <cell r="G156">
            <v>-136</v>
          </cell>
          <cell r="H156">
            <v>-136</v>
          </cell>
          <cell r="I156">
            <v>-136</v>
          </cell>
          <cell r="J156">
            <v>-136</v>
          </cell>
          <cell r="K156">
            <v>-136</v>
          </cell>
          <cell r="L156">
            <v>-136</v>
          </cell>
          <cell r="M156">
            <v>-136</v>
          </cell>
          <cell r="N156">
            <v>-136</v>
          </cell>
        </row>
        <row r="157">
          <cell r="A157" t="str">
            <v>Other, net</v>
          </cell>
          <cell r="B157">
            <v>1425</v>
          </cell>
          <cell r="C157">
            <v>307</v>
          </cell>
          <cell r="D157">
            <v>503</v>
          </cell>
          <cell r="E157">
            <v>333</v>
          </cell>
          <cell r="F157">
            <v>389.50747160162746</v>
          </cell>
          <cell r="G157">
            <v>412.04277699246461</v>
          </cell>
          <cell r="H157">
            <v>432.61710576079162</v>
          </cell>
          <cell r="I157">
            <v>451.29876695547659</v>
          </cell>
          <cell r="J157">
            <v>469.19711845066718</v>
          </cell>
          <cell r="K157">
            <v>491.16699994653703</v>
          </cell>
          <cell r="L157">
            <v>513.6503203676034</v>
          </cell>
          <cell r="M157">
            <v>536.99927575147706</v>
          </cell>
          <cell r="N157">
            <v>561.34033857876568</v>
          </cell>
          <cell r="AC157" t="str">
            <v>mstag:otherLiabilitiesNonOperatingCurrent</v>
          </cell>
          <cell r="AD157">
            <v>6</v>
          </cell>
          <cell r="AE157" t="str">
            <v>ISO4217:USD</v>
          </cell>
          <cell r="AF157" t="b">
            <v>0</v>
          </cell>
          <cell r="AG157" t="b">
            <v>0</v>
          </cell>
          <cell r="AL157">
            <v>2115</v>
          </cell>
          <cell r="AM157">
            <v>11</v>
          </cell>
          <cell r="AN157">
            <v>2104</v>
          </cell>
          <cell r="AP157">
            <v>11</v>
          </cell>
        </row>
        <row r="158">
          <cell r="A158" t="str">
            <v>Total Current Liabilities</v>
          </cell>
          <cell r="B158">
            <v>1956</v>
          </cell>
          <cell r="C158">
            <v>2487</v>
          </cell>
          <cell r="D158">
            <v>3129</v>
          </cell>
          <cell r="E158">
            <v>3907</v>
          </cell>
          <cell r="F158">
            <v>3937.3754470091867</v>
          </cell>
          <cell r="G158">
            <v>4078.4501028806017</v>
          </cell>
          <cell r="H158">
            <v>4221.5540244898821</v>
          </cell>
          <cell r="I158">
            <v>4363.2881304395451</v>
          </cell>
          <cell r="J158">
            <v>4503.333432060509</v>
          </cell>
          <cell r="K158">
            <v>4649.8329557974394</v>
          </cell>
          <cell r="L158">
            <v>4791.6197787749552</v>
          </cell>
          <cell r="M158">
            <v>4937.9327627484154</v>
          </cell>
          <cell r="N158">
            <v>5089.0623063907351</v>
          </cell>
          <cell r="AL158">
            <v>3327</v>
          </cell>
          <cell r="AM158">
            <v>101</v>
          </cell>
          <cell r="AN158">
            <v>3226</v>
          </cell>
          <cell r="AP158">
            <v>101</v>
          </cell>
        </row>
        <row r="160">
          <cell r="A160" t="str">
            <v>Long-term Debt</v>
          </cell>
          <cell r="B160">
            <v>4302</v>
          </cell>
          <cell r="C160">
            <v>9432</v>
          </cell>
          <cell r="D160">
            <v>8576</v>
          </cell>
          <cell r="E160">
            <v>7750</v>
          </cell>
          <cell r="F160">
            <v>7844.7077291353453</v>
          </cell>
          <cell r="G160">
            <v>7946.1150744990027</v>
          </cell>
          <cell r="H160">
            <v>7984.8459443508509</v>
          </cell>
          <cell r="I160">
            <v>7999.5773088286624</v>
          </cell>
          <cell r="J160">
            <v>8016.4315704235378</v>
          </cell>
          <cell r="K160">
            <v>8035.6978973273908</v>
          </cell>
          <cell r="L160">
            <v>8057.7056148208239</v>
          </cell>
          <cell r="M160">
            <v>8082.8298744332533</v>
          </cell>
          <cell r="N160">
            <v>8111.2481344367397</v>
          </cell>
          <cell r="AC160" t="str">
            <v>mstag:longTermDebt</v>
          </cell>
          <cell r="AD160">
            <v>6</v>
          </cell>
          <cell r="AE160" t="str">
            <v>ISO4217:USD</v>
          </cell>
          <cell r="AF160" t="b">
            <v>0</v>
          </cell>
          <cell r="AG160" t="b">
            <v>0</v>
          </cell>
          <cell r="AJ160">
            <v>-826</v>
          </cell>
          <cell r="AL160">
            <v>8304</v>
          </cell>
          <cell r="AM160">
            <v>0</v>
          </cell>
          <cell r="AN160">
            <v>8304</v>
          </cell>
          <cell r="AP160">
            <v>0</v>
          </cell>
        </row>
        <row r="161">
          <cell r="A161" t="str">
            <v>Long-term Derivative Instruments</v>
          </cell>
          <cell r="B161">
            <v>1465</v>
          </cell>
          <cell r="C161">
            <v>1756</v>
          </cell>
          <cell r="D161">
            <v>1812</v>
          </cell>
          <cell r="E161">
            <v>1087</v>
          </cell>
          <cell r="F161">
            <v>1087</v>
          </cell>
          <cell r="G161">
            <v>1087</v>
          </cell>
          <cell r="H161">
            <v>1087</v>
          </cell>
          <cell r="I161">
            <v>1087</v>
          </cell>
          <cell r="J161">
            <v>1087</v>
          </cell>
          <cell r="K161">
            <v>1087</v>
          </cell>
          <cell r="L161">
            <v>1087</v>
          </cell>
          <cell r="M161">
            <v>1087</v>
          </cell>
          <cell r="N161">
            <v>1087</v>
          </cell>
          <cell r="AC161" t="str">
            <v>mstag:otherLiabilitiesNonOperatingNonCurrent</v>
          </cell>
          <cell r="AD161">
            <v>6</v>
          </cell>
          <cell r="AE161" t="str">
            <v>ISO4217:USD</v>
          </cell>
          <cell r="AF161" t="b">
            <v>0</v>
          </cell>
          <cell r="AG161" t="b">
            <v>0</v>
          </cell>
          <cell r="AJ161">
            <v>-725</v>
          </cell>
          <cell r="AL161">
            <v>1812</v>
          </cell>
          <cell r="AM161">
            <v>0</v>
          </cell>
          <cell r="AN161">
            <v>1812</v>
          </cell>
          <cell r="AP161">
            <v>0</v>
          </cell>
        </row>
        <row r="162">
          <cell r="A162" t="str">
            <v>Long-term Deferred Taxes</v>
          </cell>
          <cell r="B162">
            <v>7390</v>
          </cell>
          <cell r="C162">
            <v>9729</v>
          </cell>
          <cell r="D162">
            <v>9789</v>
          </cell>
          <cell r="E162">
            <v>8728</v>
          </cell>
          <cell r="F162">
            <v>8672.4803091427129</v>
          </cell>
          <cell r="G162">
            <v>8636.3135171282374</v>
          </cell>
          <cell r="H162">
            <v>8621.8778621030669</v>
          </cell>
          <cell r="I162">
            <v>8615.3077297416094</v>
          </cell>
          <cell r="J162">
            <v>8613.2655745466527</v>
          </cell>
          <cell r="K162">
            <v>8613.2655745466527</v>
          </cell>
          <cell r="L162">
            <v>8613.2655745466527</v>
          </cell>
          <cell r="M162">
            <v>8613.2655745466527</v>
          </cell>
          <cell r="N162">
            <v>8613.2655745466527</v>
          </cell>
          <cell r="AC162" t="str">
            <v>mstag:deferredTaxLiabilities</v>
          </cell>
          <cell r="AD162">
            <v>6</v>
          </cell>
          <cell r="AE162" t="str">
            <v>ISO4217:USD</v>
          </cell>
          <cell r="AF162" t="b">
            <v>0</v>
          </cell>
          <cell r="AG162" t="b">
            <v>0</v>
          </cell>
          <cell r="AJ162">
            <v>-1061</v>
          </cell>
          <cell r="AL162">
            <v>10052</v>
          </cell>
          <cell r="AM162">
            <v>1092</v>
          </cell>
          <cell r="AN162">
            <v>8960</v>
          </cell>
          <cell r="AP162">
            <v>1092</v>
          </cell>
        </row>
        <row r="163">
          <cell r="A163" t="str">
            <v>Long-term Deferred Tax Liabilities - Eliminations</v>
          </cell>
          <cell r="C163">
            <v>0</v>
          </cell>
          <cell r="D163">
            <v>-88</v>
          </cell>
          <cell r="E163">
            <v>0</v>
          </cell>
          <cell r="F163">
            <v>0</v>
          </cell>
          <cell r="G163">
            <v>0</v>
          </cell>
          <cell r="H163">
            <v>0</v>
          </cell>
          <cell r="I163">
            <v>0</v>
          </cell>
          <cell r="J163">
            <v>0</v>
          </cell>
          <cell r="K163">
            <v>0</v>
          </cell>
          <cell r="L163">
            <v>0</v>
          </cell>
          <cell r="M163">
            <v>0</v>
          </cell>
          <cell r="N163">
            <v>0</v>
          </cell>
        </row>
        <row r="164">
          <cell r="A164" t="str">
            <v>Other Liabililities</v>
          </cell>
          <cell r="B164">
            <v>218</v>
          </cell>
          <cell r="C164">
            <v>355</v>
          </cell>
          <cell r="D164">
            <v>801</v>
          </cell>
          <cell r="E164">
            <v>1070</v>
          </cell>
          <cell r="F164">
            <v>1085</v>
          </cell>
          <cell r="G164">
            <v>1100</v>
          </cell>
          <cell r="H164">
            <v>1115</v>
          </cell>
          <cell r="I164">
            <v>1130</v>
          </cell>
          <cell r="J164">
            <v>1145</v>
          </cell>
          <cell r="K164">
            <v>1160</v>
          </cell>
          <cell r="L164">
            <v>1175</v>
          </cell>
          <cell r="M164">
            <v>1190</v>
          </cell>
          <cell r="N164">
            <v>1205</v>
          </cell>
          <cell r="AC164" t="str">
            <v>mstag:otherLiabilitiesOperatingNonCurrent</v>
          </cell>
          <cell r="AD164">
            <v>6</v>
          </cell>
          <cell r="AE164" t="str">
            <v>ISO4217:USD</v>
          </cell>
          <cell r="AF164" t="b">
            <v>0</v>
          </cell>
          <cell r="AG164" t="b">
            <v>0</v>
          </cell>
          <cell r="AJ164">
            <v>269</v>
          </cell>
          <cell r="AL164">
            <v>45</v>
          </cell>
          <cell r="AM164">
            <v>24</v>
          </cell>
          <cell r="AN164">
            <v>21</v>
          </cell>
          <cell r="AP164">
            <v>24</v>
          </cell>
        </row>
        <row r="165">
          <cell r="A165" t="str">
            <v>Liabilities of Discontinued Operations</v>
          </cell>
          <cell r="B165">
            <v>92</v>
          </cell>
          <cell r="C165">
            <v>1331</v>
          </cell>
          <cell r="D165">
            <v>1305</v>
          </cell>
          <cell r="E165">
            <v>0</v>
          </cell>
          <cell r="F165">
            <v>0</v>
          </cell>
          <cell r="G165">
            <v>0</v>
          </cell>
          <cell r="H165">
            <v>0</v>
          </cell>
          <cell r="I165">
            <v>0</v>
          </cell>
          <cell r="J165">
            <v>0</v>
          </cell>
          <cell r="K165">
            <v>0</v>
          </cell>
          <cell r="L165">
            <v>0</v>
          </cell>
          <cell r="M165">
            <v>0</v>
          </cell>
          <cell r="N165">
            <v>0</v>
          </cell>
          <cell r="AC165" t="str">
            <v>mstag:liabilitiesOfDiscontinuedOperations</v>
          </cell>
          <cell r="AD165">
            <v>6</v>
          </cell>
          <cell r="AE165" t="str">
            <v>ISO4217:USD</v>
          </cell>
          <cell r="AF165" t="b">
            <v>0</v>
          </cell>
          <cell r="AG165" t="b">
            <v>0</v>
          </cell>
          <cell r="AJ165">
            <v>-1305</v>
          </cell>
          <cell r="AL165">
            <v>0</v>
          </cell>
          <cell r="AM165">
            <v>0</v>
          </cell>
          <cell r="AN165">
            <v>0</v>
          </cell>
          <cell r="AP165">
            <v>0</v>
          </cell>
        </row>
        <row r="166">
          <cell r="AJ166">
            <v>0</v>
          </cell>
        </row>
        <row r="167">
          <cell r="A167" t="str">
            <v>Minority Interests in subsidiaries</v>
          </cell>
          <cell r="B167">
            <v>219</v>
          </cell>
          <cell r="C167">
            <v>293</v>
          </cell>
          <cell r="D167">
            <v>299</v>
          </cell>
          <cell r="E167">
            <v>290</v>
          </cell>
          <cell r="F167">
            <v>331</v>
          </cell>
          <cell r="G167">
            <v>372</v>
          </cell>
          <cell r="H167">
            <v>413</v>
          </cell>
          <cell r="I167">
            <v>454</v>
          </cell>
          <cell r="J167">
            <v>495</v>
          </cell>
          <cell r="K167">
            <v>536</v>
          </cell>
          <cell r="L167">
            <v>577</v>
          </cell>
          <cell r="M167">
            <v>618</v>
          </cell>
          <cell r="N167">
            <v>659</v>
          </cell>
          <cell r="AC167" t="str">
            <v>mstag:minorityInterestsInShareholdersEquity</v>
          </cell>
          <cell r="AD167">
            <v>6</v>
          </cell>
          <cell r="AE167" t="str">
            <v>ISO4217:USD</v>
          </cell>
          <cell r="AF167" t="b">
            <v>0</v>
          </cell>
          <cell r="AG167" t="b">
            <v>0</v>
          </cell>
          <cell r="AJ167">
            <v>-9</v>
          </cell>
          <cell r="AL167">
            <v>270</v>
          </cell>
          <cell r="AM167">
            <v>0</v>
          </cell>
          <cell r="AN167">
            <v>270</v>
          </cell>
          <cell r="AP167">
            <v>0</v>
          </cell>
        </row>
        <row r="168">
          <cell r="AJ168">
            <v>0</v>
          </cell>
        </row>
        <row r="169">
          <cell r="A169" t="str">
            <v>Preferred Stock</v>
          </cell>
          <cell r="B169">
            <v>0</v>
          </cell>
          <cell r="C169">
            <v>0</v>
          </cell>
          <cell r="D169">
            <v>0</v>
          </cell>
          <cell r="E169">
            <v>0</v>
          </cell>
          <cell r="F169">
            <v>0</v>
          </cell>
          <cell r="G169">
            <v>0</v>
          </cell>
          <cell r="H169">
            <v>0</v>
          </cell>
          <cell r="I169">
            <v>0</v>
          </cell>
          <cell r="J169">
            <v>0</v>
          </cell>
          <cell r="K169">
            <v>0</v>
          </cell>
          <cell r="L169">
            <v>0</v>
          </cell>
          <cell r="M169">
            <v>0</v>
          </cell>
          <cell r="N169">
            <v>0</v>
          </cell>
          <cell r="AC169" t="str">
            <v>mstag:preferredEquity</v>
          </cell>
          <cell r="AD169">
            <v>6</v>
          </cell>
          <cell r="AE169" t="str">
            <v>ISO4217:USD</v>
          </cell>
          <cell r="AF169" t="b">
            <v>0</v>
          </cell>
          <cell r="AG169" t="b">
            <v>0</v>
          </cell>
          <cell r="AJ169">
            <v>0</v>
          </cell>
        </row>
        <row r="170">
          <cell r="A170" t="str">
            <v>Common Stock</v>
          </cell>
          <cell r="B170">
            <v>27</v>
          </cell>
          <cell r="C170">
            <v>21</v>
          </cell>
          <cell r="D170">
            <v>20</v>
          </cell>
          <cell r="E170">
            <v>20</v>
          </cell>
          <cell r="F170">
            <v>8</v>
          </cell>
          <cell r="G170">
            <v>8</v>
          </cell>
          <cell r="H170">
            <v>8</v>
          </cell>
          <cell r="I170">
            <v>8</v>
          </cell>
          <cell r="J170">
            <v>8</v>
          </cell>
          <cell r="K170">
            <v>8</v>
          </cell>
          <cell r="L170">
            <v>8</v>
          </cell>
          <cell r="M170">
            <v>8</v>
          </cell>
          <cell r="N170">
            <v>8</v>
          </cell>
          <cell r="AC170" t="str">
            <v>mstag:commonStock</v>
          </cell>
          <cell r="AD170">
            <v>6</v>
          </cell>
          <cell r="AE170" t="str">
            <v>ISO4217:USD</v>
          </cell>
          <cell r="AF170" t="b">
            <v>0</v>
          </cell>
          <cell r="AG170" t="b">
            <v>0</v>
          </cell>
          <cell r="AJ170">
            <v>0</v>
          </cell>
        </row>
        <row r="171">
          <cell r="A171" t="str">
            <v>Additional Paid In Capital</v>
          </cell>
          <cell r="B171">
            <v>36498</v>
          </cell>
          <cell r="C171">
            <v>39009</v>
          </cell>
          <cell r="D171">
            <v>33773</v>
          </cell>
          <cell r="E171">
            <v>29106</v>
          </cell>
          <cell r="F171">
            <v>29118</v>
          </cell>
          <cell r="G171">
            <v>29118</v>
          </cell>
          <cell r="H171">
            <v>29118</v>
          </cell>
          <cell r="I171">
            <v>29118</v>
          </cell>
          <cell r="J171">
            <v>29118</v>
          </cell>
          <cell r="K171">
            <v>29118</v>
          </cell>
          <cell r="L171">
            <v>29118</v>
          </cell>
          <cell r="M171">
            <v>29118</v>
          </cell>
          <cell r="N171">
            <v>29118</v>
          </cell>
          <cell r="AC171" t="str">
            <v>mstag:additionalPaidInCapital</v>
          </cell>
          <cell r="AD171">
            <v>6</v>
          </cell>
          <cell r="AE171" t="str">
            <v>ISO4217:USD</v>
          </cell>
          <cell r="AF171" t="b">
            <v>0</v>
          </cell>
          <cell r="AG171" t="b">
            <v>0</v>
          </cell>
          <cell r="AJ171">
            <v>-4667</v>
          </cell>
        </row>
        <row r="172">
          <cell r="A172" t="str">
            <v>Treasury Stock</v>
          </cell>
          <cell r="B172">
            <v>0</v>
          </cell>
          <cell r="C172">
            <v>0</v>
          </cell>
          <cell r="D172">
            <v>-125</v>
          </cell>
          <cell r="E172">
            <v>-125</v>
          </cell>
          <cell r="F172">
            <v>-125</v>
          </cell>
          <cell r="G172">
            <v>-125</v>
          </cell>
          <cell r="H172">
            <v>-125</v>
          </cell>
          <cell r="I172">
            <v>-125</v>
          </cell>
          <cell r="J172">
            <v>-125</v>
          </cell>
          <cell r="K172">
            <v>-125</v>
          </cell>
          <cell r="L172">
            <v>-125</v>
          </cell>
          <cell r="M172">
            <v>-125</v>
          </cell>
          <cell r="N172">
            <v>-125</v>
          </cell>
          <cell r="AC172" t="str">
            <v>mstag:treasuryStockAndInvestmentInOwnShares</v>
          </cell>
          <cell r="AD172">
            <v>6</v>
          </cell>
          <cell r="AE172" t="str">
            <v>ISO4217:USD</v>
          </cell>
          <cell r="AF172" t="b">
            <v>1</v>
          </cell>
          <cell r="AG172" t="b">
            <v>0</v>
          </cell>
          <cell r="AJ172">
            <v>0</v>
          </cell>
        </row>
        <row r="173">
          <cell r="A173" t="str">
            <v>Accumulated Deficit</v>
          </cell>
          <cell r="B173">
            <v>-12069</v>
          </cell>
          <cell r="C173">
            <v>-13291</v>
          </cell>
          <cell r="D173">
            <v>-13245</v>
          </cell>
          <cell r="E173">
            <v>-13278</v>
          </cell>
          <cell r="F173">
            <v>-12758.64353966518</v>
          </cell>
          <cell r="G173">
            <v>-12113.203062178682</v>
          </cell>
          <cell r="H173">
            <v>-11295.196802496122</v>
          </cell>
          <cell r="I173">
            <v>-10326.332128081773</v>
          </cell>
          <cell r="J173">
            <v>-9232.6471831684703</v>
          </cell>
          <cell r="K173">
            <v>-8026.2882617434771</v>
          </cell>
          <cell r="L173">
            <v>-6711.7801950561243</v>
          </cell>
          <cell r="M173">
            <v>-5294.4391383015645</v>
          </cell>
          <cell r="N173">
            <v>-3764.5021166841234</v>
          </cell>
          <cell r="AC173" t="str">
            <v>mstag:retainedEarnings</v>
          </cell>
          <cell r="AD173">
            <v>6</v>
          </cell>
          <cell r="AE173" t="str">
            <v>ISO4217:USD</v>
          </cell>
          <cell r="AF173" t="b">
            <v>0</v>
          </cell>
          <cell r="AG173" t="b">
            <v>0</v>
          </cell>
          <cell r="AJ173">
            <v>-33</v>
          </cell>
        </row>
        <row r="174">
          <cell r="A174" t="str">
            <v>Accumulated Other Comprehensive Income</v>
          </cell>
          <cell r="B174">
            <v>226</v>
          </cell>
          <cell r="C174">
            <v>3103</v>
          </cell>
          <cell r="D174">
            <v>4163</v>
          </cell>
          <cell r="E174">
            <v>3397</v>
          </cell>
          <cell r="F174">
            <v>3397</v>
          </cell>
          <cell r="G174">
            <v>3397</v>
          </cell>
          <cell r="H174">
            <v>3397</v>
          </cell>
          <cell r="I174">
            <v>3397</v>
          </cell>
          <cell r="J174">
            <v>3397</v>
          </cell>
          <cell r="K174">
            <v>3397</v>
          </cell>
          <cell r="L174">
            <v>3397</v>
          </cell>
          <cell r="M174">
            <v>3397</v>
          </cell>
          <cell r="N174">
            <v>3397</v>
          </cell>
          <cell r="AC174" t="str">
            <v>mstag:accumulatedOtherComprehensiveIncomeLossAndReserves</v>
          </cell>
          <cell r="AD174">
            <v>6</v>
          </cell>
          <cell r="AE174" t="str">
            <v>ISO4217:USD</v>
          </cell>
          <cell r="AF174" t="b">
            <v>0</v>
          </cell>
          <cell r="AG174" t="b">
            <v>0</v>
          </cell>
          <cell r="AJ174">
            <v>-766</v>
          </cell>
        </row>
        <row r="175">
          <cell r="A175" t="str">
            <v>Total Equity</v>
          </cell>
          <cell r="B175">
            <v>24682</v>
          </cell>
          <cell r="C175">
            <v>28842</v>
          </cell>
          <cell r="D175">
            <v>24586</v>
          </cell>
          <cell r="E175">
            <v>19120</v>
          </cell>
          <cell r="F175">
            <v>19639.35646033482</v>
          </cell>
          <cell r="G175">
            <v>20284.796937821317</v>
          </cell>
          <cell r="H175">
            <v>21102.803197503876</v>
          </cell>
          <cell r="I175">
            <v>22071.667871918227</v>
          </cell>
          <cell r="J175">
            <v>23165.352816831532</v>
          </cell>
          <cell r="K175">
            <v>24371.711738256523</v>
          </cell>
          <cell r="L175">
            <v>25686.219804943874</v>
          </cell>
          <cell r="M175">
            <v>27103.560861698435</v>
          </cell>
          <cell r="N175">
            <v>28633.497883315875</v>
          </cell>
          <cell r="AL175">
            <v>23806</v>
          </cell>
          <cell r="AM175">
            <v>4361</v>
          </cell>
          <cell r="AN175">
            <v>19445</v>
          </cell>
          <cell r="AP175">
            <v>4361</v>
          </cell>
        </row>
        <row r="177">
          <cell r="A177" t="str">
            <v>Total Liabilities and Equity</v>
          </cell>
          <cell r="B177">
            <v>40324</v>
          </cell>
          <cell r="C177">
            <v>54225</v>
          </cell>
          <cell r="D177">
            <v>50209</v>
          </cell>
          <cell r="E177">
            <v>41952</v>
          </cell>
          <cell r="F177">
            <v>42596.919945622067</v>
          </cell>
          <cell r="G177">
            <v>43504.675632329163</v>
          </cell>
          <cell r="H177">
            <v>44546.081028447676</v>
          </cell>
          <cell r="I177">
            <v>45720.841040928048</v>
          </cell>
          <cell r="J177">
            <v>47025.383393862227</v>
          </cell>
          <cell r="K177">
            <v>48453.508165927997</v>
          </cell>
          <cell r="L177">
            <v>49987.810773086305</v>
          </cell>
          <cell r="M177">
            <v>51632.58907342676</v>
          </cell>
          <cell r="N177">
            <v>53398.073898690003</v>
          </cell>
          <cell r="AL177">
            <v>47616</v>
          </cell>
          <cell r="AM177">
            <v>5578</v>
          </cell>
          <cell r="AN177">
            <v>42038</v>
          </cell>
          <cell r="AP177">
            <v>5578</v>
          </cell>
        </row>
        <row r="179">
          <cell r="A179" t="str">
            <v>check</v>
          </cell>
          <cell r="B179">
            <v>0</v>
          </cell>
          <cell r="C179">
            <v>0</v>
          </cell>
          <cell r="D179">
            <v>0</v>
          </cell>
          <cell r="E179">
            <v>0</v>
          </cell>
          <cell r="F179">
            <v>0</v>
          </cell>
          <cell r="G179">
            <v>0</v>
          </cell>
          <cell r="H179">
            <v>0</v>
          </cell>
          <cell r="I179">
            <v>0</v>
          </cell>
          <cell r="J179">
            <v>0</v>
          </cell>
          <cell r="K179">
            <v>0</v>
          </cell>
          <cell r="L179">
            <v>0</v>
          </cell>
          <cell r="M179">
            <v>0</v>
          </cell>
          <cell r="N179">
            <v>0</v>
          </cell>
          <cell r="AL179">
            <v>0</v>
          </cell>
          <cell r="AM179">
            <v>0</v>
          </cell>
          <cell r="AN179">
            <v>0</v>
          </cell>
          <cell r="AP179">
            <v>0</v>
          </cell>
        </row>
        <row r="182">
          <cell r="A182" t="str">
            <v>Cash Flow Forecasts</v>
          </cell>
        </row>
        <row r="183">
          <cell r="A183" t="str">
            <v>($ in Millions)</v>
          </cell>
        </row>
        <row r="184">
          <cell r="B184">
            <v>2002</v>
          </cell>
          <cell r="C184">
            <v>2003</v>
          </cell>
          <cell r="D184">
            <v>2004</v>
          </cell>
          <cell r="E184">
            <v>2005</v>
          </cell>
          <cell r="F184" t="str">
            <v>2006E</v>
          </cell>
          <cell r="G184" t="str">
            <v>2007E</v>
          </cell>
          <cell r="H184" t="str">
            <v>2008E</v>
          </cell>
          <cell r="I184" t="str">
            <v>2009E</v>
          </cell>
          <cell r="J184" t="str">
            <v>2010E</v>
          </cell>
          <cell r="K184" t="str">
            <v>2011E</v>
          </cell>
          <cell r="L184" t="str">
            <v>2012E</v>
          </cell>
          <cell r="M184" t="str">
            <v>2013E</v>
          </cell>
          <cell r="N184" t="str">
            <v>2014E</v>
          </cell>
        </row>
        <row r="185">
          <cell r="A185" t="str">
            <v>Net Income (Loss)</v>
          </cell>
          <cell r="B185">
            <v>-2973</v>
          </cell>
          <cell r="C185">
            <v>-1229</v>
          </cell>
          <cell r="D185">
            <v>100</v>
          </cell>
          <cell r="E185">
            <v>-64</v>
          </cell>
          <cell r="F185">
            <v>467.35646033482101</v>
          </cell>
          <cell r="G185">
            <v>593.44047748649871</v>
          </cell>
          <cell r="H185">
            <v>766.00625968255918</v>
          </cell>
          <cell r="I185">
            <v>916.86467441434866</v>
          </cell>
          <cell r="J185">
            <v>1041.6849449133031</v>
          </cell>
          <cell r="K185">
            <v>1154.3589214249928</v>
          </cell>
          <cell r="L185">
            <v>1262.5080666873521</v>
          </cell>
          <cell r="M185">
            <v>1365.3410567545611</v>
          </cell>
          <cell r="N185">
            <v>1477.9370216174407</v>
          </cell>
          <cell r="AC185" t="str">
            <v>mstag:netIncomeReported</v>
          </cell>
          <cell r="AD185">
            <v>6</v>
          </cell>
          <cell r="AE185" t="str">
            <v>ISO4217:USD</v>
          </cell>
          <cell r="AF185" t="b">
            <v>0</v>
          </cell>
          <cell r="AG185" t="b">
            <v>0</v>
          </cell>
        </row>
        <row r="186">
          <cell r="A186" t="str">
            <v>Depreciation</v>
          </cell>
          <cell r="B186">
            <v>100</v>
          </cell>
          <cell r="C186">
            <v>127</v>
          </cell>
          <cell r="D186">
            <v>172</v>
          </cell>
          <cell r="E186">
            <v>162</v>
          </cell>
          <cell r="F186">
            <v>180.27562110187108</v>
          </cell>
          <cell r="G186">
            <v>199.9450183608601</v>
          </cell>
          <cell r="H186">
            <v>217.26313838829944</v>
          </cell>
          <cell r="I186">
            <v>233.04092402545029</v>
          </cell>
          <cell r="J186">
            <v>248.35316983458429</v>
          </cell>
          <cell r="K186">
            <v>263.26654504405138</v>
          </cell>
          <cell r="L186">
            <v>277.80278177967898</v>
          </cell>
          <cell r="M186">
            <v>291.99545076385317</v>
          </cell>
          <cell r="N186">
            <v>305.92617827971935</v>
          </cell>
          <cell r="AC186" t="str">
            <v>mstag:depreciation</v>
          </cell>
          <cell r="AD186">
            <v>6</v>
          </cell>
          <cell r="AE186" t="str">
            <v>ISO4217:USD</v>
          </cell>
          <cell r="AF186" t="b">
            <v>0</v>
          </cell>
          <cell r="AG186" t="b">
            <v>0</v>
          </cell>
        </row>
        <row r="187">
          <cell r="A187" t="str">
            <v>Amortization</v>
          </cell>
          <cell r="B187">
            <v>174</v>
          </cell>
          <cell r="C187">
            <v>267</v>
          </cell>
          <cell r="D187">
            <v>486</v>
          </cell>
          <cell r="E187">
            <v>477</v>
          </cell>
          <cell r="F187">
            <v>451</v>
          </cell>
          <cell r="G187">
            <v>410</v>
          </cell>
          <cell r="H187">
            <v>376</v>
          </cell>
          <cell r="I187">
            <v>343</v>
          </cell>
          <cell r="J187">
            <v>333</v>
          </cell>
          <cell r="K187">
            <v>333</v>
          </cell>
          <cell r="L187">
            <v>333</v>
          </cell>
          <cell r="M187">
            <v>333</v>
          </cell>
          <cell r="N187">
            <v>333</v>
          </cell>
          <cell r="AC187" t="str">
            <v>mstag:amortizationOfTaxableOtherIntangiblesCashFlowStatement</v>
          </cell>
          <cell r="AD187">
            <v>6</v>
          </cell>
          <cell r="AE187" t="str">
            <v>ISO4217:USD</v>
          </cell>
          <cell r="AF187" t="b">
            <v>0</v>
          </cell>
          <cell r="AG187" t="b">
            <v>0</v>
          </cell>
        </row>
        <row r="188">
          <cell r="A188" t="str">
            <v>Stock-based Compensation</v>
          </cell>
          <cell r="B188">
            <v>-46</v>
          </cell>
          <cell r="C188">
            <v>-91</v>
          </cell>
          <cell r="D188">
            <v>98</v>
          </cell>
          <cell r="E188">
            <v>52</v>
          </cell>
          <cell r="F188">
            <v>52</v>
          </cell>
          <cell r="G188">
            <v>52</v>
          </cell>
          <cell r="H188">
            <v>52</v>
          </cell>
          <cell r="I188">
            <v>52</v>
          </cell>
          <cell r="J188">
            <v>52</v>
          </cell>
          <cell r="K188">
            <v>52</v>
          </cell>
          <cell r="L188">
            <v>52</v>
          </cell>
          <cell r="M188">
            <v>52</v>
          </cell>
          <cell r="N188">
            <v>52</v>
          </cell>
          <cell r="AC188" t="str">
            <v>mstag:stockBasedCompensationChargePreTax</v>
          </cell>
          <cell r="AD188">
            <v>6</v>
          </cell>
          <cell r="AE188" t="str">
            <v>ISO4217:USD</v>
          </cell>
          <cell r="AF188" t="b">
            <v>0</v>
          </cell>
          <cell r="AG188" t="b">
            <v>0</v>
          </cell>
        </row>
        <row r="189">
          <cell r="A189" t="str">
            <v>Payments of Stock Compensation</v>
          </cell>
          <cell r="B189">
            <v>-117</v>
          </cell>
          <cell r="C189">
            <v>-360</v>
          </cell>
          <cell r="D189">
            <v>-10</v>
          </cell>
          <cell r="E189">
            <v>-103</v>
          </cell>
          <cell r="F189">
            <v>-133</v>
          </cell>
          <cell r="G189">
            <v>0</v>
          </cell>
          <cell r="H189">
            <v>0</v>
          </cell>
          <cell r="I189">
            <v>0</v>
          </cell>
          <cell r="J189">
            <v>0</v>
          </cell>
          <cell r="K189">
            <v>0</v>
          </cell>
          <cell r="L189">
            <v>0</v>
          </cell>
          <cell r="M189">
            <v>0</v>
          </cell>
          <cell r="N189">
            <v>0</v>
          </cell>
        </row>
        <row r="190">
          <cell r="A190" t="str">
            <v>Non-cash Interest</v>
          </cell>
          <cell r="B190">
            <v>12</v>
          </cell>
          <cell r="C190">
            <v>75</v>
          </cell>
          <cell r="D190">
            <v>96</v>
          </cell>
          <cell r="E190">
            <v>101</v>
          </cell>
          <cell r="F190">
            <v>96.707729135345758</v>
          </cell>
          <cell r="G190">
            <v>103.40734536365754</v>
          </cell>
          <cell r="H190">
            <v>40.730869851846862</v>
          </cell>
          <cell r="I190">
            <v>16.731364477811209</v>
          </cell>
          <cell r="J190">
            <v>18.85426159487686</v>
          </cell>
          <cell r="K190">
            <v>21.266326903852576</v>
          </cell>
          <cell r="L190">
            <v>24.007717493433866</v>
          </cell>
          <cell r="M190">
            <v>27.124259612428581</v>
          </cell>
          <cell r="N190">
            <v>30.418260003487017</v>
          </cell>
          <cell r="AC190" t="str">
            <v>mstag:otherCashFlow</v>
          </cell>
          <cell r="AD190">
            <v>6</v>
          </cell>
          <cell r="AE190" t="str">
            <v>ISO4217:USD</v>
          </cell>
          <cell r="AF190" t="b">
            <v>0</v>
          </cell>
          <cell r="AG190" t="b">
            <v>0</v>
          </cell>
        </row>
        <row r="191">
          <cell r="A191" t="str">
            <v>Nontemporary declines in fair value of investments</v>
          </cell>
          <cell r="B191">
            <v>5806</v>
          </cell>
          <cell r="C191">
            <v>22</v>
          </cell>
          <cell r="D191">
            <v>129</v>
          </cell>
          <cell r="E191">
            <v>449</v>
          </cell>
          <cell r="F191">
            <v>0</v>
          </cell>
          <cell r="G191">
            <v>0</v>
          </cell>
          <cell r="H191">
            <v>0</v>
          </cell>
          <cell r="I191">
            <v>0</v>
          </cell>
          <cell r="J191">
            <v>0</v>
          </cell>
          <cell r="K191">
            <v>0</v>
          </cell>
          <cell r="L191">
            <v>0</v>
          </cell>
          <cell r="M191">
            <v>0</v>
          </cell>
          <cell r="N191">
            <v>0</v>
          </cell>
        </row>
        <row r="192">
          <cell r="A192" t="str">
            <v>(Gains)/Losses on Derivative Instruments</v>
          </cell>
          <cell r="B192">
            <v>-2127</v>
          </cell>
          <cell r="C192">
            <v>661</v>
          </cell>
          <cell r="D192">
            <v>1284</v>
          </cell>
          <cell r="E192">
            <v>-257</v>
          </cell>
          <cell r="F192">
            <v>0</v>
          </cell>
          <cell r="G192">
            <v>0</v>
          </cell>
          <cell r="H192">
            <v>0</v>
          </cell>
          <cell r="I192">
            <v>0</v>
          </cell>
          <cell r="J192">
            <v>0</v>
          </cell>
          <cell r="K192">
            <v>0</v>
          </cell>
          <cell r="L192">
            <v>0</v>
          </cell>
          <cell r="M192">
            <v>0</v>
          </cell>
          <cell r="N192">
            <v>0</v>
          </cell>
          <cell r="AC192" t="str">
            <v>mstag:otherCashFlow</v>
          </cell>
          <cell r="AD192">
            <v>6</v>
          </cell>
          <cell r="AE192" t="str">
            <v>ISO4217:USD</v>
          </cell>
          <cell r="AF192" t="b">
            <v>0</v>
          </cell>
          <cell r="AG192" t="b">
            <v>0</v>
          </cell>
        </row>
        <row r="193">
          <cell r="A193" t="str">
            <v>(Gains)/Losses on Investments</v>
          </cell>
          <cell r="B193">
            <v>538</v>
          </cell>
          <cell r="C193">
            <v>-1126</v>
          </cell>
          <cell r="D193">
            <v>-1406</v>
          </cell>
          <cell r="E193">
            <v>365</v>
          </cell>
          <cell r="F193">
            <v>0</v>
          </cell>
          <cell r="G193">
            <v>0</v>
          </cell>
          <cell r="H193">
            <v>0</v>
          </cell>
          <cell r="I193">
            <v>0</v>
          </cell>
          <cell r="J193">
            <v>0</v>
          </cell>
          <cell r="K193">
            <v>0</v>
          </cell>
          <cell r="L193">
            <v>0</v>
          </cell>
          <cell r="M193">
            <v>0</v>
          </cell>
          <cell r="N193">
            <v>0</v>
          </cell>
          <cell r="AC193" t="str">
            <v>mstag:otherCashFlow</v>
          </cell>
          <cell r="AD193">
            <v>6</v>
          </cell>
          <cell r="AE193" t="str">
            <v>ISO4217:USD</v>
          </cell>
          <cell r="AF193" t="b">
            <v>0</v>
          </cell>
          <cell r="AG193" t="b">
            <v>0</v>
          </cell>
        </row>
        <row r="194">
          <cell r="A194" t="str">
            <v>Deferred Taxes</v>
          </cell>
          <cell r="B194">
            <v>-1489</v>
          </cell>
          <cell r="C194">
            <v>269</v>
          </cell>
          <cell r="D194">
            <v>-233</v>
          </cell>
          <cell r="E194">
            <v>-405</v>
          </cell>
          <cell r="F194">
            <v>-55.519690857286747</v>
          </cell>
          <cell r="G194">
            <v>-36.166792014474929</v>
          </cell>
          <cell r="H194">
            <v>-14.435655025171819</v>
          </cell>
          <cell r="I194">
            <v>-6.5701323614563449</v>
          </cell>
          <cell r="J194">
            <v>-2.0421551949573029</v>
          </cell>
          <cell r="K194">
            <v>0</v>
          </cell>
          <cell r="L194">
            <v>0</v>
          </cell>
          <cell r="M194">
            <v>0</v>
          </cell>
          <cell r="N194">
            <v>0</v>
          </cell>
          <cell r="AC194" t="str">
            <v>mstag:deferredTax</v>
          </cell>
          <cell r="AD194">
            <v>6</v>
          </cell>
          <cell r="AE194" t="str">
            <v>ISO4217:USD</v>
          </cell>
          <cell r="AF194" t="b">
            <v>0</v>
          </cell>
          <cell r="AG194" t="b">
            <v>0</v>
          </cell>
        </row>
        <row r="195">
          <cell r="A195" t="str">
            <v>Equity in Net Losses of Affiliated Companies</v>
          </cell>
          <cell r="B195">
            <v>57</v>
          </cell>
          <cell r="C195">
            <v>-7</v>
          </cell>
          <cell r="D195">
            <v>-15</v>
          </cell>
          <cell r="E195">
            <v>-13</v>
          </cell>
          <cell r="F195">
            <v>-127.80700872688762</v>
          </cell>
          <cell r="G195">
            <v>-148.58032321846042</v>
          </cell>
          <cell r="H195">
            <v>-168.8298066973876</v>
          </cell>
          <cell r="I195">
            <v>-188.4147810148599</v>
          </cell>
          <cell r="J195">
            <v>-207.32772980468178</v>
          </cell>
          <cell r="K195">
            <v>-223.15381616331473</v>
          </cell>
          <cell r="L195">
            <v>-239.37943892129275</v>
          </cell>
          <cell r="M195">
            <v>-255.94336880420764</v>
          </cell>
          <cell r="N195">
            <v>-272.7978429854403</v>
          </cell>
          <cell r="AC195" t="str">
            <v>mstag:incomeLossFromInvestmentsAccountedForUnderTheEquityMethodNonOperating</v>
          </cell>
          <cell r="AD195">
            <v>6</v>
          </cell>
          <cell r="AE195" t="str">
            <v>ISO4217:USD</v>
          </cell>
          <cell r="AF195" t="b">
            <v>1</v>
          </cell>
          <cell r="AG195" t="b">
            <v>0</v>
          </cell>
        </row>
        <row r="196">
          <cell r="A196" t="str">
            <v>Minority Interests in Subsidiaries</v>
          </cell>
          <cell r="B196">
            <v>-27</v>
          </cell>
          <cell r="C196">
            <v>0</v>
          </cell>
          <cell r="D196">
            <v>5</v>
          </cell>
          <cell r="E196">
            <v>41</v>
          </cell>
          <cell r="F196">
            <v>41</v>
          </cell>
          <cell r="G196">
            <v>41</v>
          </cell>
          <cell r="H196">
            <v>41</v>
          </cell>
          <cell r="I196">
            <v>41</v>
          </cell>
          <cell r="J196">
            <v>41</v>
          </cell>
          <cell r="K196">
            <v>41</v>
          </cell>
          <cell r="L196">
            <v>41</v>
          </cell>
          <cell r="M196">
            <v>41</v>
          </cell>
          <cell r="N196">
            <v>41</v>
          </cell>
          <cell r="AC196" t="str">
            <v>mstag:otherCashFlow</v>
          </cell>
          <cell r="AD196">
            <v>6</v>
          </cell>
          <cell r="AE196" t="str">
            <v>ISO4217:USD</v>
          </cell>
          <cell r="AF196" t="b">
            <v>0</v>
          </cell>
          <cell r="AG196" t="b">
            <v>0</v>
          </cell>
        </row>
        <row r="197">
          <cell r="A197" t="str">
            <v>Changes in Working Capital</v>
          </cell>
          <cell r="B197">
            <v>-107</v>
          </cell>
          <cell r="C197">
            <v>-171</v>
          </cell>
          <cell r="D197">
            <v>103</v>
          </cell>
          <cell r="E197">
            <v>263</v>
          </cell>
          <cell r="F197">
            <v>-20.479255117465414</v>
          </cell>
          <cell r="G197">
            <v>-65.046242140982486</v>
          </cell>
          <cell r="H197">
            <v>-65.890911681510488</v>
          </cell>
          <cell r="I197">
            <v>-62.576690280898788</v>
          </cell>
          <cell r="J197">
            <v>-62.367394609959774</v>
          </cell>
          <cell r="K197">
            <v>-66.558714094357356</v>
          </cell>
          <cell r="L197">
            <v>-65.182657069622564</v>
          </cell>
          <cell r="M197">
            <v>-65.699636908058096</v>
          </cell>
          <cell r="N197">
            <v>-69.201981455992836</v>
          </cell>
          <cell r="AC197" t="str">
            <v>mstag:netIncreaseInOtherLiabilitiesNonOperating</v>
          </cell>
          <cell r="AD197">
            <v>6</v>
          </cell>
          <cell r="AE197" t="str">
            <v>ISO4217:USD</v>
          </cell>
          <cell r="AF197" t="b">
            <v>0</v>
          </cell>
          <cell r="AG197" t="b">
            <v>0</v>
          </cell>
        </row>
        <row r="198">
          <cell r="A198" t="str">
            <v>Impairment of Long-lived Assets</v>
          </cell>
          <cell r="B198">
            <v>103</v>
          </cell>
          <cell r="C198">
            <v>1362</v>
          </cell>
          <cell r="D198">
            <v>0</v>
          </cell>
          <cell r="E198">
            <v>0</v>
          </cell>
          <cell r="F198">
            <v>0</v>
          </cell>
          <cell r="G198">
            <v>0</v>
          </cell>
          <cell r="H198">
            <v>0</v>
          </cell>
          <cell r="I198">
            <v>0</v>
          </cell>
          <cell r="J198">
            <v>0</v>
          </cell>
          <cell r="K198">
            <v>0</v>
          </cell>
          <cell r="L198">
            <v>0</v>
          </cell>
          <cell r="M198">
            <v>0</v>
          </cell>
          <cell r="N198">
            <v>0</v>
          </cell>
          <cell r="AC198" t="str">
            <v>mstag:assetImpairmentNonGoodwillOneTime</v>
          </cell>
          <cell r="AD198">
            <v>6</v>
          </cell>
          <cell r="AE198" t="str">
            <v>ISO4217:USD</v>
          </cell>
          <cell r="AF198" t="b">
            <v>0</v>
          </cell>
          <cell r="AG198" t="b">
            <v>0</v>
          </cell>
        </row>
        <row r="199">
          <cell r="A199" t="str">
            <v>Other</v>
          </cell>
          <cell r="B199">
            <v>19</v>
          </cell>
          <cell r="C199">
            <v>70</v>
          </cell>
          <cell r="D199">
            <v>21</v>
          </cell>
          <cell r="E199">
            <v>42</v>
          </cell>
          <cell r="F199">
            <v>0</v>
          </cell>
          <cell r="G199">
            <v>0</v>
          </cell>
          <cell r="H199">
            <v>0</v>
          </cell>
          <cell r="I199">
            <v>0</v>
          </cell>
          <cell r="J199">
            <v>0</v>
          </cell>
          <cell r="K199">
            <v>0</v>
          </cell>
          <cell r="L199">
            <v>0</v>
          </cell>
          <cell r="M199">
            <v>0</v>
          </cell>
          <cell r="N199">
            <v>0</v>
          </cell>
          <cell r="AC199" t="str">
            <v>mstag:otherCashFlow</v>
          </cell>
          <cell r="AD199">
            <v>6</v>
          </cell>
          <cell r="AE199" t="str">
            <v>ISO4217:USD</v>
          </cell>
          <cell r="AF199" t="b">
            <v>0</v>
          </cell>
          <cell r="AG199" t="b">
            <v>0</v>
          </cell>
        </row>
        <row r="200">
          <cell r="A200" t="str">
            <v>Net Cash from Operating Activities</v>
          </cell>
          <cell r="B200">
            <v>-77</v>
          </cell>
          <cell r="C200">
            <v>-131</v>
          </cell>
          <cell r="D200">
            <v>830</v>
          </cell>
          <cell r="E200">
            <v>1110</v>
          </cell>
          <cell r="F200">
            <v>951.53385587039793</v>
          </cell>
          <cell r="G200">
            <v>1149.9994838370985</v>
          </cell>
          <cell r="H200">
            <v>1243.8438945186356</v>
          </cell>
          <cell r="I200">
            <v>1345.0753592603951</v>
          </cell>
          <cell r="J200">
            <v>1463.1550967331655</v>
          </cell>
          <cell r="K200">
            <v>1575.1792631152246</v>
          </cell>
          <cell r="L200">
            <v>1685.7564699695495</v>
          </cell>
          <cell r="M200">
            <v>1788.817761418577</v>
          </cell>
          <cell r="N200">
            <v>1898.2816354592139</v>
          </cell>
        </row>
        <row r="202">
          <cell r="A202" t="str">
            <v>Capital Expenditures</v>
          </cell>
          <cell r="B202">
            <v>-91</v>
          </cell>
          <cell r="C202">
            <v>-151</v>
          </cell>
          <cell r="D202">
            <v>-177</v>
          </cell>
          <cell r="E202">
            <v>-233</v>
          </cell>
          <cell r="F202">
            <v>-380</v>
          </cell>
          <cell r="G202">
            <v>-391.77597293464976</v>
          </cell>
          <cell r="H202">
            <v>-404.75447697573645</v>
          </cell>
          <cell r="I202">
            <v>-418.65584726457837</v>
          </cell>
          <cell r="J202">
            <v>-433.16243712809347</v>
          </cell>
          <cell r="K202">
            <v>-447.69984626656668</v>
          </cell>
          <cell r="L202">
            <v>-461.81242212451411</v>
          </cell>
          <cell r="M202">
            <v>-476.32340947161094</v>
          </cell>
          <cell r="N202">
            <v>-491.77710146352263</v>
          </cell>
          <cell r="AC202" t="str">
            <v>mstag:capitalExpenditures</v>
          </cell>
          <cell r="AD202">
            <v>6</v>
          </cell>
          <cell r="AE202" t="str">
            <v>ISO4217:USD</v>
          </cell>
          <cell r="AF202" t="b">
            <v>1</v>
          </cell>
          <cell r="AG202" t="b">
            <v>0</v>
          </cell>
        </row>
        <row r="203">
          <cell r="A203" t="str">
            <v>Investments in Equity and Cost Investees</v>
          </cell>
          <cell r="B203">
            <v>-293</v>
          </cell>
          <cell r="C203">
            <v>-2557</v>
          </cell>
          <cell r="D203">
            <v>-960</v>
          </cell>
          <cell r="E203">
            <v>-24</v>
          </cell>
          <cell r="F203">
            <v>0</v>
          </cell>
          <cell r="G203">
            <v>0</v>
          </cell>
          <cell r="H203">
            <v>0</v>
          </cell>
          <cell r="I203">
            <v>0</v>
          </cell>
          <cell r="J203">
            <v>0</v>
          </cell>
          <cell r="K203">
            <v>0</v>
          </cell>
          <cell r="L203">
            <v>0</v>
          </cell>
          <cell r="M203">
            <v>0</v>
          </cell>
          <cell r="N203">
            <v>0</v>
          </cell>
          <cell r="AC203" t="str">
            <v>mstag:otherCashFlow</v>
          </cell>
          <cell r="AD203">
            <v>6</v>
          </cell>
          <cell r="AE203" t="str">
            <v>ISO4217:USD</v>
          </cell>
          <cell r="AF203" t="b">
            <v>0</v>
          </cell>
          <cell r="AG203" t="b">
            <v>0</v>
          </cell>
        </row>
        <row r="204">
          <cell r="A204" t="str">
            <v>Proceeds from derivative instruments</v>
          </cell>
          <cell r="B204">
            <v>931</v>
          </cell>
          <cell r="C204">
            <v>1935</v>
          </cell>
          <cell r="D204">
            <v>515</v>
          </cell>
          <cell r="E204">
            <v>934</v>
          </cell>
          <cell r="F204">
            <v>0</v>
          </cell>
          <cell r="G204">
            <v>0</v>
          </cell>
          <cell r="H204">
            <v>0</v>
          </cell>
          <cell r="I204">
            <v>0</v>
          </cell>
          <cell r="J204">
            <v>0</v>
          </cell>
          <cell r="K204">
            <v>0</v>
          </cell>
          <cell r="L204">
            <v>0</v>
          </cell>
          <cell r="M204">
            <v>0</v>
          </cell>
          <cell r="N204">
            <v>0</v>
          </cell>
          <cell r="AC204" t="str">
            <v>mstag:otherCashFlow</v>
          </cell>
          <cell r="AD204">
            <v>6</v>
          </cell>
          <cell r="AE204" t="str">
            <v>ISO4217:USD</v>
          </cell>
          <cell r="AF204" t="b">
            <v>0</v>
          </cell>
          <cell r="AG204" t="b">
            <v>0</v>
          </cell>
        </row>
        <row r="205">
          <cell r="A205" t="str">
            <v>Proceeds from dispositions/(Acquisitions)</v>
          </cell>
          <cell r="B205">
            <v>937</v>
          </cell>
          <cell r="C205">
            <v>1732</v>
          </cell>
          <cell r="D205">
            <v>386</v>
          </cell>
          <cell r="E205">
            <v>58</v>
          </cell>
          <cell r="F205">
            <v>0</v>
          </cell>
          <cell r="G205">
            <v>0</v>
          </cell>
          <cell r="H205">
            <v>0</v>
          </cell>
          <cell r="I205">
            <v>0</v>
          </cell>
          <cell r="J205">
            <v>0</v>
          </cell>
          <cell r="K205">
            <v>0</v>
          </cell>
          <cell r="L205">
            <v>0</v>
          </cell>
          <cell r="M205">
            <v>0</v>
          </cell>
          <cell r="N205">
            <v>0</v>
          </cell>
          <cell r="AC205" t="str">
            <v>mstag:netDisposalsAcquisitions</v>
          </cell>
          <cell r="AD205">
            <v>6</v>
          </cell>
          <cell r="AE205" t="str">
            <v>ISO4217:USD</v>
          </cell>
          <cell r="AF205" t="b">
            <v>0</v>
          </cell>
          <cell r="AG205" t="b">
            <v>0</v>
          </cell>
        </row>
        <row r="206">
          <cell r="A206" t="str">
            <v>Other, net</v>
          </cell>
          <cell r="B206">
            <v>169</v>
          </cell>
          <cell r="C206">
            <v>104</v>
          </cell>
          <cell r="D206">
            <v>375</v>
          </cell>
          <cell r="E206">
            <v>-100</v>
          </cell>
          <cell r="F206">
            <v>-102.66666666666667</v>
          </cell>
          <cell r="G206">
            <v>-102.66666666666667</v>
          </cell>
          <cell r="H206">
            <v>-102.66666666666667</v>
          </cell>
          <cell r="I206">
            <v>-102.66666666666667</v>
          </cell>
          <cell r="J206">
            <v>-102.66666666666667</v>
          </cell>
          <cell r="K206">
            <v>-102.66666666666667</v>
          </cell>
          <cell r="L206">
            <v>-102.66666666666667</v>
          </cell>
          <cell r="M206">
            <v>-102.66666666666667</v>
          </cell>
          <cell r="N206">
            <v>-102.66666666666667</v>
          </cell>
          <cell r="AC206" t="str">
            <v>mstag:otherCashFlow</v>
          </cell>
          <cell r="AD206">
            <v>6</v>
          </cell>
          <cell r="AE206" t="str">
            <v>ISO4217:USD</v>
          </cell>
          <cell r="AF206" t="b">
            <v>0</v>
          </cell>
          <cell r="AG206" t="b">
            <v>0</v>
          </cell>
        </row>
        <row r="207">
          <cell r="A207" t="str">
            <v>Net Cash from Investing Activities</v>
          </cell>
          <cell r="B207">
            <v>1653</v>
          </cell>
          <cell r="C207">
            <v>1063</v>
          </cell>
          <cell r="D207">
            <v>139</v>
          </cell>
          <cell r="E207">
            <v>635</v>
          </cell>
          <cell r="F207">
            <v>-482.66666666666669</v>
          </cell>
          <cell r="G207">
            <v>-494.44263960131644</v>
          </cell>
          <cell r="H207">
            <v>-507.42114364240314</v>
          </cell>
          <cell r="I207">
            <v>-521.322513931245</v>
          </cell>
          <cell r="J207">
            <v>-535.82910379476016</v>
          </cell>
          <cell r="K207">
            <v>-550.36651293323337</v>
          </cell>
          <cell r="L207">
            <v>-564.47908879118074</v>
          </cell>
          <cell r="M207">
            <v>-578.99007613827757</v>
          </cell>
          <cell r="N207">
            <v>-594.44376813018926</v>
          </cell>
        </row>
        <row r="209">
          <cell r="A209" t="str">
            <v>Changes in Debt</v>
          </cell>
          <cell r="B209">
            <v>-556</v>
          </cell>
          <cell r="C209">
            <v>1079</v>
          </cell>
          <cell r="D209">
            <v>-1006</v>
          </cell>
          <cell r="E209">
            <v>-940</v>
          </cell>
          <cell r="F209">
            <v>-2</v>
          </cell>
          <cell r="G209">
            <v>-2</v>
          </cell>
          <cell r="H209">
            <v>-2</v>
          </cell>
          <cell r="I209">
            <v>-2</v>
          </cell>
          <cell r="J209">
            <v>-2</v>
          </cell>
          <cell r="K209">
            <v>-2</v>
          </cell>
          <cell r="L209">
            <v>-2</v>
          </cell>
          <cell r="M209">
            <v>-2</v>
          </cell>
          <cell r="N209">
            <v>-2</v>
          </cell>
          <cell r="AC209" t="str">
            <v>mstag:proceedsFromIssuanceAndCashUsedToRepayLongTermDebt</v>
          </cell>
          <cell r="AD209">
            <v>6</v>
          </cell>
          <cell r="AE209" t="str">
            <v>ISO4217:USD</v>
          </cell>
          <cell r="AF209" t="b">
            <v>0</v>
          </cell>
          <cell r="AG209" t="b">
            <v>0</v>
          </cell>
        </row>
        <row r="210">
          <cell r="A210" t="str">
            <v>Intergroup Cash Transfers</v>
          </cell>
          <cell r="B210">
            <v>0</v>
          </cell>
          <cell r="C210">
            <v>0</v>
          </cell>
          <cell r="D210">
            <v>0</v>
          </cell>
          <cell r="E210">
            <v>0</v>
          </cell>
          <cell r="F210">
            <v>0</v>
          </cell>
          <cell r="G210">
            <v>0</v>
          </cell>
          <cell r="H210">
            <v>0</v>
          </cell>
          <cell r="I210">
            <v>0</v>
          </cell>
          <cell r="J210">
            <v>0</v>
          </cell>
          <cell r="K210">
            <v>0</v>
          </cell>
          <cell r="L210">
            <v>0</v>
          </cell>
          <cell r="M210">
            <v>0</v>
          </cell>
          <cell r="N210">
            <v>0</v>
          </cell>
        </row>
        <row r="211">
          <cell r="A211" t="str">
            <v>Issuance (Repurchase) of Common Stock</v>
          </cell>
          <cell r="B211">
            <v>337</v>
          </cell>
          <cell r="C211">
            <v>-296</v>
          </cell>
          <cell r="D211">
            <v>-718</v>
          </cell>
          <cell r="E211">
            <v>-95</v>
          </cell>
          <cell r="F211">
            <v>0</v>
          </cell>
          <cell r="G211">
            <v>0</v>
          </cell>
          <cell r="H211">
            <v>0</v>
          </cell>
          <cell r="I211">
            <v>0</v>
          </cell>
          <cell r="J211">
            <v>0</v>
          </cell>
          <cell r="K211">
            <v>0</v>
          </cell>
          <cell r="L211">
            <v>0</v>
          </cell>
          <cell r="M211">
            <v>0</v>
          </cell>
          <cell r="N211">
            <v>0</v>
          </cell>
          <cell r="AC211" t="str">
            <v>mstag:proceedsFromIssuanceFundsUsedToRepurchaseCommonStock</v>
          </cell>
          <cell r="AD211">
            <v>6</v>
          </cell>
          <cell r="AE211" t="str">
            <v>ISO4217:USD</v>
          </cell>
          <cell r="AF211" t="b">
            <v>0</v>
          </cell>
          <cell r="AG211" t="b">
            <v>0</v>
          </cell>
        </row>
        <row r="212">
          <cell r="A212" t="str">
            <v>Dividends</v>
          </cell>
          <cell r="B212">
            <v>0</v>
          </cell>
          <cell r="C212">
            <v>0</v>
          </cell>
          <cell r="D212">
            <v>0</v>
          </cell>
          <cell r="E212">
            <v>0</v>
          </cell>
          <cell r="F212">
            <v>0</v>
          </cell>
          <cell r="G212">
            <v>0</v>
          </cell>
          <cell r="H212">
            <v>0</v>
          </cell>
          <cell r="I212">
            <v>0</v>
          </cell>
          <cell r="J212">
            <v>0</v>
          </cell>
          <cell r="K212">
            <v>0</v>
          </cell>
          <cell r="L212">
            <v>0</v>
          </cell>
          <cell r="M212">
            <v>0</v>
          </cell>
          <cell r="N212">
            <v>0</v>
          </cell>
          <cell r="AC212" t="str">
            <v>mstag:cashDividendsPaid</v>
          </cell>
          <cell r="AD212">
            <v>6</v>
          </cell>
          <cell r="AE212" t="str">
            <v>ISO4217:USD</v>
          </cell>
          <cell r="AF212" t="b">
            <v>0</v>
          </cell>
          <cell r="AG212" t="b">
            <v>0</v>
          </cell>
        </row>
        <row r="213">
          <cell r="A213" t="str">
            <v>Other</v>
          </cell>
          <cell r="B213">
            <v>2</v>
          </cell>
          <cell r="C213">
            <v>-42</v>
          </cell>
          <cell r="D213">
            <v>37</v>
          </cell>
          <cell r="E213">
            <v>100</v>
          </cell>
          <cell r="F213">
            <v>100</v>
          </cell>
          <cell r="G213">
            <v>100</v>
          </cell>
          <cell r="H213">
            <v>100</v>
          </cell>
          <cell r="I213">
            <v>100</v>
          </cell>
          <cell r="J213">
            <v>100</v>
          </cell>
          <cell r="K213">
            <v>100</v>
          </cell>
          <cell r="L213">
            <v>100</v>
          </cell>
          <cell r="M213">
            <v>100</v>
          </cell>
          <cell r="N213">
            <v>100</v>
          </cell>
          <cell r="AC213" t="str">
            <v>mstag:otherCashFlow</v>
          </cell>
          <cell r="AD213">
            <v>6</v>
          </cell>
          <cell r="AE213" t="str">
            <v>ISO4217:USD</v>
          </cell>
          <cell r="AF213" t="b">
            <v>0</v>
          </cell>
          <cell r="AG213" t="b">
            <v>0</v>
          </cell>
        </row>
        <row r="214">
          <cell r="A214" t="str">
            <v>Net Cash from Financing Activities</v>
          </cell>
          <cell r="B214">
            <v>-217</v>
          </cell>
          <cell r="C214">
            <v>741</v>
          </cell>
          <cell r="D214">
            <v>-1687</v>
          </cell>
          <cell r="E214">
            <v>-935</v>
          </cell>
          <cell r="F214">
            <v>98</v>
          </cell>
          <cell r="G214">
            <v>98</v>
          </cell>
          <cell r="H214">
            <v>98</v>
          </cell>
          <cell r="I214">
            <v>98</v>
          </cell>
          <cell r="J214">
            <v>98</v>
          </cell>
          <cell r="K214">
            <v>98</v>
          </cell>
          <cell r="L214">
            <v>98</v>
          </cell>
          <cell r="M214">
            <v>98</v>
          </cell>
          <cell r="N214">
            <v>98</v>
          </cell>
        </row>
        <row r="216">
          <cell r="A216" t="str">
            <v>Cash from Discontinued Ops.</v>
          </cell>
          <cell r="B216">
            <v>-1250</v>
          </cell>
          <cell r="C216">
            <v>-875</v>
          </cell>
          <cell r="D216">
            <v>-864</v>
          </cell>
          <cell r="E216">
            <v>-206</v>
          </cell>
          <cell r="F216">
            <v>0</v>
          </cell>
          <cell r="G216">
            <v>0</v>
          </cell>
          <cell r="H216">
            <v>0</v>
          </cell>
          <cell r="I216">
            <v>0</v>
          </cell>
          <cell r="J216">
            <v>0</v>
          </cell>
          <cell r="K216">
            <v>0</v>
          </cell>
          <cell r="L216">
            <v>0</v>
          </cell>
          <cell r="M216">
            <v>0</v>
          </cell>
          <cell r="N216">
            <v>0</v>
          </cell>
          <cell r="AC216" t="str">
            <v>mstag:otherCashFlow</v>
          </cell>
          <cell r="AD216">
            <v>6</v>
          </cell>
          <cell r="AE216" t="str">
            <v>ISO4217:USD</v>
          </cell>
          <cell r="AF216" t="b">
            <v>0</v>
          </cell>
          <cell r="AG216" t="b">
            <v>0</v>
          </cell>
        </row>
        <row r="217">
          <cell r="A217" t="str">
            <v>Effect of foreign currency rates on cash</v>
          </cell>
          <cell r="B217">
            <v>0</v>
          </cell>
          <cell r="C217">
            <v>18</v>
          </cell>
          <cell r="D217">
            <v>3</v>
          </cell>
          <cell r="E217">
            <v>-45</v>
          </cell>
          <cell r="F217">
            <v>0</v>
          </cell>
          <cell r="G217">
            <v>0</v>
          </cell>
          <cell r="H217">
            <v>0</v>
          </cell>
          <cell r="I217">
            <v>0</v>
          </cell>
          <cell r="J217">
            <v>0</v>
          </cell>
          <cell r="K217">
            <v>0</v>
          </cell>
          <cell r="L217">
            <v>0</v>
          </cell>
          <cell r="M217">
            <v>0</v>
          </cell>
          <cell r="N217">
            <v>0</v>
          </cell>
        </row>
        <row r="219">
          <cell r="A219" t="str">
            <v>Beginning Cash Balance</v>
          </cell>
          <cell r="B219">
            <v>2041</v>
          </cell>
          <cell r="C219">
            <v>2150</v>
          </cell>
          <cell r="D219">
            <v>2966</v>
          </cell>
          <cell r="E219">
            <v>1387</v>
          </cell>
          <cell r="F219">
            <v>1946</v>
          </cell>
          <cell r="G219">
            <v>2512.867189203731</v>
          </cell>
          <cell r="H219">
            <v>3266.4240334395131</v>
          </cell>
          <cell r="I219">
            <v>4100.846784315745</v>
          </cell>
          <cell r="J219">
            <v>5022.5996296448948</v>
          </cell>
          <cell r="K219">
            <v>6047.9256225832996</v>
          </cell>
          <cell r="L219">
            <v>7170.7383727652905</v>
          </cell>
          <cell r="M219">
            <v>8390.0157539436586</v>
          </cell>
          <cell r="N219">
            <v>9697.8434392239578</v>
          </cell>
        </row>
        <row r="220">
          <cell r="A220" t="str">
            <v>Net Increase/(Decrease) in Cash</v>
          </cell>
          <cell r="B220">
            <v>109</v>
          </cell>
          <cell r="C220">
            <v>816</v>
          </cell>
          <cell r="D220">
            <v>-1579</v>
          </cell>
          <cell r="E220">
            <v>559</v>
          </cell>
          <cell r="F220">
            <v>566.86718920373119</v>
          </cell>
          <cell r="G220">
            <v>753.55684423578214</v>
          </cell>
          <cell r="H220">
            <v>834.42275087623239</v>
          </cell>
          <cell r="I220">
            <v>921.75284532915009</v>
          </cell>
          <cell r="J220">
            <v>1025.3259929384053</v>
          </cell>
          <cell r="K220">
            <v>1122.8127501819913</v>
          </cell>
          <cell r="L220">
            <v>1219.2773811783686</v>
          </cell>
          <cell r="M220">
            <v>1307.8276852802994</v>
          </cell>
          <cell r="N220">
            <v>1401.8378673290247</v>
          </cell>
        </row>
        <row r="221">
          <cell r="A221" t="str">
            <v>Ending Cash Balance</v>
          </cell>
          <cell r="B221">
            <v>2150</v>
          </cell>
          <cell r="C221">
            <v>2966</v>
          </cell>
          <cell r="D221">
            <v>1387</v>
          </cell>
          <cell r="E221">
            <v>1946</v>
          </cell>
          <cell r="F221">
            <v>2512.867189203731</v>
          </cell>
          <cell r="G221">
            <v>3266.4240334395131</v>
          </cell>
          <cell r="H221">
            <v>4100.846784315745</v>
          </cell>
          <cell r="I221">
            <v>5022.5996296448948</v>
          </cell>
          <cell r="J221">
            <v>6047.9256225832996</v>
          </cell>
          <cell r="K221">
            <v>7170.7383727652905</v>
          </cell>
          <cell r="L221">
            <v>8390.0157539436586</v>
          </cell>
          <cell r="M221">
            <v>9697.8434392239578</v>
          </cell>
          <cell r="N221">
            <v>11099.681306552982</v>
          </cell>
        </row>
        <row r="224">
          <cell r="A224" t="str">
            <v>Net Issuance of Stock</v>
          </cell>
          <cell r="B224">
            <v>502</v>
          </cell>
          <cell r="C224">
            <v>2503</v>
          </cell>
          <cell r="D224">
            <v>-5271</v>
          </cell>
          <cell r="E224">
            <v>-4361</v>
          </cell>
          <cell r="F224">
            <v>0</v>
          </cell>
          <cell r="G224">
            <v>0</v>
          </cell>
          <cell r="H224">
            <v>0</v>
          </cell>
          <cell r="I224">
            <v>0</v>
          </cell>
          <cell r="J224">
            <v>0</v>
          </cell>
          <cell r="K224">
            <v>0</v>
          </cell>
          <cell r="L224">
            <v>0</v>
          </cell>
          <cell r="M224">
            <v>0</v>
          </cell>
          <cell r="N224">
            <v>0</v>
          </cell>
          <cell r="AC224" t="str">
            <v>mstag:netIssuanceRepurchaseOfCommonStock</v>
          </cell>
          <cell r="AD224">
            <v>6</v>
          </cell>
          <cell r="AE224" t="str">
            <v>ISO4217:USD</v>
          </cell>
          <cell r="AF224" t="b">
            <v>0</v>
          </cell>
          <cell r="AG224" t="b">
            <v>0</v>
          </cell>
        </row>
        <row r="226">
          <cell r="A226" t="str">
            <v>Debt Analysis</v>
          </cell>
        </row>
        <row r="228">
          <cell r="A228" t="str">
            <v>Debt Schedule</v>
          </cell>
        </row>
        <row r="229">
          <cell r="A229" t="str">
            <v>New Debt</v>
          </cell>
          <cell r="C229">
            <v>0</v>
          </cell>
          <cell r="D229">
            <v>0</v>
          </cell>
          <cell r="E229">
            <v>0</v>
          </cell>
          <cell r="F229">
            <v>1377</v>
          </cell>
          <cell r="G229">
            <v>1398</v>
          </cell>
          <cell r="H229">
            <v>1419</v>
          </cell>
          <cell r="I229">
            <v>2323</v>
          </cell>
          <cell r="J229">
            <v>2323</v>
          </cell>
          <cell r="K229">
            <v>2323</v>
          </cell>
          <cell r="L229">
            <v>2323</v>
          </cell>
          <cell r="M229">
            <v>3125</v>
          </cell>
          <cell r="N229">
            <v>3125</v>
          </cell>
        </row>
        <row r="230">
          <cell r="A230" t="str">
            <v>Bank Debt</v>
          </cell>
          <cell r="C230">
            <v>0</v>
          </cell>
          <cell r="D230">
            <v>0</v>
          </cell>
          <cell r="E230">
            <v>0</v>
          </cell>
          <cell r="F230">
            <v>0</v>
          </cell>
          <cell r="G230">
            <v>0</v>
          </cell>
          <cell r="H230">
            <v>0</v>
          </cell>
          <cell r="I230">
            <v>0</v>
          </cell>
          <cell r="J230">
            <v>0</v>
          </cell>
          <cell r="K230">
            <v>0</v>
          </cell>
          <cell r="L230">
            <v>0</v>
          </cell>
          <cell r="M230">
            <v>0</v>
          </cell>
          <cell r="N230">
            <v>0</v>
          </cell>
          <cell r="Q230">
            <v>1974</v>
          </cell>
          <cell r="R230">
            <v>2973</v>
          </cell>
          <cell r="S230">
            <v>2973</v>
          </cell>
        </row>
        <row r="231">
          <cell r="A231" t="str">
            <v>3.5% Senior Notes due 9/25/06</v>
          </cell>
          <cell r="C231">
            <v>1187</v>
          </cell>
          <cell r="D231">
            <v>514</v>
          </cell>
          <cell r="E231">
            <v>121</v>
          </cell>
          <cell r="F231">
            <v>0</v>
          </cell>
          <cell r="G231">
            <v>0</v>
          </cell>
          <cell r="H231">
            <v>0</v>
          </cell>
          <cell r="I231">
            <v>0</v>
          </cell>
          <cell r="J231">
            <v>0</v>
          </cell>
          <cell r="K231">
            <v>0</v>
          </cell>
          <cell r="L231">
            <v>0</v>
          </cell>
          <cell r="M231">
            <v>0</v>
          </cell>
          <cell r="N231">
            <v>0</v>
          </cell>
          <cell r="Q231">
            <v>1187</v>
          </cell>
          <cell r="R231">
            <v>1187</v>
          </cell>
          <cell r="S231">
            <v>1187</v>
          </cell>
        </row>
        <row r="232">
          <cell r="A232" t="str">
            <v>Floating rate notes due 9/17/06</v>
          </cell>
          <cell r="C232">
            <v>2463</v>
          </cell>
          <cell r="D232">
            <v>2463</v>
          </cell>
          <cell r="E232">
            <v>1247</v>
          </cell>
          <cell r="F232">
            <v>0</v>
          </cell>
          <cell r="G232">
            <v>0</v>
          </cell>
          <cell r="H232">
            <v>0</v>
          </cell>
          <cell r="I232">
            <v>0</v>
          </cell>
          <cell r="J232">
            <v>0</v>
          </cell>
          <cell r="K232">
            <v>0</v>
          </cell>
          <cell r="L232">
            <v>0</v>
          </cell>
          <cell r="M232">
            <v>0</v>
          </cell>
          <cell r="N232">
            <v>0</v>
          </cell>
          <cell r="Q232">
            <v>2463</v>
          </cell>
          <cell r="R232">
            <v>2327</v>
          </cell>
          <cell r="S232">
            <v>2133</v>
          </cell>
        </row>
        <row r="233">
          <cell r="A233" t="str">
            <v>7.875% Senior Notes due 7/15/09</v>
          </cell>
          <cell r="C233">
            <v>749</v>
          </cell>
          <cell r="D233">
            <v>716</v>
          </cell>
          <cell r="E233">
            <v>670</v>
          </cell>
          <cell r="F233">
            <v>670</v>
          </cell>
          <cell r="G233">
            <v>670</v>
          </cell>
          <cell r="H233">
            <v>670</v>
          </cell>
          <cell r="I233">
            <v>0</v>
          </cell>
          <cell r="J233">
            <v>0</v>
          </cell>
          <cell r="K233">
            <v>0</v>
          </cell>
          <cell r="L233">
            <v>0</v>
          </cell>
          <cell r="M233">
            <v>0</v>
          </cell>
          <cell r="N233">
            <v>0</v>
          </cell>
          <cell r="Q233">
            <v>749</v>
          </cell>
          <cell r="R233">
            <v>749</v>
          </cell>
          <cell r="S233">
            <v>749</v>
          </cell>
        </row>
        <row r="234">
          <cell r="A234" t="str">
            <v>7.75% Senior Notes due 7/15/09</v>
          </cell>
          <cell r="C234">
            <v>238</v>
          </cell>
          <cell r="D234">
            <v>234</v>
          </cell>
          <cell r="E234">
            <v>234</v>
          </cell>
          <cell r="F234">
            <v>234</v>
          </cell>
          <cell r="G234">
            <v>234</v>
          </cell>
          <cell r="H234">
            <v>234</v>
          </cell>
          <cell r="I234">
            <v>0</v>
          </cell>
          <cell r="J234">
            <v>0</v>
          </cell>
          <cell r="K234">
            <v>0</v>
          </cell>
          <cell r="L234">
            <v>0</v>
          </cell>
          <cell r="M234">
            <v>0</v>
          </cell>
          <cell r="N234">
            <v>0</v>
          </cell>
          <cell r="Q234">
            <v>238</v>
          </cell>
          <cell r="R234">
            <v>238</v>
          </cell>
          <cell r="S234">
            <v>238</v>
          </cell>
        </row>
        <row r="235">
          <cell r="A235" t="str">
            <v>5.7% Senior Notes due 2013</v>
          </cell>
          <cell r="C235">
            <v>999</v>
          </cell>
          <cell r="D235">
            <v>802</v>
          </cell>
          <cell r="E235">
            <v>802</v>
          </cell>
          <cell r="F235">
            <v>802</v>
          </cell>
          <cell r="G235">
            <v>802</v>
          </cell>
          <cell r="H235">
            <v>802</v>
          </cell>
          <cell r="I235">
            <v>802</v>
          </cell>
          <cell r="J235">
            <v>802</v>
          </cell>
          <cell r="K235">
            <v>802</v>
          </cell>
          <cell r="L235">
            <v>802</v>
          </cell>
          <cell r="M235">
            <v>0</v>
          </cell>
          <cell r="N235">
            <v>0</v>
          </cell>
          <cell r="Q235">
            <v>999</v>
          </cell>
        </row>
        <row r="236">
          <cell r="A236" t="str">
            <v>8.50% Senior Notes due 7/15/29</v>
          </cell>
          <cell r="C236">
            <v>500</v>
          </cell>
          <cell r="D236">
            <v>500</v>
          </cell>
          <cell r="E236">
            <v>500</v>
          </cell>
          <cell r="F236">
            <v>500</v>
          </cell>
          <cell r="G236">
            <v>500</v>
          </cell>
          <cell r="H236">
            <v>500</v>
          </cell>
          <cell r="I236">
            <v>500</v>
          </cell>
          <cell r="J236">
            <v>500</v>
          </cell>
          <cell r="K236">
            <v>500</v>
          </cell>
          <cell r="L236">
            <v>500</v>
          </cell>
          <cell r="M236">
            <v>500</v>
          </cell>
          <cell r="N236">
            <v>500</v>
          </cell>
          <cell r="Q236">
            <v>500</v>
          </cell>
          <cell r="R236">
            <v>500</v>
          </cell>
          <cell r="S236">
            <v>500</v>
          </cell>
        </row>
        <row r="237">
          <cell r="A237" t="str">
            <v>8.25% Senior Notes due 2/1/30</v>
          </cell>
          <cell r="C237">
            <v>1000</v>
          </cell>
          <cell r="D237">
            <v>959</v>
          </cell>
          <cell r="E237">
            <v>902</v>
          </cell>
          <cell r="F237">
            <v>902</v>
          </cell>
          <cell r="G237">
            <v>902</v>
          </cell>
          <cell r="H237">
            <v>902</v>
          </cell>
          <cell r="I237">
            <v>902</v>
          </cell>
          <cell r="J237">
            <v>902</v>
          </cell>
          <cell r="K237">
            <v>902</v>
          </cell>
          <cell r="L237">
            <v>902</v>
          </cell>
          <cell r="M237">
            <v>902</v>
          </cell>
          <cell r="N237">
            <v>902</v>
          </cell>
          <cell r="Q237">
            <v>1000</v>
          </cell>
          <cell r="R237">
            <v>1000</v>
          </cell>
          <cell r="S237">
            <v>1000</v>
          </cell>
        </row>
        <row r="238">
          <cell r="A238" t="str">
            <v>QVC Bank Credit Facility</v>
          </cell>
          <cell r="C238">
            <v>0</v>
          </cell>
          <cell r="D238">
            <v>0</v>
          </cell>
          <cell r="E238">
            <v>800</v>
          </cell>
          <cell r="F238">
            <v>800</v>
          </cell>
          <cell r="G238">
            <v>800</v>
          </cell>
          <cell r="H238">
            <v>800</v>
          </cell>
          <cell r="I238">
            <v>800</v>
          </cell>
          <cell r="J238">
            <v>800</v>
          </cell>
          <cell r="K238">
            <v>800</v>
          </cell>
          <cell r="L238">
            <v>800</v>
          </cell>
          <cell r="M238">
            <v>800</v>
          </cell>
          <cell r="N238">
            <v>800</v>
          </cell>
          <cell r="Q238">
            <v>0</v>
          </cell>
          <cell r="R238">
            <v>0</v>
          </cell>
          <cell r="S238">
            <v>0</v>
          </cell>
        </row>
        <row r="239">
          <cell r="A239" t="str">
            <v>QVC Capital Leases</v>
          </cell>
          <cell r="C239">
            <v>68</v>
          </cell>
          <cell r="D239">
            <v>86</v>
          </cell>
          <cell r="E239">
            <v>68</v>
          </cell>
          <cell r="F239">
            <v>59</v>
          </cell>
          <cell r="G239">
            <v>38</v>
          </cell>
          <cell r="H239">
            <v>17</v>
          </cell>
          <cell r="I239">
            <v>17</v>
          </cell>
          <cell r="J239">
            <v>17</v>
          </cell>
          <cell r="K239">
            <v>17</v>
          </cell>
          <cell r="L239">
            <v>17</v>
          </cell>
          <cell r="M239">
            <v>17</v>
          </cell>
          <cell r="N239">
            <v>17</v>
          </cell>
        </row>
        <row r="240">
          <cell r="A240" t="str">
            <v>4.00% Senior Exchangeable Debentures due 11/15/29</v>
          </cell>
          <cell r="C240">
            <v>869</v>
          </cell>
          <cell r="D240">
            <v>869</v>
          </cell>
          <cell r="E240">
            <v>869</v>
          </cell>
          <cell r="F240">
            <v>869</v>
          </cell>
          <cell r="G240">
            <v>869</v>
          </cell>
          <cell r="H240">
            <v>869</v>
          </cell>
          <cell r="I240">
            <v>869</v>
          </cell>
          <cell r="J240">
            <v>869</v>
          </cell>
          <cell r="K240">
            <v>869</v>
          </cell>
          <cell r="L240">
            <v>869</v>
          </cell>
          <cell r="M240">
            <v>869</v>
          </cell>
          <cell r="N240">
            <v>869</v>
          </cell>
          <cell r="Q240">
            <v>869</v>
          </cell>
          <cell r="R240">
            <v>869</v>
          </cell>
          <cell r="S240">
            <v>869</v>
          </cell>
        </row>
        <row r="241">
          <cell r="A241" t="str">
            <v>3.75% Senior Exchangeable Debentures due 2/15/30</v>
          </cell>
          <cell r="C241">
            <v>810</v>
          </cell>
          <cell r="D241">
            <v>810</v>
          </cell>
          <cell r="E241">
            <v>810</v>
          </cell>
          <cell r="F241">
            <v>810</v>
          </cell>
          <cell r="G241">
            <v>810</v>
          </cell>
          <cell r="H241">
            <v>810</v>
          </cell>
          <cell r="I241">
            <v>810</v>
          </cell>
          <cell r="J241">
            <v>810</v>
          </cell>
          <cell r="K241">
            <v>810</v>
          </cell>
          <cell r="L241">
            <v>810</v>
          </cell>
          <cell r="M241">
            <v>810</v>
          </cell>
          <cell r="N241">
            <v>810</v>
          </cell>
          <cell r="Q241">
            <v>810</v>
          </cell>
          <cell r="R241">
            <v>810</v>
          </cell>
          <cell r="S241">
            <v>810</v>
          </cell>
        </row>
        <row r="242">
          <cell r="A242" t="str">
            <v>3.50% Senior Exchangeable Debentures due 1/15/31</v>
          </cell>
          <cell r="C242">
            <v>600</v>
          </cell>
          <cell r="D242">
            <v>600</v>
          </cell>
          <cell r="E242">
            <v>600</v>
          </cell>
          <cell r="F242">
            <v>600</v>
          </cell>
          <cell r="G242">
            <v>600</v>
          </cell>
          <cell r="H242">
            <v>600</v>
          </cell>
          <cell r="I242">
            <v>600</v>
          </cell>
          <cell r="J242">
            <v>600</v>
          </cell>
          <cell r="K242">
            <v>600</v>
          </cell>
          <cell r="L242">
            <v>600</v>
          </cell>
          <cell r="M242">
            <v>600</v>
          </cell>
          <cell r="N242">
            <v>600</v>
          </cell>
          <cell r="Q242">
            <v>600</v>
          </cell>
          <cell r="R242">
            <v>600</v>
          </cell>
          <cell r="S242">
            <v>600</v>
          </cell>
        </row>
        <row r="243">
          <cell r="A243" t="str">
            <v>3.25% Senior Exchangeable Debentures due 3/15/31</v>
          </cell>
          <cell r="C243">
            <v>568</v>
          </cell>
          <cell r="D243">
            <v>559</v>
          </cell>
          <cell r="E243">
            <v>551</v>
          </cell>
          <cell r="F243">
            <v>551</v>
          </cell>
          <cell r="G243">
            <v>551</v>
          </cell>
          <cell r="H243">
            <v>551</v>
          </cell>
          <cell r="I243">
            <v>551</v>
          </cell>
          <cell r="J243">
            <v>551</v>
          </cell>
          <cell r="K243">
            <v>551</v>
          </cell>
          <cell r="L243">
            <v>551</v>
          </cell>
          <cell r="M243">
            <v>551</v>
          </cell>
          <cell r="N243">
            <v>551</v>
          </cell>
          <cell r="Q243">
            <v>558</v>
          </cell>
          <cell r="R243">
            <v>558</v>
          </cell>
          <cell r="S243">
            <v>458</v>
          </cell>
        </row>
        <row r="244">
          <cell r="A244" t="str">
            <v>0.75% Senior Exchangeable Debentures due 3/30/23</v>
          </cell>
          <cell r="C244">
            <v>1750</v>
          </cell>
          <cell r="D244">
            <v>1750</v>
          </cell>
          <cell r="E244">
            <v>1750</v>
          </cell>
          <cell r="F244">
            <v>1750</v>
          </cell>
          <cell r="G244">
            <v>1750</v>
          </cell>
          <cell r="H244">
            <v>1750</v>
          </cell>
          <cell r="I244">
            <v>1750</v>
          </cell>
          <cell r="J244">
            <v>1750</v>
          </cell>
          <cell r="K244">
            <v>1750</v>
          </cell>
          <cell r="L244">
            <v>1750</v>
          </cell>
          <cell r="M244">
            <v>1750</v>
          </cell>
          <cell r="N244">
            <v>1750</v>
          </cell>
        </row>
        <row r="245">
          <cell r="A245" t="str">
            <v>Subsidiary Debt</v>
          </cell>
          <cell r="C245">
            <v>23</v>
          </cell>
          <cell r="D245">
            <v>23</v>
          </cell>
          <cell r="E245">
            <v>37</v>
          </cell>
          <cell r="F245">
            <v>35</v>
          </cell>
          <cell r="G245">
            <v>33</v>
          </cell>
          <cell r="H245">
            <v>31</v>
          </cell>
          <cell r="I245">
            <v>29</v>
          </cell>
          <cell r="J245">
            <v>27</v>
          </cell>
          <cell r="K245">
            <v>25</v>
          </cell>
          <cell r="L245">
            <v>23</v>
          </cell>
          <cell r="M245">
            <v>21</v>
          </cell>
          <cell r="N245">
            <v>19</v>
          </cell>
          <cell r="Q245">
            <v>23</v>
          </cell>
          <cell r="R245">
            <v>23</v>
          </cell>
          <cell r="S245">
            <v>23</v>
          </cell>
        </row>
        <row r="246">
          <cell r="A246" t="str">
            <v>Total Face Amount at Maturity</v>
          </cell>
          <cell r="C246">
            <v>11824</v>
          </cell>
          <cell r="D246">
            <v>10885</v>
          </cell>
          <cell r="E246">
            <v>9961</v>
          </cell>
          <cell r="F246">
            <v>9959</v>
          </cell>
          <cell r="G246">
            <v>9957</v>
          </cell>
          <cell r="H246">
            <v>9955</v>
          </cell>
          <cell r="I246">
            <v>9953</v>
          </cell>
          <cell r="J246">
            <v>9951</v>
          </cell>
          <cell r="K246">
            <v>9949</v>
          </cell>
          <cell r="L246">
            <v>9947</v>
          </cell>
          <cell r="M246">
            <v>9945</v>
          </cell>
          <cell r="N246">
            <v>9943</v>
          </cell>
          <cell r="Q246">
            <v>11970</v>
          </cell>
          <cell r="R246">
            <v>11834</v>
          </cell>
          <cell r="S246">
            <v>11540</v>
          </cell>
        </row>
        <row r="248">
          <cell r="A248" t="str">
            <v>New Debt</v>
          </cell>
          <cell r="C248">
            <v>0</v>
          </cell>
          <cell r="D248">
            <v>0</v>
          </cell>
          <cell r="E248">
            <v>0</v>
          </cell>
          <cell r="F248">
            <v>0</v>
          </cell>
          <cell r="G248">
            <v>0</v>
          </cell>
          <cell r="H248">
            <v>0</v>
          </cell>
          <cell r="I248">
            <v>0</v>
          </cell>
          <cell r="J248">
            <v>0</v>
          </cell>
          <cell r="K248">
            <v>0</v>
          </cell>
          <cell r="L248">
            <v>0</v>
          </cell>
          <cell r="M248">
            <v>0</v>
          </cell>
          <cell r="N248">
            <v>0</v>
          </cell>
        </row>
        <row r="249">
          <cell r="A249" t="str">
            <v>Bank Debt</v>
          </cell>
          <cell r="C249">
            <v>0</v>
          </cell>
          <cell r="D249">
            <v>0</v>
          </cell>
          <cell r="E249">
            <v>0</v>
          </cell>
          <cell r="F249">
            <v>0</v>
          </cell>
          <cell r="G249">
            <v>0</v>
          </cell>
          <cell r="H249">
            <v>0</v>
          </cell>
          <cell r="I249">
            <v>0</v>
          </cell>
          <cell r="J249">
            <v>0</v>
          </cell>
          <cell r="K249">
            <v>0</v>
          </cell>
          <cell r="L249">
            <v>0</v>
          </cell>
          <cell r="M249">
            <v>0</v>
          </cell>
          <cell r="N249">
            <v>0</v>
          </cell>
        </row>
        <row r="250">
          <cell r="A250" t="str">
            <v>3.5% Senior Notes due 9/25/06</v>
          </cell>
          <cell r="C250">
            <v>-2</v>
          </cell>
          <cell r="D250">
            <v>-1</v>
          </cell>
          <cell r="E250">
            <v>0</v>
          </cell>
          <cell r="F250">
            <v>0</v>
          </cell>
          <cell r="G250">
            <v>0</v>
          </cell>
          <cell r="H250">
            <v>0</v>
          </cell>
          <cell r="I250">
            <v>0</v>
          </cell>
          <cell r="J250">
            <v>0</v>
          </cell>
          <cell r="K250">
            <v>0</v>
          </cell>
          <cell r="L250">
            <v>0</v>
          </cell>
          <cell r="M250">
            <v>0</v>
          </cell>
          <cell r="N250">
            <v>0</v>
          </cell>
        </row>
        <row r="251">
          <cell r="A251" t="str">
            <v>Floating rate notes due 9/17/06</v>
          </cell>
          <cell r="C251">
            <v>0</v>
          </cell>
          <cell r="D251">
            <v>0</v>
          </cell>
          <cell r="E251">
            <v>0</v>
          </cell>
          <cell r="F251">
            <v>0</v>
          </cell>
          <cell r="G251">
            <v>0</v>
          </cell>
          <cell r="H251">
            <v>0</v>
          </cell>
          <cell r="I251">
            <v>0</v>
          </cell>
          <cell r="J251">
            <v>0</v>
          </cell>
          <cell r="K251">
            <v>0</v>
          </cell>
          <cell r="L251">
            <v>0</v>
          </cell>
          <cell r="M251">
            <v>0</v>
          </cell>
          <cell r="N251">
            <v>0</v>
          </cell>
        </row>
        <row r="252">
          <cell r="A252" t="str">
            <v>7.875% Senior Notes due 7/15/09</v>
          </cell>
          <cell r="C252">
            <v>-5</v>
          </cell>
          <cell r="D252">
            <v>-5</v>
          </cell>
          <cell r="E252">
            <v>-4</v>
          </cell>
          <cell r="F252">
            <v>-2.75</v>
          </cell>
          <cell r="G252">
            <v>-1.5</v>
          </cell>
          <cell r="H252">
            <v>-0.25</v>
          </cell>
          <cell r="I252">
            <v>0</v>
          </cell>
          <cell r="J252">
            <v>0</v>
          </cell>
          <cell r="K252">
            <v>0</v>
          </cell>
          <cell r="L252">
            <v>0</v>
          </cell>
          <cell r="M252">
            <v>0</v>
          </cell>
          <cell r="N252">
            <v>0</v>
          </cell>
        </row>
        <row r="253">
          <cell r="A253" t="str">
            <v>7.75% Senior Notes due 7/15/09</v>
          </cell>
          <cell r="C253">
            <v>1</v>
          </cell>
          <cell r="D253">
            <v>1</v>
          </cell>
          <cell r="E253">
            <v>1</v>
          </cell>
          <cell r="F253">
            <v>0.75</v>
          </cell>
          <cell r="G253">
            <v>0.5</v>
          </cell>
          <cell r="H253">
            <v>0.25</v>
          </cell>
          <cell r="I253">
            <v>0</v>
          </cell>
          <cell r="J253">
            <v>0</v>
          </cell>
          <cell r="K253">
            <v>0</v>
          </cell>
          <cell r="L253">
            <v>0</v>
          </cell>
          <cell r="M253">
            <v>0</v>
          </cell>
          <cell r="N253">
            <v>0</v>
          </cell>
        </row>
        <row r="254">
          <cell r="A254" t="str">
            <v>5.7% Senior Notes due 2013</v>
          </cell>
          <cell r="C254">
            <v>-2</v>
          </cell>
          <cell r="D254">
            <v>-2</v>
          </cell>
          <cell r="E254">
            <v>-2</v>
          </cell>
          <cell r="F254">
            <v>-1.75</v>
          </cell>
          <cell r="G254">
            <v>-1.5</v>
          </cell>
          <cell r="H254">
            <v>-1.25</v>
          </cell>
          <cell r="I254">
            <v>-1</v>
          </cell>
          <cell r="J254">
            <v>-0.75</v>
          </cell>
          <cell r="K254">
            <v>-0.5</v>
          </cell>
          <cell r="L254">
            <v>-0.25</v>
          </cell>
          <cell r="M254">
            <v>0</v>
          </cell>
          <cell r="N254">
            <v>0</v>
          </cell>
        </row>
        <row r="255">
          <cell r="A255" t="str">
            <v>8.50% Senior Notes due 7/15/29</v>
          </cell>
          <cell r="C255">
            <v>-5</v>
          </cell>
          <cell r="D255">
            <v>-5</v>
          </cell>
          <cell r="E255">
            <v>-5</v>
          </cell>
          <cell r="F255">
            <v>-4.7826086956521738</v>
          </cell>
          <cell r="G255">
            <v>-4.5652173913043477</v>
          </cell>
          <cell r="H255">
            <v>-4.3478260869565215</v>
          </cell>
          <cell r="I255">
            <v>-4.1304347826086953</v>
          </cell>
          <cell r="J255">
            <v>-3.9130434782608692</v>
          </cell>
          <cell r="K255">
            <v>-3.695652173913043</v>
          </cell>
          <cell r="L255">
            <v>-3.4782608695652169</v>
          </cell>
          <cell r="M255">
            <v>-3.2608695652173907</v>
          </cell>
          <cell r="N255">
            <v>-3.0434782608695645</v>
          </cell>
        </row>
        <row r="256">
          <cell r="A256" t="str">
            <v>8.25% Senior Notes due 2/1/30</v>
          </cell>
          <cell r="C256">
            <v>-8</v>
          </cell>
          <cell r="D256">
            <v>-8</v>
          </cell>
          <cell r="E256">
            <v>-7</v>
          </cell>
          <cell r="F256">
            <v>-6.666666666666667</v>
          </cell>
          <cell r="G256">
            <v>-6.3333333333333339</v>
          </cell>
          <cell r="H256">
            <v>-6.0000000000000009</v>
          </cell>
          <cell r="I256">
            <v>-5.6666666666666679</v>
          </cell>
          <cell r="J256">
            <v>-5.3333333333333348</v>
          </cell>
          <cell r="K256">
            <v>-5.0000000000000018</v>
          </cell>
          <cell r="L256">
            <v>-4.6666666666666687</v>
          </cell>
          <cell r="M256">
            <v>-4.3333333333333357</v>
          </cell>
          <cell r="N256">
            <v>-4.0000000000000027</v>
          </cell>
        </row>
        <row r="257">
          <cell r="A257" t="str">
            <v>QVC Bank Credit Facility</v>
          </cell>
          <cell r="C257">
            <v>0</v>
          </cell>
          <cell r="D257">
            <v>0</v>
          </cell>
          <cell r="E257">
            <v>0</v>
          </cell>
          <cell r="F257">
            <v>0</v>
          </cell>
          <cell r="G257">
            <v>0</v>
          </cell>
          <cell r="H257">
            <v>0</v>
          </cell>
          <cell r="I257">
            <v>0</v>
          </cell>
          <cell r="J257">
            <v>0</v>
          </cell>
          <cell r="K257">
            <v>0</v>
          </cell>
          <cell r="L257">
            <v>0</v>
          </cell>
          <cell r="M257">
            <v>0</v>
          </cell>
          <cell r="N257">
            <v>0</v>
          </cell>
        </row>
        <row r="258">
          <cell r="A258" t="str">
            <v>QVC Capital Leases</v>
          </cell>
          <cell r="C258">
            <v>0</v>
          </cell>
          <cell r="D258">
            <v>0</v>
          </cell>
          <cell r="E258">
            <v>0</v>
          </cell>
          <cell r="F258">
            <v>0</v>
          </cell>
          <cell r="G258">
            <v>0</v>
          </cell>
          <cell r="H258">
            <v>0</v>
          </cell>
          <cell r="I258">
            <v>0</v>
          </cell>
          <cell r="J258">
            <v>0</v>
          </cell>
          <cell r="K258">
            <v>0</v>
          </cell>
          <cell r="L258">
            <v>0</v>
          </cell>
          <cell r="M258">
            <v>0</v>
          </cell>
          <cell r="N258">
            <v>0</v>
          </cell>
        </row>
        <row r="259">
          <cell r="A259" t="str">
            <v>4.00% Senior Exchangeable Debentures due 11/15/29</v>
          </cell>
          <cell r="C259">
            <v>-623</v>
          </cell>
          <cell r="D259">
            <v>-620</v>
          </cell>
          <cell r="E259">
            <v>-618</v>
          </cell>
          <cell r="F259">
            <v>-615.70473895582325</v>
          </cell>
          <cell r="G259">
            <v>-613.07062732536565</v>
          </cell>
          <cell r="H259">
            <v>-610.04764041966462</v>
          </cell>
          <cell r="I259">
            <v>-606.5783683788087</v>
          </cell>
          <cell r="J259">
            <v>-602.5969258952947</v>
          </cell>
          <cell r="K259">
            <v>-598.02770097927475</v>
          </cell>
          <cell r="L259">
            <v>-592.78391900336362</v>
          </cell>
          <cell r="M259">
            <v>-586.76599475663124</v>
          </cell>
          <cell r="N259">
            <v>-579.8596412114656</v>
          </cell>
        </row>
        <row r="260">
          <cell r="A260" t="str">
            <v>3.75% Senior Exchangeable Debentures due 2/15/30</v>
          </cell>
          <cell r="C260">
            <v>-584</v>
          </cell>
          <cell r="D260">
            <v>-582</v>
          </cell>
          <cell r="E260">
            <v>-579</v>
          </cell>
          <cell r="F260">
            <v>-575.56085526315792</v>
          </cell>
          <cell r="G260">
            <v>-571.6182830895084</v>
          </cell>
          <cell r="H260">
            <v>-567.09859097596609</v>
          </cell>
          <cell r="I260">
            <v>-561.91729919448744</v>
          </cell>
          <cell r="J260">
            <v>-555.97756174104893</v>
          </cell>
          <cell r="K260">
            <v>-549.16835614064325</v>
          </cell>
          <cell r="L260">
            <v>-541.36240827307302</v>
          </cell>
          <cell r="M260">
            <v>-532.41381343146691</v>
          </cell>
          <cell r="N260">
            <v>-522.15530914758631</v>
          </cell>
        </row>
        <row r="261">
          <cell r="A261" t="str">
            <v>3.50% Senior Exchangeable Debentures due 1/15/31</v>
          </cell>
          <cell r="C261">
            <v>-371</v>
          </cell>
          <cell r="D261">
            <v>-369</v>
          </cell>
          <cell r="E261">
            <v>-365</v>
          </cell>
          <cell r="F261">
            <v>-360.56709956709955</v>
          </cell>
          <cell r="G261">
            <v>-355.65444800509732</v>
          </cell>
          <cell r="H261">
            <v>-350.21012419612515</v>
          </cell>
          <cell r="I261">
            <v>-344.17658785371447</v>
          </cell>
          <cell r="J261">
            <v>-337.49007138766626</v>
          </cell>
          <cell r="K261">
            <v>-330.07990595343102</v>
          </cell>
          <cell r="L261">
            <v>-321.86777456310972</v>
          </cell>
          <cell r="M261">
            <v>-312.76688436431203</v>
          </cell>
          <cell r="N261">
            <v>-302.68104933880466</v>
          </cell>
        </row>
        <row r="262">
          <cell r="A262" t="str">
            <v>3.25% Senior Exchangeable Debentures due 3/15/31</v>
          </cell>
          <cell r="C262">
            <v>-441</v>
          </cell>
          <cell r="D262">
            <v>-441</v>
          </cell>
          <cell r="E262">
            <v>-434</v>
          </cell>
          <cell r="F262">
            <v>-433.20115371897015</v>
          </cell>
          <cell r="G262">
            <v>-432.27458525710045</v>
          </cell>
          <cell r="H262">
            <v>-431.19987397043747</v>
          </cell>
          <cell r="I262">
            <v>-429.95333429505268</v>
          </cell>
          <cell r="J262">
            <v>-428.50749374085774</v>
          </cell>
          <cell r="K262">
            <v>-426.8304874253472</v>
          </cell>
          <cell r="L262">
            <v>-424.8853558033972</v>
          </cell>
          <cell r="M262">
            <v>-422.62923011578584</v>
          </cell>
          <cell r="N262">
            <v>-420.01238760453361</v>
          </cell>
        </row>
        <row r="263">
          <cell r="A263" t="str">
            <v>0.75% Senior Exchangeable Debentures due 3/30/23</v>
          </cell>
          <cell r="C263">
            <v>-352</v>
          </cell>
          <cell r="D263">
            <v>-277</v>
          </cell>
          <cell r="E263">
            <v>-198</v>
          </cell>
          <cell r="F263">
            <v>-114.05914799728451</v>
          </cell>
          <cell r="G263">
            <v>-24.868431099287179</v>
          </cell>
          <cell r="H263">
            <v>0</v>
          </cell>
          <cell r="I263">
            <v>0</v>
          </cell>
          <cell r="J263">
            <v>0</v>
          </cell>
          <cell r="K263">
            <v>0</v>
          </cell>
          <cell r="L263">
            <v>0</v>
          </cell>
          <cell r="M263">
            <v>0</v>
          </cell>
          <cell r="N263">
            <v>0</v>
          </cell>
        </row>
        <row r="264">
          <cell r="A264" t="str">
            <v>Subsidiary Debt</v>
          </cell>
          <cell r="C264">
            <v>0</v>
          </cell>
          <cell r="D264">
            <v>0</v>
          </cell>
          <cell r="E264">
            <v>0</v>
          </cell>
          <cell r="F264">
            <v>0</v>
          </cell>
          <cell r="G264">
            <v>0</v>
          </cell>
          <cell r="H264">
            <v>0</v>
          </cell>
          <cell r="I264">
            <v>0</v>
          </cell>
          <cell r="J264">
            <v>0</v>
          </cell>
          <cell r="K264">
            <v>0</v>
          </cell>
          <cell r="L264">
            <v>0</v>
          </cell>
          <cell r="M264">
            <v>0</v>
          </cell>
          <cell r="N264">
            <v>0</v>
          </cell>
        </row>
        <row r="265">
          <cell r="A265" t="str">
            <v>Unamortized Discounts (related to exchangeables and discount notes)</v>
          </cell>
          <cell r="C265">
            <v>-2392</v>
          </cell>
          <cell r="D265">
            <v>-2309</v>
          </cell>
          <cell r="E265">
            <v>-2211</v>
          </cell>
          <cell r="F265">
            <v>-2114.2922708646543</v>
          </cell>
          <cell r="G265">
            <v>-2010.8849255009964</v>
          </cell>
          <cell r="H265">
            <v>-1970.15405564915</v>
          </cell>
          <cell r="I265">
            <v>-1953.4226911713386</v>
          </cell>
          <cell r="J265">
            <v>-1934.5684295764618</v>
          </cell>
          <cell r="K265">
            <v>-1913.3021026726092</v>
          </cell>
          <cell r="L265">
            <v>-1889.2943851791754</v>
          </cell>
          <cell r="M265">
            <v>-1862.1701255667467</v>
          </cell>
          <cell r="N265">
            <v>-1831.7518655632598</v>
          </cell>
          <cell r="Q265">
            <v>-11970</v>
          </cell>
          <cell r="R265">
            <v>-11834</v>
          </cell>
          <cell r="S265">
            <v>-11540</v>
          </cell>
        </row>
        <row r="266">
          <cell r="A266" t="str">
            <v>Check</v>
          </cell>
          <cell r="C266">
            <v>0</v>
          </cell>
          <cell r="D266">
            <v>0</v>
          </cell>
          <cell r="E266">
            <v>0</v>
          </cell>
          <cell r="F266">
            <v>0</v>
          </cell>
          <cell r="G266">
            <v>0</v>
          </cell>
          <cell r="H266">
            <v>0</v>
          </cell>
          <cell r="I266">
            <v>0</v>
          </cell>
          <cell r="J266">
            <v>0</v>
          </cell>
          <cell r="K266">
            <v>0</v>
          </cell>
          <cell r="L266">
            <v>0</v>
          </cell>
          <cell r="M266">
            <v>0</v>
          </cell>
          <cell r="N266">
            <v>0</v>
          </cell>
        </row>
        <row r="268">
          <cell r="A268" t="str">
            <v>New Debt</v>
          </cell>
          <cell r="C268">
            <v>0</v>
          </cell>
          <cell r="D268">
            <v>0</v>
          </cell>
          <cell r="E268">
            <v>0</v>
          </cell>
          <cell r="F268">
            <v>1377</v>
          </cell>
          <cell r="G268">
            <v>1398</v>
          </cell>
          <cell r="H268">
            <v>1419</v>
          </cell>
          <cell r="I268">
            <v>2323</v>
          </cell>
          <cell r="J268">
            <v>2323</v>
          </cell>
          <cell r="K268">
            <v>2323</v>
          </cell>
          <cell r="L268">
            <v>2323</v>
          </cell>
          <cell r="M268">
            <v>3125</v>
          </cell>
          <cell r="N268">
            <v>3125</v>
          </cell>
        </row>
        <row r="269">
          <cell r="A269" t="str">
            <v>Bank Debt</v>
          </cell>
          <cell r="C269">
            <v>0</v>
          </cell>
          <cell r="D269">
            <v>0</v>
          </cell>
          <cell r="E269">
            <v>0</v>
          </cell>
          <cell r="F269">
            <v>0</v>
          </cell>
          <cell r="G269">
            <v>0</v>
          </cell>
          <cell r="H269">
            <v>0</v>
          </cell>
          <cell r="I269">
            <v>0</v>
          </cell>
          <cell r="J269">
            <v>0</v>
          </cell>
          <cell r="K269">
            <v>0</v>
          </cell>
          <cell r="L269">
            <v>0</v>
          </cell>
          <cell r="M269">
            <v>0</v>
          </cell>
          <cell r="N269">
            <v>0</v>
          </cell>
        </row>
        <row r="270">
          <cell r="A270" t="str">
            <v>3.5% Senior Notes due 9/25/06</v>
          </cell>
          <cell r="C270">
            <v>1185</v>
          </cell>
          <cell r="D270">
            <v>513</v>
          </cell>
          <cell r="E270">
            <v>121</v>
          </cell>
          <cell r="F270">
            <v>0</v>
          </cell>
          <cell r="G270">
            <v>0</v>
          </cell>
          <cell r="H270">
            <v>0</v>
          </cell>
          <cell r="I270">
            <v>0</v>
          </cell>
          <cell r="J270">
            <v>0</v>
          </cell>
          <cell r="K270">
            <v>0</v>
          </cell>
          <cell r="L270">
            <v>0</v>
          </cell>
          <cell r="M270">
            <v>0</v>
          </cell>
          <cell r="N270">
            <v>0</v>
          </cell>
        </row>
        <row r="271">
          <cell r="A271" t="str">
            <v>Floating rate notes due 9/17/06</v>
          </cell>
          <cell r="C271">
            <v>2463</v>
          </cell>
          <cell r="D271">
            <v>2463</v>
          </cell>
          <cell r="E271">
            <v>1247</v>
          </cell>
          <cell r="F271">
            <v>0</v>
          </cell>
          <cell r="G271">
            <v>0</v>
          </cell>
          <cell r="H271">
            <v>0</v>
          </cell>
          <cell r="I271">
            <v>0</v>
          </cell>
          <cell r="J271">
            <v>0</v>
          </cell>
          <cell r="K271">
            <v>0</v>
          </cell>
          <cell r="L271">
            <v>0</v>
          </cell>
          <cell r="M271">
            <v>0</v>
          </cell>
          <cell r="N271">
            <v>0</v>
          </cell>
        </row>
        <row r="272">
          <cell r="A272" t="str">
            <v>7.875% Senior Notes due 7/15/09</v>
          </cell>
          <cell r="C272">
            <v>744</v>
          </cell>
          <cell r="D272">
            <v>711</v>
          </cell>
          <cell r="E272">
            <v>666</v>
          </cell>
          <cell r="F272">
            <v>667.25</v>
          </cell>
          <cell r="G272">
            <v>668.5</v>
          </cell>
          <cell r="H272">
            <v>669.75</v>
          </cell>
          <cell r="I272">
            <v>0</v>
          </cell>
          <cell r="J272">
            <v>0</v>
          </cell>
          <cell r="K272">
            <v>0</v>
          </cell>
          <cell r="L272">
            <v>0</v>
          </cell>
          <cell r="M272">
            <v>0</v>
          </cell>
          <cell r="N272">
            <v>0</v>
          </cell>
        </row>
        <row r="273">
          <cell r="A273" t="str">
            <v>7.75% Senior Notes due 7/15/09</v>
          </cell>
          <cell r="C273">
            <v>239</v>
          </cell>
          <cell r="D273">
            <v>235</v>
          </cell>
          <cell r="E273">
            <v>235</v>
          </cell>
          <cell r="F273">
            <v>234.75</v>
          </cell>
          <cell r="G273">
            <v>234.5</v>
          </cell>
          <cell r="H273">
            <v>234.25</v>
          </cell>
          <cell r="I273">
            <v>0</v>
          </cell>
          <cell r="J273">
            <v>0</v>
          </cell>
          <cell r="K273">
            <v>0</v>
          </cell>
          <cell r="L273">
            <v>0</v>
          </cell>
          <cell r="M273">
            <v>0</v>
          </cell>
          <cell r="N273">
            <v>0</v>
          </cell>
        </row>
        <row r="274">
          <cell r="A274" t="str">
            <v>5.7% Senior Notes due 2013</v>
          </cell>
          <cell r="C274">
            <v>997</v>
          </cell>
          <cell r="D274">
            <v>800</v>
          </cell>
          <cell r="E274">
            <v>800</v>
          </cell>
          <cell r="F274">
            <v>800.25</v>
          </cell>
          <cell r="G274">
            <v>800.5</v>
          </cell>
          <cell r="H274">
            <v>800.75</v>
          </cell>
          <cell r="I274">
            <v>801</v>
          </cell>
          <cell r="J274">
            <v>801.25</v>
          </cell>
          <cell r="K274">
            <v>801.5</v>
          </cell>
          <cell r="L274">
            <v>801.75</v>
          </cell>
          <cell r="M274">
            <v>0</v>
          </cell>
          <cell r="N274">
            <v>0</v>
          </cell>
        </row>
        <row r="275">
          <cell r="A275" t="str">
            <v>8.50% Senior Notes due 7/15/29</v>
          </cell>
          <cell r="C275">
            <v>495</v>
          </cell>
          <cell r="D275">
            <v>495</v>
          </cell>
          <cell r="E275">
            <v>495</v>
          </cell>
          <cell r="F275">
            <v>495.21739130434781</v>
          </cell>
          <cell r="G275">
            <v>495.43478260869563</v>
          </cell>
          <cell r="H275">
            <v>495.6521739130435</v>
          </cell>
          <cell r="I275">
            <v>495.86956521739131</v>
          </cell>
          <cell r="J275">
            <v>496.08695652173913</v>
          </cell>
          <cell r="K275">
            <v>496.30434782608694</v>
          </cell>
          <cell r="L275">
            <v>496.52173913043481</v>
          </cell>
          <cell r="M275">
            <v>496.73913043478262</v>
          </cell>
          <cell r="N275">
            <v>496.95652173913044</v>
          </cell>
        </row>
        <row r="276">
          <cell r="A276" t="str">
            <v>8.25% Senior Notes due 2/1/30</v>
          </cell>
          <cell r="C276">
            <v>992</v>
          </cell>
          <cell r="D276">
            <v>951</v>
          </cell>
          <cell r="E276">
            <v>895</v>
          </cell>
          <cell r="F276">
            <v>895.33333333333337</v>
          </cell>
          <cell r="G276">
            <v>895.66666666666663</v>
          </cell>
          <cell r="H276">
            <v>896</v>
          </cell>
          <cell r="I276">
            <v>896.33333333333337</v>
          </cell>
          <cell r="J276">
            <v>896.66666666666663</v>
          </cell>
          <cell r="K276">
            <v>897</v>
          </cell>
          <cell r="L276">
            <v>897.33333333333337</v>
          </cell>
          <cell r="M276">
            <v>897.66666666666663</v>
          </cell>
          <cell r="N276">
            <v>898</v>
          </cell>
        </row>
        <row r="277">
          <cell r="A277" t="str">
            <v>QVC Bank Credit Facility</v>
          </cell>
          <cell r="C277">
            <v>0</v>
          </cell>
          <cell r="D277">
            <v>0</v>
          </cell>
          <cell r="E277">
            <v>800</v>
          </cell>
          <cell r="F277">
            <v>800</v>
          </cell>
          <cell r="G277">
            <v>800</v>
          </cell>
          <cell r="H277">
            <v>800</v>
          </cell>
          <cell r="I277">
            <v>800</v>
          </cell>
          <cell r="J277">
            <v>800</v>
          </cell>
          <cell r="K277">
            <v>800</v>
          </cell>
          <cell r="L277">
            <v>800</v>
          </cell>
          <cell r="M277">
            <v>800</v>
          </cell>
          <cell r="N277">
            <v>800</v>
          </cell>
        </row>
        <row r="278">
          <cell r="A278" t="str">
            <v>QVC Capital Leases</v>
          </cell>
          <cell r="C278">
            <v>68</v>
          </cell>
          <cell r="D278">
            <v>86</v>
          </cell>
          <cell r="E278">
            <v>68</v>
          </cell>
          <cell r="F278">
            <v>59</v>
          </cell>
          <cell r="G278">
            <v>38</v>
          </cell>
          <cell r="H278">
            <v>17</v>
          </cell>
          <cell r="I278">
            <v>17</v>
          </cell>
          <cell r="J278">
            <v>17</v>
          </cell>
          <cell r="K278">
            <v>17</v>
          </cell>
          <cell r="L278">
            <v>17</v>
          </cell>
          <cell r="M278">
            <v>17</v>
          </cell>
          <cell r="N278">
            <v>17</v>
          </cell>
        </row>
        <row r="279">
          <cell r="A279" t="str">
            <v>4.00% Senior Exchangeable Debentures due 11/15/29</v>
          </cell>
          <cell r="C279">
            <v>246</v>
          </cell>
          <cell r="D279">
            <v>249</v>
          </cell>
          <cell r="E279">
            <v>251</v>
          </cell>
          <cell r="F279">
            <v>253.29526104417675</v>
          </cell>
          <cell r="G279">
            <v>255.92937267463435</v>
          </cell>
          <cell r="H279">
            <v>258.95235958033538</v>
          </cell>
          <cell r="I279">
            <v>262.4216316211913</v>
          </cell>
          <cell r="J279">
            <v>266.4030741047053</v>
          </cell>
          <cell r="K279">
            <v>270.97229902072525</v>
          </cell>
          <cell r="L279">
            <v>276.21608099663638</v>
          </cell>
          <cell r="M279">
            <v>282.23400524336876</v>
          </cell>
          <cell r="N279">
            <v>289.1403587885344</v>
          </cell>
        </row>
        <row r="280">
          <cell r="A280" t="str">
            <v>3.75% Senior Exchangeable Debentures due 2/15/30</v>
          </cell>
          <cell r="C280">
            <v>226</v>
          </cell>
          <cell r="D280">
            <v>228</v>
          </cell>
          <cell r="E280">
            <v>231</v>
          </cell>
          <cell r="F280">
            <v>234.43914473684208</v>
          </cell>
          <cell r="G280">
            <v>238.3817169104916</v>
          </cell>
          <cell r="H280">
            <v>242.90140902403391</v>
          </cell>
          <cell r="I280">
            <v>248.08270080551256</v>
          </cell>
          <cell r="J280">
            <v>254.02243825895107</v>
          </cell>
          <cell r="K280">
            <v>260.83164385935675</v>
          </cell>
          <cell r="L280">
            <v>268.63759172692698</v>
          </cell>
          <cell r="M280">
            <v>277.58618656853309</v>
          </cell>
          <cell r="N280">
            <v>287.84469085241369</v>
          </cell>
        </row>
        <row r="281">
          <cell r="A281" t="str">
            <v>3.50% Senior Exchangeable Debentures due 1/15/31</v>
          </cell>
          <cell r="C281">
            <v>229</v>
          </cell>
          <cell r="D281">
            <v>231</v>
          </cell>
          <cell r="E281">
            <v>235</v>
          </cell>
          <cell r="F281">
            <v>239.43290043290045</v>
          </cell>
          <cell r="G281">
            <v>244.34555199490268</v>
          </cell>
          <cell r="H281">
            <v>249.78987580387485</v>
          </cell>
          <cell r="I281">
            <v>255.82341214628553</v>
          </cell>
          <cell r="J281">
            <v>262.50992861233374</v>
          </cell>
          <cell r="K281">
            <v>269.92009404656898</v>
          </cell>
          <cell r="L281">
            <v>278.13222543689028</v>
          </cell>
          <cell r="M281">
            <v>287.23311563568797</v>
          </cell>
          <cell r="N281">
            <v>297.31895066119534</v>
          </cell>
        </row>
        <row r="282">
          <cell r="A282" t="str">
            <v>3.25% Senior Exchangeable Debentures due 3/15/31</v>
          </cell>
          <cell r="C282">
            <v>127</v>
          </cell>
          <cell r="D282">
            <v>118</v>
          </cell>
          <cell r="E282">
            <v>117</v>
          </cell>
          <cell r="F282">
            <v>117.79884628102985</v>
          </cell>
          <cell r="G282">
            <v>118.72541474289955</v>
          </cell>
          <cell r="H282">
            <v>119.80012602956253</v>
          </cell>
          <cell r="I282">
            <v>121.04666570494732</v>
          </cell>
          <cell r="J282">
            <v>122.49250625914226</v>
          </cell>
          <cell r="K282">
            <v>124.1695125746528</v>
          </cell>
          <cell r="L282">
            <v>126.1146441966028</v>
          </cell>
          <cell r="M282">
            <v>128.37076988421416</v>
          </cell>
          <cell r="N282">
            <v>130.98761239546639</v>
          </cell>
        </row>
        <row r="283">
          <cell r="A283" t="str">
            <v>0.75% Senior Exchangeable Debentures due 3/30/23</v>
          </cell>
          <cell r="C283">
            <v>1398</v>
          </cell>
          <cell r="D283">
            <v>1473</v>
          </cell>
          <cell r="E283">
            <v>1552</v>
          </cell>
          <cell r="F283">
            <v>1635.9408520027155</v>
          </cell>
          <cell r="G283">
            <v>1725.1315689007129</v>
          </cell>
          <cell r="H283">
            <v>1750</v>
          </cell>
          <cell r="I283">
            <v>1750</v>
          </cell>
          <cell r="J283">
            <v>1750</v>
          </cell>
          <cell r="K283">
            <v>1750</v>
          </cell>
          <cell r="L283">
            <v>1750</v>
          </cell>
          <cell r="M283">
            <v>1750</v>
          </cell>
          <cell r="N283">
            <v>1750</v>
          </cell>
        </row>
        <row r="284">
          <cell r="A284" t="str">
            <v>Subsidiary Debt</v>
          </cell>
          <cell r="C284">
            <v>23</v>
          </cell>
          <cell r="D284">
            <v>23</v>
          </cell>
          <cell r="E284">
            <v>37</v>
          </cell>
          <cell r="F284">
            <v>35</v>
          </cell>
          <cell r="G284">
            <v>33</v>
          </cell>
          <cell r="H284">
            <v>31</v>
          </cell>
          <cell r="I284">
            <v>29</v>
          </cell>
          <cell r="J284">
            <v>27</v>
          </cell>
          <cell r="K284">
            <v>25</v>
          </cell>
          <cell r="L284">
            <v>23</v>
          </cell>
          <cell r="M284">
            <v>21</v>
          </cell>
          <cell r="N284">
            <v>19</v>
          </cell>
        </row>
        <row r="285">
          <cell r="A285" t="str">
            <v>Total Debt</v>
          </cell>
          <cell r="C285">
            <v>9432</v>
          </cell>
          <cell r="D285">
            <v>8576</v>
          </cell>
          <cell r="E285">
            <v>7750</v>
          </cell>
          <cell r="F285">
            <v>7844.7077291353453</v>
          </cell>
          <cell r="G285">
            <v>7946.1150744990027</v>
          </cell>
          <cell r="H285">
            <v>7984.8459443508509</v>
          </cell>
          <cell r="I285">
            <v>7999.5773088286624</v>
          </cell>
          <cell r="J285">
            <v>8016.4315704235378</v>
          </cell>
          <cell r="K285">
            <v>8035.6978973273908</v>
          </cell>
          <cell r="L285">
            <v>8057.7056148208239</v>
          </cell>
          <cell r="M285">
            <v>8082.8298744332533</v>
          </cell>
          <cell r="N285">
            <v>8111.2481344367397</v>
          </cell>
          <cell r="Q285">
            <v>0</v>
          </cell>
          <cell r="R285">
            <v>0</v>
          </cell>
          <cell r="S285">
            <v>0</v>
          </cell>
        </row>
        <row r="286">
          <cell r="A286" t="str">
            <v>Check</v>
          </cell>
          <cell r="C286">
            <v>0</v>
          </cell>
          <cell r="D286">
            <v>0</v>
          </cell>
          <cell r="E286">
            <v>0</v>
          </cell>
          <cell r="F286">
            <v>0</v>
          </cell>
          <cell r="G286">
            <v>0</v>
          </cell>
          <cell r="H286">
            <v>0</v>
          </cell>
          <cell r="I286">
            <v>0</v>
          </cell>
          <cell r="J286">
            <v>0</v>
          </cell>
          <cell r="K286">
            <v>0</v>
          </cell>
          <cell r="L286">
            <v>0</v>
          </cell>
          <cell r="M286">
            <v>0</v>
          </cell>
          <cell r="N286">
            <v>0</v>
          </cell>
        </row>
        <row r="288">
          <cell r="A288" t="str">
            <v>Interest Expense</v>
          </cell>
        </row>
        <row r="289">
          <cell r="A289" t="str">
            <v>Cash Interest Expense</v>
          </cell>
        </row>
        <row r="290">
          <cell r="A290" t="str">
            <v>New Debt</v>
          </cell>
          <cell r="D290">
            <v>0</v>
          </cell>
          <cell r="E290">
            <v>0</v>
          </cell>
          <cell r="F290">
            <v>34.425000000000004</v>
          </cell>
          <cell r="G290">
            <v>69.375</v>
          </cell>
          <cell r="H290">
            <v>70.424999999999997</v>
          </cell>
          <cell r="I290">
            <v>93.550000000000011</v>
          </cell>
          <cell r="J290">
            <v>116.15</v>
          </cell>
          <cell r="K290">
            <v>116.15</v>
          </cell>
          <cell r="L290">
            <v>116.15</v>
          </cell>
          <cell r="M290">
            <v>136.20000000000002</v>
          </cell>
          <cell r="N290">
            <v>156.25</v>
          </cell>
        </row>
        <row r="291">
          <cell r="A291" t="str">
            <v>Bank Debt</v>
          </cell>
          <cell r="D291">
            <v>0</v>
          </cell>
          <cell r="E291">
            <v>0</v>
          </cell>
          <cell r="F291">
            <v>0</v>
          </cell>
          <cell r="G291">
            <v>0</v>
          </cell>
          <cell r="H291">
            <v>0</v>
          </cell>
          <cell r="I291">
            <v>0</v>
          </cell>
          <cell r="J291">
            <v>0</v>
          </cell>
          <cell r="K291">
            <v>0</v>
          </cell>
          <cell r="L291">
            <v>0</v>
          </cell>
          <cell r="M291">
            <v>0</v>
          </cell>
          <cell r="N291">
            <v>0</v>
          </cell>
        </row>
        <row r="292">
          <cell r="A292" t="str">
            <v>3.5% Senior Notes due 9/25/06</v>
          </cell>
          <cell r="D292">
            <v>17.990000000000002</v>
          </cell>
          <cell r="E292">
            <v>11.112500000000001</v>
          </cell>
          <cell r="F292">
            <v>2.1175000000000002</v>
          </cell>
          <cell r="G292">
            <v>0</v>
          </cell>
          <cell r="H292">
            <v>0</v>
          </cell>
          <cell r="I292">
            <v>0</v>
          </cell>
          <cell r="J292">
            <v>0</v>
          </cell>
          <cell r="K292">
            <v>0</v>
          </cell>
          <cell r="L292">
            <v>0</v>
          </cell>
          <cell r="M292">
            <v>0</v>
          </cell>
          <cell r="N292">
            <v>0</v>
          </cell>
        </row>
        <row r="293">
          <cell r="A293" t="str">
            <v>Floating rate notes due 9/17/06</v>
          </cell>
          <cell r="D293">
            <v>123.15</v>
          </cell>
          <cell r="E293">
            <v>92.75</v>
          </cell>
          <cell r="F293">
            <v>31.175000000000001</v>
          </cell>
          <cell r="G293">
            <v>0</v>
          </cell>
          <cell r="H293">
            <v>0</v>
          </cell>
          <cell r="I293">
            <v>0</v>
          </cell>
          <cell r="J293">
            <v>0</v>
          </cell>
          <cell r="K293">
            <v>0</v>
          </cell>
          <cell r="L293">
            <v>0</v>
          </cell>
          <cell r="M293">
            <v>0</v>
          </cell>
          <cell r="N293">
            <v>0</v>
          </cell>
        </row>
        <row r="294">
          <cell r="A294" t="str">
            <v>7.875% Senior Notes due 7/15/09</v>
          </cell>
          <cell r="D294">
            <v>56.384999999999998</v>
          </cell>
          <cell r="E294">
            <v>54.573749999999997</v>
          </cell>
          <cell r="F294">
            <v>52.762500000000003</v>
          </cell>
          <cell r="G294">
            <v>52.762500000000003</v>
          </cell>
          <cell r="H294">
            <v>52.762500000000003</v>
          </cell>
          <cell r="I294">
            <v>26.381250000000001</v>
          </cell>
          <cell r="J294">
            <v>0</v>
          </cell>
          <cell r="K294">
            <v>0</v>
          </cell>
          <cell r="L294">
            <v>0</v>
          </cell>
          <cell r="M294">
            <v>0</v>
          </cell>
          <cell r="N294">
            <v>0</v>
          </cell>
        </row>
        <row r="295">
          <cell r="A295" t="str">
            <v>7.75% Senior Notes due 7/15/09</v>
          </cell>
          <cell r="D295">
            <v>18.135000000000002</v>
          </cell>
          <cell r="E295">
            <v>18.135000000000002</v>
          </cell>
          <cell r="F295">
            <v>18.135000000000002</v>
          </cell>
          <cell r="G295">
            <v>18.135000000000002</v>
          </cell>
          <cell r="H295">
            <v>18.135000000000002</v>
          </cell>
          <cell r="I295">
            <v>9.0675000000000008</v>
          </cell>
          <cell r="J295">
            <v>0</v>
          </cell>
          <cell r="K295">
            <v>0</v>
          </cell>
          <cell r="L295">
            <v>0</v>
          </cell>
          <cell r="M295">
            <v>0</v>
          </cell>
          <cell r="N295">
            <v>0</v>
          </cell>
        </row>
        <row r="296">
          <cell r="A296" t="str">
            <v>5.7% Senior Notes due 2013</v>
          </cell>
          <cell r="D296">
            <v>40.1</v>
          </cell>
          <cell r="E296">
            <v>40.1</v>
          </cell>
          <cell r="F296">
            <v>40.1</v>
          </cell>
          <cell r="G296">
            <v>40.1</v>
          </cell>
          <cell r="H296">
            <v>40.1</v>
          </cell>
          <cell r="I296">
            <v>40.1</v>
          </cell>
          <cell r="J296">
            <v>40.1</v>
          </cell>
          <cell r="K296">
            <v>40.1</v>
          </cell>
          <cell r="L296">
            <v>40.1</v>
          </cell>
          <cell r="M296">
            <v>20.05</v>
          </cell>
          <cell r="N296">
            <v>0</v>
          </cell>
        </row>
        <row r="297">
          <cell r="A297" t="str">
            <v>8.50% Senior Notes due 7/15/29</v>
          </cell>
          <cell r="D297">
            <v>42.5</v>
          </cell>
          <cell r="E297">
            <v>42.5</v>
          </cell>
          <cell r="F297">
            <v>42.5</v>
          </cell>
          <cell r="G297">
            <v>42.5</v>
          </cell>
          <cell r="H297">
            <v>42.5</v>
          </cell>
          <cell r="I297">
            <v>42.5</v>
          </cell>
          <cell r="J297">
            <v>42.5</v>
          </cell>
          <cell r="K297">
            <v>42.5</v>
          </cell>
          <cell r="L297">
            <v>42.5</v>
          </cell>
          <cell r="M297">
            <v>42.5</v>
          </cell>
          <cell r="N297">
            <v>42.5</v>
          </cell>
        </row>
        <row r="298">
          <cell r="A298" t="str">
            <v>8.25% Senior Notes due 2/1/30</v>
          </cell>
          <cell r="D298">
            <v>79.117500000000007</v>
          </cell>
          <cell r="E298">
            <v>76.766249999999999</v>
          </cell>
          <cell r="F298">
            <v>74.415000000000006</v>
          </cell>
          <cell r="G298">
            <v>74.415000000000006</v>
          </cell>
          <cell r="H298">
            <v>74.415000000000006</v>
          </cell>
          <cell r="I298">
            <v>74.415000000000006</v>
          </cell>
          <cell r="J298">
            <v>74.415000000000006</v>
          </cell>
          <cell r="K298">
            <v>74.415000000000006</v>
          </cell>
          <cell r="L298">
            <v>74.415000000000006</v>
          </cell>
          <cell r="M298">
            <v>74.415000000000006</v>
          </cell>
          <cell r="N298">
            <v>74.415000000000006</v>
          </cell>
        </row>
        <row r="299">
          <cell r="A299" t="str">
            <v>QVC Bank Credit Facility</v>
          </cell>
          <cell r="D299">
            <v>0</v>
          </cell>
          <cell r="E299">
            <v>16</v>
          </cell>
          <cell r="F299">
            <v>32</v>
          </cell>
          <cell r="G299">
            <v>32</v>
          </cell>
          <cell r="H299">
            <v>32</v>
          </cell>
          <cell r="I299">
            <v>32</v>
          </cell>
          <cell r="J299">
            <v>32</v>
          </cell>
          <cell r="K299">
            <v>32</v>
          </cell>
          <cell r="L299">
            <v>32</v>
          </cell>
          <cell r="M299">
            <v>32</v>
          </cell>
          <cell r="N299">
            <v>32</v>
          </cell>
        </row>
        <row r="300">
          <cell r="A300" t="str">
            <v>QVC Capital Leases</v>
          </cell>
          <cell r="D300">
            <v>3.44</v>
          </cell>
          <cell r="E300">
            <v>3.08</v>
          </cell>
          <cell r="F300">
            <v>2.54</v>
          </cell>
          <cell r="G300">
            <v>1.94</v>
          </cell>
          <cell r="H300">
            <v>1.1000000000000001</v>
          </cell>
          <cell r="I300">
            <v>0.68</v>
          </cell>
          <cell r="J300">
            <v>0.68</v>
          </cell>
          <cell r="K300">
            <v>0.68</v>
          </cell>
          <cell r="L300">
            <v>0.68</v>
          </cell>
          <cell r="M300">
            <v>0.68</v>
          </cell>
          <cell r="N300">
            <v>0.68</v>
          </cell>
        </row>
        <row r="301">
          <cell r="A301" t="str">
            <v>4.00% Senior Exchangeable Debentures due 11/15/29</v>
          </cell>
          <cell r="D301">
            <v>34.76</v>
          </cell>
          <cell r="E301">
            <v>34.76</v>
          </cell>
          <cell r="F301">
            <v>34.76</v>
          </cell>
          <cell r="G301">
            <v>34.76</v>
          </cell>
          <cell r="H301">
            <v>34.76</v>
          </cell>
          <cell r="I301">
            <v>34.76</v>
          </cell>
          <cell r="J301">
            <v>34.76</v>
          </cell>
          <cell r="K301">
            <v>34.76</v>
          </cell>
          <cell r="L301">
            <v>34.76</v>
          </cell>
          <cell r="M301">
            <v>34.76</v>
          </cell>
          <cell r="N301">
            <v>34.76</v>
          </cell>
        </row>
        <row r="302">
          <cell r="A302" t="str">
            <v>3.75% Senior Exchangeable Debentures due 2/15/30</v>
          </cell>
          <cell r="D302">
            <v>30.375</v>
          </cell>
          <cell r="E302">
            <v>30.375</v>
          </cell>
          <cell r="F302">
            <v>30.375</v>
          </cell>
          <cell r="G302">
            <v>30.375</v>
          </cell>
          <cell r="H302">
            <v>30.375</v>
          </cell>
          <cell r="I302">
            <v>30.375</v>
          </cell>
          <cell r="J302">
            <v>30.375</v>
          </cell>
          <cell r="K302">
            <v>30.375</v>
          </cell>
          <cell r="L302">
            <v>30.375</v>
          </cell>
          <cell r="M302">
            <v>30.375</v>
          </cell>
          <cell r="N302">
            <v>30.375</v>
          </cell>
        </row>
        <row r="303">
          <cell r="A303" t="str">
            <v>3.50% Senior Exchangeable Debentures due 1/15/31</v>
          </cell>
          <cell r="D303">
            <v>21.000000000000004</v>
          </cell>
          <cell r="E303">
            <v>21.000000000000004</v>
          </cell>
          <cell r="F303">
            <v>21.000000000000004</v>
          </cell>
          <cell r="G303">
            <v>21.000000000000004</v>
          </cell>
          <cell r="H303">
            <v>21.000000000000004</v>
          </cell>
          <cell r="I303">
            <v>21.000000000000004</v>
          </cell>
          <cell r="J303">
            <v>21.000000000000004</v>
          </cell>
          <cell r="K303">
            <v>21.000000000000004</v>
          </cell>
          <cell r="L303">
            <v>21.000000000000004</v>
          </cell>
          <cell r="M303">
            <v>21.000000000000004</v>
          </cell>
          <cell r="N303">
            <v>21.000000000000004</v>
          </cell>
        </row>
        <row r="304">
          <cell r="A304" t="str">
            <v>3.25% Senior Exchangeable Debentures due 3/15/31</v>
          </cell>
          <cell r="D304">
            <v>18.1675</v>
          </cell>
          <cell r="E304">
            <v>18.037500000000001</v>
          </cell>
          <cell r="F304">
            <v>17.907499999999999</v>
          </cell>
          <cell r="G304">
            <v>17.907499999999999</v>
          </cell>
          <cell r="H304">
            <v>17.907499999999999</v>
          </cell>
          <cell r="I304">
            <v>17.907499999999999</v>
          </cell>
          <cell r="J304">
            <v>17.907499999999999</v>
          </cell>
          <cell r="K304">
            <v>17.907499999999999</v>
          </cell>
          <cell r="L304">
            <v>17.907499999999999</v>
          </cell>
          <cell r="M304">
            <v>17.907499999999999</v>
          </cell>
          <cell r="N304">
            <v>17.907499999999999</v>
          </cell>
        </row>
        <row r="305">
          <cell r="A305" t="str">
            <v>0.75% Senior Exchangeable Debentures due 3/30/23</v>
          </cell>
          <cell r="D305">
            <v>13.125</v>
          </cell>
          <cell r="E305">
            <v>13.125</v>
          </cell>
          <cell r="F305">
            <v>13.125</v>
          </cell>
          <cell r="G305">
            <v>13.125</v>
          </cell>
          <cell r="H305">
            <v>13.125</v>
          </cell>
          <cell r="I305">
            <v>13.125</v>
          </cell>
          <cell r="J305">
            <v>13.125</v>
          </cell>
          <cell r="K305">
            <v>13.125</v>
          </cell>
          <cell r="L305">
            <v>13.125</v>
          </cell>
          <cell r="M305">
            <v>13.125</v>
          </cell>
          <cell r="N305">
            <v>13.125</v>
          </cell>
        </row>
        <row r="306">
          <cell r="A306" t="str">
            <v>Subsidiary Debt</v>
          </cell>
          <cell r="D306">
            <v>0.92</v>
          </cell>
          <cell r="E306">
            <v>1.2</v>
          </cell>
          <cell r="F306">
            <v>1.44</v>
          </cell>
          <cell r="G306">
            <v>1.36</v>
          </cell>
          <cell r="H306">
            <v>1.28</v>
          </cell>
          <cell r="I306">
            <v>1.2</v>
          </cell>
          <cell r="J306">
            <v>1.1200000000000001</v>
          </cell>
          <cell r="K306">
            <v>1.04</v>
          </cell>
          <cell r="L306">
            <v>0.96</v>
          </cell>
          <cell r="M306">
            <v>0.88</v>
          </cell>
          <cell r="N306">
            <v>0.8</v>
          </cell>
        </row>
        <row r="307">
          <cell r="A307" t="str">
            <v>Other Fees and Costs</v>
          </cell>
          <cell r="D307">
            <v>19.835000000000008</v>
          </cell>
          <cell r="E307">
            <v>48.485000000000028</v>
          </cell>
          <cell r="F307">
            <v>48.987138248058436</v>
          </cell>
          <cell r="G307">
            <v>50.435027723758274</v>
          </cell>
          <cell r="H307">
            <v>51.46309075483186</v>
          </cell>
          <cell r="I307">
            <v>51.847462912078292</v>
          </cell>
          <cell r="J307">
            <v>52.074139490214129</v>
          </cell>
          <cell r="K307">
            <v>52.334828286545275</v>
          </cell>
          <cell r="L307">
            <v>52.634168002115594</v>
          </cell>
          <cell r="M307">
            <v>52.977442213000238</v>
          </cell>
          <cell r="N307">
            <v>53.370390238414458</v>
          </cell>
        </row>
        <row r="308">
          <cell r="A308" t="str">
            <v>Total Noncash Interest Expense</v>
          </cell>
          <cell r="D308">
            <v>519</v>
          </cell>
          <cell r="E308">
            <v>522</v>
          </cell>
          <cell r="F308">
            <v>497.76463824805842</v>
          </cell>
          <cell r="G308">
            <v>500.19002772375825</v>
          </cell>
          <cell r="H308">
            <v>501.34809075483184</v>
          </cell>
          <cell r="I308">
            <v>488.90871291207833</v>
          </cell>
          <cell r="J308">
            <v>476.20663949021417</v>
          </cell>
          <cell r="K308">
            <v>476.38732828654531</v>
          </cell>
          <cell r="L308">
            <v>476.60666800211561</v>
          </cell>
          <cell r="M308">
            <v>476.86994221300029</v>
          </cell>
          <cell r="N308">
            <v>477.18289023841453</v>
          </cell>
        </row>
        <row r="310">
          <cell r="A310" t="str">
            <v>Non-cash Interest Expense</v>
          </cell>
        </row>
        <row r="311">
          <cell r="A311" t="str">
            <v>New Debt</v>
          </cell>
          <cell r="D311">
            <v>0</v>
          </cell>
          <cell r="E311">
            <v>0</v>
          </cell>
          <cell r="F311">
            <v>0</v>
          </cell>
          <cell r="G311">
            <v>0</v>
          </cell>
          <cell r="H311">
            <v>0</v>
          </cell>
          <cell r="I311">
            <v>0</v>
          </cell>
          <cell r="J311">
            <v>0</v>
          </cell>
          <cell r="K311">
            <v>0</v>
          </cell>
          <cell r="L311">
            <v>0</v>
          </cell>
          <cell r="M311">
            <v>0</v>
          </cell>
          <cell r="N311">
            <v>0</v>
          </cell>
        </row>
        <row r="312">
          <cell r="A312" t="str">
            <v>Bank Debt</v>
          </cell>
          <cell r="D312">
            <v>0</v>
          </cell>
          <cell r="E312">
            <v>0</v>
          </cell>
          <cell r="F312">
            <v>0</v>
          </cell>
          <cell r="G312">
            <v>0</v>
          </cell>
          <cell r="H312">
            <v>0</v>
          </cell>
          <cell r="I312">
            <v>0</v>
          </cell>
          <cell r="J312">
            <v>0</v>
          </cell>
          <cell r="K312">
            <v>0</v>
          </cell>
          <cell r="L312">
            <v>0</v>
          </cell>
          <cell r="M312">
            <v>0</v>
          </cell>
          <cell r="N312">
            <v>0</v>
          </cell>
        </row>
        <row r="313">
          <cell r="A313" t="str">
            <v>3.5% Senior Notes due 9/25/06</v>
          </cell>
          <cell r="D313">
            <v>1</v>
          </cell>
          <cell r="E313">
            <v>1</v>
          </cell>
          <cell r="F313">
            <v>0</v>
          </cell>
          <cell r="G313">
            <v>0</v>
          </cell>
          <cell r="H313">
            <v>0</v>
          </cell>
          <cell r="I313">
            <v>0</v>
          </cell>
          <cell r="J313">
            <v>0</v>
          </cell>
          <cell r="K313">
            <v>0</v>
          </cell>
          <cell r="L313">
            <v>0</v>
          </cell>
          <cell r="M313">
            <v>0</v>
          </cell>
          <cell r="N313">
            <v>0</v>
          </cell>
        </row>
        <row r="314">
          <cell r="A314" t="str">
            <v>Floating rate notes due 9/17/06</v>
          </cell>
          <cell r="D314">
            <v>0</v>
          </cell>
          <cell r="E314">
            <v>0</v>
          </cell>
          <cell r="F314">
            <v>0</v>
          </cell>
          <cell r="G314">
            <v>0</v>
          </cell>
          <cell r="H314">
            <v>0</v>
          </cell>
          <cell r="I314">
            <v>0</v>
          </cell>
          <cell r="J314">
            <v>0</v>
          </cell>
          <cell r="K314">
            <v>0</v>
          </cell>
          <cell r="L314">
            <v>0</v>
          </cell>
          <cell r="M314">
            <v>0</v>
          </cell>
          <cell r="N314">
            <v>0</v>
          </cell>
        </row>
        <row r="315">
          <cell r="A315" t="str">
            <v>7.875% Senior Notes due 7/15/09</v>
          </cell>
          <cell r="D315">
            <v>0</v>
          </cell>
          <cell r="E315">
            <v>1</v>
          </cell>
          <cell r="F315">
            <v>1.25</v>
          </cell>
          <cell r="G315">
            <v>1.25</v>
          </cell>
          <cell r="H315">
            <v>1.25</v>
          </cell>
          <cell r="I315">
            <v>0.25</v>
          </cell>
          <cell r="J315">
            <v>0</v>
          </cell>
          <cell r="K315">
            <v>0</v>
          </cell>
          <cell r="L315">
            <v>0</v>
          </cell>
          <cell r="M315">
            <v>0</v>
          </cell>
          <cell r="N315">
            <v>0</v>
          </cell>
        </row>
        <row r="316">
          <cell r="A316" t="str">
            <v>7.75% Senior Notes due 7/15/09</v>
          </cell>
          <cell r="D316">
            <v>0</v>
          </cell>
          <cell r="E316">
            <v>0</v>
          </cell>
          <cell r="F316">
            <v>-0.25</v>
          </cell>
          <cell r="G316">
            <v>-0.25</v>
          </cell>
          <cell r="H316">
            <v>-0.25</v>
          </cell>
          <cell r="I316">
            <v>-0.25</v>
          </cell>
          <cell r="J316">
            <v>0</v>
          </cell>
          <cell r="K316">
            <v>0</v>
          </cell>
          <cell r="L316">
            <v>0</v>
          </cell>
          <cell r="M316">
            <v>0</v>
          </cell>
          <cell r="N316">
            <v>0</v>
          </cell>
        </row>
        <row r="317">
          <cell r="A317" t="str">
            <v>5.7% Senior Notes due 2013</v>
          </cell>
          <cell r="D317">
            <v>0</v>
          </cell>
          <cell r="E317">
            <v>0</v>
          </cell>
          <cell r="F317">
            <v>0.25</v>
          </cell>
          <cell r="G317">
            <v>0.25</v>
          </cell>
          <cell r="H317">
            <v>0.25</v>
          </cell>
          <cell r="I317">
            <v>0.25</v>
          </cell>
          <cell r="J317">
            <v>0.25</v>
          </cell>
          <cell r="K317">
            <v>0.25</v>
          </cell>
          <cell r="L317">
            <v>0.25</v>
          </cell>
          <cell r="M317">
            <v>0.25</v>
          </cell>
          <cell r="N317">
            <v>0</v>
          </cell>
        </row>
        <row r="318">
          <cell r="A318" t="str">
            <v>8.50% Senior Notes due 7/15/29</v>
          </cell>
          <cell r="D318">
            <v>0</v>
          </cell>
          <cell r="E318">
            <v>0</v>
          </cell>
          <cell r="F318">
            <v>0.21739130434782616</v>
          </cell>
          <cell r="G318">
            <v>0.21739130434782616</v>
          </cell>
          <cell r="H318">
            <v>0.21739130434782616</v>
          </cell>
          <cell r="I318">
            <v>0.21739130434782616</v>
          </cell>
          <cell r="J318">
            <v>0.21739130434782616</v>
          </cell>
          <cell r="K318">
            <v>0.21739130434782616</v>
          </cell>
          <cell r="L318">
            <v>0.21739130434782616</v>
          </cell>
          <cell r="M318">
            <v>0.21739130434782616</v>
          </cell>
          <cell r="N318">
            <v>0.21739130434782616</v>
          </cell>
        </row>
        <row r="319">
          <cell r="A319" t="str">
            <v>8.25% Senior Notes due 2/1/30</v>
          </cell>
          <cell r="D319">
            <v>0</v>
          </cell>
          <cell r="E319">
            <v>1</v>
          </cell>
          <cell r="F319">
            <v>0.33333333333333304</v>
          </cell>
          <cell r="G319">
            <v>0.33333333333333304</v>
          </cell>
          <cell r="H319">
            <v>0.33333333333333304</v>
          </cell>
          <cell r="I319">
            <v>0.33333333333333304</v>
          </cell>
          <cell r="J319">
            <v>0.33333333333333304</v>
          </cell>
          <cell r="K319">
            <v>0.33333333333333304</v>
          </cell>
          <cell r="L319">
            <v>0.33333333333333304</v>
          </cell>
          <cell r="M319">
            <v>0.33333333333333304</v>
          </cell>
          <cell r="N319">
            <v>0.33333333333333304</v>
          </cell>
        </row>
        <row r="320">
          <cell r="A320" t="str">
            <v>QVC Bank Credit Facility</v>
          </cell>
          <cell r="D320">
            <v>0</v>
          </cell>
          <cell r="E320">
            <v>0</v>
          </cell>
          <cell r="F320">
            <v>0</v>
          </cell>
          <cell r="G320">
            <v>0</v>
          </cell>
          <cell r="H320">
            <v>0</v>
          </cell>
          <cell r="I320">
            <v>0</v>
          </cell>
          <cell r="J320">
            <v>0</v>
          </cell>
          <cell r="K320">
            <v>0</v>
          </cell>
          <cell r="L320">
            <v>0</v>
          </cell>
          <cell r="M320">
            <v>0</v>
          </cell>
          <cell r="N320">
            <v>0</v>
          </cell>
        </row>
        <row r="321">
          <cell r="A321" t="str">
            <v>QVC Capital Leases</v>
          </cell>
          <cell r="D321">
            <v>0</v>
          </cell>
          <cell r="E321">
            <v>0</v>
          </cell>
          <cell r="F321">
            <v>0</v>
          </cell>
          <cell r="G321">
            <v>0</v>
          </cell>
          <cell r="H321">
            <v>0</v>
          </cell>
          <cell r="I321">
            <v>0</v>
          </cell>
          <cell r="J321">
            <v>0</v>
          </cell>
          <cell r="K321">
            <v>0</v>
          </cell>
          <cell r="L321">
            <v>0</v>
          </cell>
          <cell r="M321">
            <v>0</v>
          </cell>
          <cell r="N321">
            <v>0</v>
          </cell>
        </row>
        <row r="322">
          <cell r="A322" t="str">
            <v>4.00% Senior Exchangeable Debentures due 11/15/29</v>
          </cell>
          <cell r="D322">
            <v>3</v>
          </cell>
          <cell r="E322">
            <v>2</v>
          </cell>
          <cell r="F322">
            <v>2.2952610441767121</v>
          </cell>
          <cell r="G322">
            <v>2.634111630457582</v>
          </cell>
          <cell r="H322">
            <v>3.0229869057010461</v>
          </cell>
          <cell r="I322">
            <v>3.469272040855941</v>
          </cell>
          <cell r="J322">
            <v>3.9814424835140301</v>
          </cell>
          <cell r="K322">
            <v>4.5692249160199481</v>
          </cell>
          <cell r="L322">
            <v>5.2437819759110909</v>
          </cell>
          <cell r="M322">
            <v>6.017924246732349</v>
          </cell>
          <cell r="N322">
            <v>6.906353545165608</v>
          </cell>
        </row>
        <row r="323">
          <cell r="A323" t="str">
            <v>3.75% Senior Exchangeable Debentures due 2/15/30</v>
          </cell>
          <cell r="D323">
            <v>2</v>
          </cell>
          <cell r="E323">
            <v>3</v>
          </cell>
          <cell r="F323">
            <v>3.4391447368420884</v>
          </cell>
          <cell r="G323">
            <v>3.942572173649566</v>
          </cell>
          <cell r="H323">
            <v>4.5196921135423409</v>
          </cell>
          <cell r="I323">
            <v>5.1812917814786346</v>
          </cell>
          <cell r="J323">
            <v>5.9397374534385037</v>
          </cell>
          <cell r="K323">
            <v>6.8092056004056545</v>
          </cell>
          <cell r="L323">
            <v>7.8059478675702962</v>
          </cell>
          <cell r="M323">
            <v>8.9485948416060737</v>
          </cell>
          <cell r="N323">
            <v>10.258504283880647</v>
          </cell>
        </row>
        <row r="324">
          <cell r="A324" t="str">
            <v>3.50% Senior Exchangeable Debentures due 1/15/31</v>
          </cell>
          <cell r="D324">
            <v>2</v>
          </cell>
          <cell r="E324">
            <v>4</v>
          </cell>
          <cell r="F324">
            <v>4.4329004329004427</v>
          </cell>
          <cell r="G324">
            <v>4.9126515620022246</v>
          </cell>
          <cell r="H324">
            <v>5.4443238089721611</v>
          </cell>
          <cell r="I324">
            <v>6.0335363424107094</v>
          </cell>
          <cell r="J324">
            <v>6.6865164660482286</v>
          </cell>
          <cell r="K324">
            <v>7.4101654342352639</v>
          </cell>
          <cell r="L324">
            <v>8.2121313903213284</v>
          </cell>
          <cell r="M324">
            <v>9.1008901987976607</v>
          </cell>
          <cell r="N324">
            <v>10.085835025507368</v>
          </cell>
        </row>
        <row r="325">
          <cell r="A325" t="str">
            <v>3.25% Senior Exchangeable Debentures due 3/15/31</v>
          </cell>
          <cell r="D325">
            <v>0</v>
          </cell>
          <cell r="E325">
            <v>0.68872987477641345</v>
          </cell>
          <cell r="F325">
            <v>0.79884628102987421</v>
          </cell>
          <cell r="G325">
            <v>0.92656846186968167</v>
          </cell>
          <cell r="H325">
            <v>1.0747112866629784</v>
          </cell>
          <cell r="I325">
            <v>1.2465396753847635</v>
          </cell>
          <cell r="J325">
            <v>1.4458405541949375</v>
          </cell>
          <cell r="K325">
            <v>1.6770063155105497</v>
          </cell>
          <cell r="L325">
            <v>1.9451316219499901</v>
          </cell>
          <cell r="M325">
            <v>2.2561256876113376</v>
          </cell>
          <cell r="N325">
            <v>2.6168425112522335</v>
          </cell>
        </row>
        <row r="326">
          <cell r="A326" t="str">
            <v>0.75% Senior Exchangeable Debentures due 3/30/23</v>
          </cell>
          <cell r="D326">
            <v>75</v>
          </cell>
          <cell r="E326">
            <v>79</v>
          </cell>
          <cell r="F326">
            <v>83.940852002715488</v>
          </cell>
          <cell r="G326">
            <v>89.190716897997333</v>
          </cell>
          <cell r="H326">
            <v>24.868431099287179</v>
          </cell>
          <cell r="I326">
            <v>0</v>
          </cell>
          <cell r="J326">
            <v>0</v>
          </cell>
          <cell r="K326">
            <v>0</v>
          </cell>
          <cell r="L326">
            <v>0</v>
          </cell>
          <cell r="M326">
            <v>0</v>
          </cell>
          <cell r="N326">
            <v>0</v>
          </cell>
        </row>
        <row r="327">
          <cell r="A327" t="str">
            <v>Subsidiary Debt</v>
          </cell>
          <cell r="D327">
            <v>0</v>
          </cell>
          <cell r="E327">
            <v>0</v>
          </cell>
          <cell r="F327">
            <v>0</v>
          </cell>
          <cell r="G327">
            <v>0</v>
          </cell>
          <cell r="H327">
            <v>0</v>
          </cell>
          <cell r="I327">
            <v>0</v>
          </cell>
          <cell r="J327">
            <v>0</v>
          </cell>
          <cell r="K327">
            <v>0</v>
          </cell>
          <cell r="L327">
            <v>0</v>
          </cell>
          <cell r="M327">
            <v>0</v>
          </cell>
          <cell r="N327">
            <v>0</v>
          </cell>
        </row>
        <row r="328">
          <cell r="A328" t="str">
            <v>Other Fees and Costs</v>
          </cell>
          <cell r="D328">
            <v>13</v>
          </cell>
          <cell r="E328">
            <v>9.3112701252235865</v>
          </cell>
          <cell r="F328">
            <v>0</v>
          </cell>
          <cell r="G328">
            <v>0</v>
          </cell>
          <cell r="H328">
            <v>0</v>
          </cell>
          <cell r="I328">
            <v>0</v>
          </cell>
          <cell r="J328">
            <v>0</v>
          </cell>
          <cell r="K328">
            <v>0</v>
          </cell>
          <cell r="L328">
            <v>0</v>
          </cell>
          <cell r="M328">
            <v>0</v>
          </cell>
          <cell r="N328">
            <v>0</v>
          </cell>
        </row>
        <row r="329">
          <cell r="A329" t="str">
            <v>Total Noncash Interest Expense</v>
          </cell>
          <cell r="D329">
            <v>96</v>
          </cell>
          <cell r="E329">
            <v>101</v>
          </cell>
          <cell r="F329">
            <v>96.707729135345772</v>
          </cell>
          <cell r="G329">
            <v>103.40734536365756</v>
          </cell>
          <cell r="H329">
            <v>40.730869851846862</v>
          </cell>
          <cell r="I329">
            <v>16.731364477811209</v>
          </cell>
          <cell r="J329">
            <v>18.85426159487686</v>
          </cell>
          <cell r="K329">
            <v>21.266326903852576</v>
          </cell>
          <cell r="L329">
            <v>24.007717493433866</v>
          </cell>
          <cell r="M329">
            <v>27.124259612428581</v>
          </cell>
          <cell r="N329">
            <v>30.418260003487017</v>
          </cell>
        </row>
        <row r="331">
          <cell r="A331" t="str">
            <v>Total Interest</v>
          </cell>
          <cell r="B331">
            <v>367</v>
          </cell>
          <cell r="C331">
            <v>508</v>
          </cell>
          <cell r="D331">
            <v>615</v>
          </cell>
          <cell r="E331">
            <v>623</v>
          </cell>
          <cell r="F331">
            <v>594.47236738340416</v>
          </cell>
          <cell r="G331">
            <v>603.59737308741592</v>
          </cell>
          <cell r="H331">
            <v>542.07896060667872</v>
          </cell>
          <cell r="I331">
            <v>505.6400773898896</v>
          </cell>
          <cell r="J331">
            <v>495.06090108509102</v>
          </cell>
          <cell r="K331">
            <v>497.6536551903979</v>
          </cell>
          <cell r="L331">
            <v>500.61438549554947</v>
          </cell>
          <cell r="M331">
            <v>503.99420182542883</v>
          </cell>
          <cell r="N331">
            <v>507.60115024190145</v>
          </cell>
        </row>
        <row r="332">
          <cell r="A332" t="str">
            <v>as % of avg. debt</v>
          </cell>
          <cell r="C332">
            <v>5.3859202714164549E-2</v>
          </cell>
          <cell r="D332">
            <v>6.8302976454908931E-2</v>
          </cell>
          <cell r="E332">
            <v>7.6319980399362983E-2</v>
          </cell>
          <cell r="F332">
            <v>7.6240270444153421E-2</v>
          </cell>
          <cell r="G332">
            <v>7.6449135120241429E-2</v>
          </cell>
          <cell r="H332">
            <v>6.8053516666732067E-2</v>
          </cell>
          <cell r="I332">
            <v>6.3266602664479754E-2</v>
          </cell>
          <cell r="J332">
            <v>6.1820757570434835E-2</v>
          </cell>
          <cell r="K332">
            <v>6.2004689931039338E-2</v>
          </cell>
          <cell r="L332">
            <v>6.2213612567118853E-2</v>
          </cell>
          <cell r="M332">
            <v>6.2450741136931207E-2</v>
          </cell>
          <cell r="N332">
            <v>6.2689725214843686E-2</v>
          </cell>
        </row>
        <row r="333">
          <cell r="A333" t="str">
            <v>Check</v>
          </cell>
          <cell r="D333">
            <v>0</v>
          </cell>
          <cell r="E333">
            <v>0</v>
          </cell>
          <cell r="F333">
            <v>0</v>
          </cell>
          <cell r="G333">
            <v>0</v>
          </cell>
          <cell r="H333">
            <v>0</v>
          </cell>
          <cell r="I333">
            <v>0</v>
          </cell>
          <cell r="J333">
            <v>0</v>
          </cell>
          <cell r="K333">
            <v>0</v>
          </cell>
          <cell r="L333">
            <v>0</v>
          </cell>
          <cell r="M333">
            <v>0</v>
          </cell>
          <cell r="N333">
            <v>0</v>
          </cell>
        </row>
        <row r="336">
          <cell r="A336" t="str">
            <v>Working Capital Analysis</v>
          </cell>
        </row>
        <row r="337">
          <cell r="A337" t="str">
            <v>Total Reported Revenue</v>
          </cell>
          <cell r="B337">
            <v>1266</v>
          </cell>
          <cell r="C337">
            <v>3230</v>
          </cell>
          <cell r="D337">
            <v>7051</v>
          </cell>
          <cell r="E337">
            <v>7960</v>
          </cell>
          <cell r="F337">
            <v>8737.8610268085504</v>
          </cell>
          <cell r="G337">
            <v>9452.9353488895995</v>
          </cell>
          <cell r="H337">
            <v>10195.317267276172</v>
          </cell>
          <cell r="I337">
            <v>10931.9694548264</v>
          </cell>
          <cell r="J337">
            <v>11666.424381150542</v>
          </cell>
          <cell r="K337">
            <v>12415.653981291613</v>
          </cell>
          <cell r="L337">
            <v>13134.775308317945</v>
          </cell>
          <cell r="M337">
            <v>13868.997527772553</v>
          </cell>
          <cell r="N337">
            <v>14631.450270649617</v>
          </cell>
        </row>
        <row r="338">
          <cell r="A338" t="str">
            <v>Operating Expenses</v>
          </cell>
          <cell r="B338" t="str">
            <v>n.a.</v>
          </cell>
          <cell r="C338">
            <v>1258</v>
          </cell>
          <cell r="D338">
            <v>3594</v>
          </cell>
          <cell r="E338">
            <v>4112</v>
          </cell>
          <cell r="F338">
            <v>4444.376295811524</v>
          </cell>
          <cell r="G338">
            <v>4822.0458499976794</v>
          </cell>
          <cell r="H338">
            <v>5218.5480053465008</v>
          </cell>
          <cell r="I338">
            <v>5619.795608752529</v>
          </cell>
          <cell r="J338">
            <v>6023.0630249674159</v>
          </cell>
          <cell r="K338">
            <v>6422.4050442774696</v>
          </cell>
          <cell r="L338">
            <v>6809.5227058521832</v>
          </cell>
          <cell r="M338">
            <v>7202.9940689544228</v>
          </cell>
          <cell r="N338">
            <v>7614.3763706290529</v>
          </cell>
        </row>
        <row r="340">
          <cell r="A340" t="str">
            <v>Accounts Receivable</v>
          </cell>
          <cell r="B340">
            <v>348</v>
          </cell>
          <cell r="C340">
            <v>946</v>
          </cell>
          <cell r="D340">
            <v>1035</v>
          </cell>
          <cell r="E340">
            <v>1168.43000992767</v>
          </cell>
          <cell r="F340">
            <v>1282.6104329523259</v>
          </cell>
          <cell r="G340">
            <v>1387.5745406468211</v>
          </cell>
          <cell r="H340">
            <v>1496.547067313975</v>
          </cell>
          <cell r="I340">
            <v>1604.6785400291199</v>
          </cell>
          <cell r="J340">
            <v>1712.4874818452436</v>
          </cell>
          <cell r="K340">
            <v>1822.4651638968685</v>
          </cell>
          <cell r="L340">
            <v>1928.0233220974435</v>
          </cell>
          <cell r="M340">
            <v>2035.7981054098134</v>
          </cell>
          <cell r="N340">
            <v>2147.7167820340878</v>
          </cell>
        </row>
        <row r="341">
          <cell r="A341" t="str">
            <v>Other Current Assets</v>
          </cell>
          <cell r="B341">
            <v>1860</v>
          </cell>
          <cell r="C341">
            <v>811</v>
          </cell>
          <cell r="D341">
            <v>615</v>
          </cell>
          <cell r="E341">
            <v>665.27145478018622</v>
          </cell>
          <cell r="F341">
            <v>700.98937274814227</v>
          </cell>
          <cell r="G341">
            <v>729.10958043106587</v>
          </cell>
          <cell r="H341">
            <v>757.16943839812166</v>
          </cell>
          <cell r="I341">
            <v>782.80971237331732</v>
          </cell>
          <cell r="J341">
            <v>806.52551645768699</v>
          </cell>
          <cell r="K341">
            <v>829.64385271845947</v>
          </cell>
          <cell r="L341">
            <v>849.32045154195521</v>
          </cell>
          <cell r="M341">
            <v>868.71044248919088</v>
          </cell>
          <cell r="N341">
            <v>888.6373608976412</v>
          </cell>
        </row>
        <row r="342">
          <cell r="A342" t="str">
            <v>Total Current Assets</v>
          </cell>
          <cell r="B342">
            <v>2208</v>
          </cell>
          <cell r="C342">
            <v>1757</v>
          </cell>
          <cell r="D342">
            <v>1650</v>
          </cell>
          <cell r="E342">
            <v>1833.7014647078563</v>
          </cell>
          <cell r="F342">
            <v>1983.5998057004681</v>
          </cell>
          <cell r="G342">
            <v>2116.6841210778871</v>
          </cell>
          <cell r="H342">
            <v>2253.7165057120965</v>
          </cell>
          <cell r="I342">
            <v>2387.488252402437</v>
          </cell>
          <cell r="J342">
            <v>2519.0129983029306</v>
          </cell>
          <cell r="K342">
            <v>2652.1090166153281</v>
          </cell>
          <cell r="L342">
            <v>2777.3437736393989</v>
          </cell>
          <cell r="M342">
            <v>2904.508547899004</v>
          </cell>
          <cell r="N342">
            <v>3036.3541429317293</v>
          </cell>
        </row>
        <row r="343">
          <cell r="A343" t="str">
            <v xml:space="preserve">     Change in Current Assets</v>
          </cell>
          <cell r="D343">
            <v>-107</v>
          </cell>
          <cell r="E343">
            <v>183.7014647078563</v>
          </cell>
          <cell r="F343">
            <v>182.5998057004681</v>
          </cell>
          <cell r="G343">
            <v>133.08431537741899</v>
          </cell>
          <cell r="H343">
            <v>137.03238463420939</v>
          </cell>
          <cell r="I343">
            <v>133.77174669034048</v>
          </cell>
          <cell r="J343">
            <v>131.5247459004936</v>
          </cell>
          <cell r="K343">
            <v>133.09601831239752</v>
          </cell>
          <cell r="L343">
            <v>125.23475702407086</v>
          </cell>
          <cell r="M343">
            <v>127.16477425960511</v>
          </cell>
          <cell r="N343">
            <v>131.84559503272521</v>
          </cell>
        </row>
        <row r="345">
          <cell r="A345" t="str">
            <v>A/R Turns</v>
          </cell>
          <cell r="B345">
            <v>3.6379310344827585</v>
          </cell>
          <cell r="C345">
            <v>3.4143763213530653</v>
          </cell>
          <cell r="D345">
            <v>6.8125603864734297</v>
          </cell>
          <cell r="E345">
            <v>6.8125603864734297</v>
          </cell>
          <cell r="F345">
            <v>6.8125603864734297</v>
          </cell>
          <cell r="G345">
            <v>6.8125603864734297</v>
          </cell>
          <cell r="H345">
            <v>6.8125603864734297</v>
          </cell>
          <cell r="I345">
            <v>6.8125603864734297</v>
          </cell>
          <cell r="J345">
            <v>6.8125603864734297</v>
          </cell>
          <cell r="K345">
            <v>6.8125603864734297</v>
          </cell>
          <cell r="L345">
            <v>6.8125603864734297</v>
          </cell>
          <cell r="M345">
            <v>6.8125603864734297</v>
          </cell>
          <cell r="N345">
            <v>6.8125603864734297</v>
          </cell>
        </row>
        <row r="346">
          <cell r="A346" t="str">
            <v>A/R DSO</v>
          </cell>
          <cell r="B346">
            <v>98.957345971563981</v>
          </cell>
          <cell r="C346">
            <v>105.43653250773994</v>
          </cell>
          <cell r="D346">
            <v>52.843568288186077</v>
          </cell>
          <cell r="E346">
            <v>52.843568288186077</v>
          </cell>
          <cell r="F346">
            <v>52.843568288186077</v>
          </cell>
          <cell r="G346">
            <v>52.843568288186077</v>
          </cell>
          <cell r="H346">
            <v>52.843568288186077</v>
          </cell>
          <cell r="I346">
            <v>52.843568288186077</v>
          </cell>
          <cell r="J346">
            <v>52.843568288186077</v>
          </cell>
          <cell r="K346">
            <v>52.843568288186077</v>
          </cell>
          <cell r="L346">
            <v>52.843568288186077</v>
          </cell>
          <cell r="M346">
            <v>52.843568288186077</v>
          </cell>
          <cell r="N346">
            <v>52.843568288186077</v>
          </cell>
        </row>
        <row r="347">
          <cell r="A347" t="str">
            <v>Other Asset Turns</v>
          </cell>
          <cell r="B347">
            <v>0.6806451612903226</v>
          </cell>
          <cell r="C347">
            <v>3.9827373612823673</v>
          </cell>
          <cell r="D347">
            <v>11.465040650406504</v>
          </cell>
          <cell r="E347">
            <v>11.965040650406504</v>
          </cell>
          <cell r="F347">
            <v>12.465040650406504</v>
          </cell>
          <cell r="G347">
            <v>12.965040650406504</v>
          </cell>
          <cell r="H347">
            <v>13.465040650406504</v>
          </cell>
          <cell r="I347">
            <v>13.965040650406504</v>
          </cell>
          <cell r="J347">
            <v>14.465040650406504</v>
          </cell>
          <cell r="K347">
            <v>14.965040650406504</v>
          </cell>
          <cell r="L347">
            <v>15.465040650406504</v>
          </cell>
          <cell r="M347">
            <v>15.965040650406504</v>
          </cell>
          <cell r="N347">
            <v>16.465040650406504</v>
          </cell>
        </row>
        <row r="349">
          <cell r="A349" t="str">
            <v>Accounts Payable</v>
          </cell>
          <cell r="B349">
            <v>111</v>
          </cell>
          <cell r="C349">
            <v>390</v>
          </cell>
          <cell r="D349">
            <v>424</v>
          </cell>
          <cell r="E349">
            <v>485.11074012242619</v>
          </cell>
          <cell r="F349">
            <v>524.32263478689094</v>
          </cell>
          <cell r="G349">
            <v>568.87797451280358</v>
          </cell>
          <cell r="H349">
            <v>615.655079094857</v>
          </cell>
          <cell r="I349">
            <v>662.99202507264113</v>
          </cell>
          <cell r="J349">
            <v>710.56725725825936</v>
          </cell>
          <cell r="K349">
            <v>757.67939309227791</v>
          </cell>
          <cell r="L349">
            <v>803.34936763531596</v>
          </cell>
          <cell r="M349">
            <v>849.76891631515718</v>
          </cell>
          <cell r="N349">
            <v>898.30149725840795</v>
          </cell>
        </row>
        <row r="350">
          <cell r="A350" t="str">
            <v>Accrued Liabilities</v>
          </cell>
          <cell r="B350">
            <v>420</v>
          </cell>
          <cell r="C350">
            <v>746</v>
          </cell>
          <cell r="D350">
            <v>788</v>
          </cell>
          <cell r="E350">
            <v>889.58729258261235</v>
          </cell>
          <cell r="F350">
            <v>976.51886103036986</v>
          </cell>
          <cell r="G350">
            <v>1056.433563313715</v>
          </cell>
          <cell r="H350">
            <v>1139.4000860322824</v>
          </cell>
          <cell r="I350">
            <v>1221.7262700898034</v>
          </cell>
          <cell r="J350">
            <v>1303.8068943903882</v>
          </cell>
          <cell r="K350">
            <v>1387.5386948316254</v>
          </cell>
          <cell r="L350">
            <v>1467.9056790461693</v>
          </cell>
          <cell r="M350">
            <v>1549.9602966791622</v>
          </cell>
          <cell r="N350">
            <v>1635.1698784955181</v>
          </cell>
        </row>
        <row r="351">
          <cell r="A351" t="str">
            <v>Other Current Liabilities</v>
          </cell>
          <cell r="B351">
            <v>1425</v>
          </cell>
          <cell r="C351">
            <v>307</v>
          </cell>
          <cell r="D351">
            <v>503</v>
          </cell>
          <cell r="E351">
            <v>567.8456956460077</v>
          </cell>
          <cell r="F351">
            <v>623.33627804349749</v>
          </cell>
          <cell r="G351">
            <v>674.34782023705418</v>
          </cell>
          <cell r="H351">
            <v>727.30741532263721</v>
          </cell>
          <cell r="I351">
            <v>779.85826631366888</v>
          </cell>
          <cell r="J351">
            <v>832.25237040401692</v>
          </cell>
          <cell r="K351">
            <v>885.70046129480659</v>
          </cell>
          <cell r="L351">
            <v>937.00070629469951</v>
          </cell>
          <cell r="M351">
            <v>989.37820968225708</v>
          </cell>
          <cell r="N351">
            <v>1043.7696051817838</v>
          </cell>
        </row>
        <row r="352">
          <cell r="A352" t="str">
            <v>Total Current Liabilities</v>
          </cell>
          <cell r="B352">
            <v>1956</v>
          </cell>
          <cell r="C352">
            <v>1443</v>
          </cell>
          <cell r="D352">
            <v>1715</v>
          </cell>
          <cell r="E352">
            <v>1942.5437283510462</v>
          </cell>
          <cell r="F352">
            <v>2124.177773860758</v>
          </cell>
          <cell r="G352">
            <v>2299.6593580635727</v>
          </cell>
          <cell r="H352">
            <v>2482.3625804497765</v>
          </cell>
          <cell r="I352">
            <v>2664.5765614761135</v>
          </cell>
          <cell r="J352">
            <v>2846.6265220526643</v>
          </cell>
          <cell r="K352">
            <v>3030.9185492187098</v>
          </cell>
          <cell r="L352">
            <v>3208.2557529761852</v>
          </cell>
          <cell r="M352">
            <v>3389.1074226765763</v>
          </cell>
          <cell r="N352">
            <v>3577.24098093571</v>
          </cell>
        </row>
        <row r="353">
          <cell r="A353" t="str">
            <v xml:space="preserve">     Change in Current Liabilities</v>
          </cell>
          <cell r="D353">
            <v>272</v>
          </cell>
          <cell r="E353">
            <v>227.54372835104618</v>
          </cell>
          <cell r="F353">
            <v>449.17777386075795</v>
          </cell>
          <cell r="G353">
            <v>175.4815842028147</v>
          </cell>
          <cell r="H353">
            <v>182.70322238620383</v>
          </cell>
          <cell r="I353">
            <v>182.21398102633702</v>
          </cell>
          <cell r="J353">
            <v>182.0499605765508</v>
          </cell>
          <cell r="K353">
            <v>184.2920271660455</v>
          </cell>
          <cell r="L353">
            <v>177.33720375747544</v>
          </cell>
          <cell r="M353">
            <v>180.85166970039108</v>
          </cell>
          <cell r="N353">
            <v>188.13355825913368</v>
          </cell>
        </row>
        <row r="355">
          <cell r="A355" t="str">
            <v>Accounts Payable as % of Revenue</v>
          </cell>
          <cell r="B355">
            <v>8.7677725118483416E-2</v>
          </cell>
          <cell r="C355">
            <v>0.12074303405572756</v>
          </cell>
          <cell r="D355">
            <v>6.0133314423486031E-2</v>
          </cell>
          <cell r="E355">
            <v>6.0943560316887711E-2</v>
          </cell>
          <cell r="F355">
            <v>6.0005833599117854E-2</v>
          </cell>
          <cell r="G355">
            <v>6.0180034403771475E-2</v>
          </cell>
          <cell r="H355">
            <v>6.0386063812935001E-2</v>
          </cell>
          <cell r="I355">
            <v>6.0647079907448338E-2</v>
          </cell>
          <cell r="J355">
            <v>6.0907029784234824E-2</v>
          </cell>
          <cell r="K355">
            <v>6.1026136378637685E-2</v>
          </cell>
          <cell r="L355">
            <v>6.1162018289461995E-2</v>
          </cell>
          <cell r="M355">
            <v>6.1271113114953112E-2</v>
          </cell>
          <cell r="N355">
            <v>6.1395246584706777E-2</v>
          </cell>
        </row>
        <row r="356">
          <cell r="A356" t="str">
            <v>A/P Turns (Total Operating Expenses)</v>
          </cell>
          <cell r="B356" t="str">
            <v>n.a.</v>
          </cell>
          <cell r="C356">
            <v>3.2256410256410257</v>
          </cell>
          <cell r="D356">
            <v>8.4764150943396235</v>
          </cell>
          <cell r="E356">
            <v>8.4764150943396235</v>
          </cell>
          <cell r="F356">
            <v>8.4764150943396235</v>
          </cell>
          <cell r="G356">
            <v>8.4764150943396235</v>
          </cell>
          <cell r="H356">
            <v>8.4764150943396235</v>
          </cell>
          <cell r="I356">
            <v>8.4764150943396235</v>
          </cell>
          <cell r="J356">
            <v>8.4764150943396235</v>
          </cell>
          <cell r="K356">
            <v>8.4764150943396235</v>
          </cell>
          <cell r="L356">
            <v>8.4764150943396235</v>
          </cell>
          <cell r="M356">
            <v>8.4764150943396235</v>
          </cell>
          <cell r="N356">
            <v>8.4764150943396235</v>
          </cell>
        </row>
        <row r="357">
          <cell r="A357" t="str">
            <v>Accrued Liabilities as % of Revenue</v>
          </cell>
          <cell r="B357">
            <v>0.33175355450236965</v>
          </cell>
          <cell r="C357">
            <v>0.23095975232198143</v>
          </cell>
          <cell r="D357">
            <v>0.1117571975606297</v>
          </cell>
          <cell r="E357">
            <v>0.1117571975606297</v>
          </cell>
          <cell r="F357">
            <v>0.1117571975606297</v>
          </cell>
          <cell r="G357">
            <v>0.1117571975606297</v>
          </cell>
          <cell r="H357">
            <v>0.1117571975606297</v>
          </cell>
          <cell r="I357">
            <v>0.1117571975606297</v>
          </cell>
          <cell r="J357">
            <v>0.1117571975606297</v>
          </cell>
          <cell r="K357">
            <v>0.1117571975606297</v>
          </cell>
          <cell r="L357">
            <v>0.1117571975606297</v>
          </cell>
          <cell r="M357">
            <v>0.1117571975606297</v>
          </cell>
          <cell r="N357">
            <v>0.1117571975606297</v>
          </cell>
        </row>
        <row r="358">
          <cell r="A358" t="str">
            <v>Other Liabilities as % of Revenue</v>
          </cell>
          <cell r="B358">
            <v>1.1255924170616114</v>
          </cell>
          <cell r="C358">
            <v>9.504643962848297E-2</v>
          </cell>
          <cell r="D358">
            <v>7.1337398950503478E-2</v>
          </cell>
          <cell r="E358">
            <v>7.1337398950503478E-2</v>
          </cell>
          <cell r="F358">
            <v>7.1337398950503478E-2</v>
          </cell>
          <cell r="G358">
            <v>7.1337398950503478E-2</v>
          </cell>
          <cell r="H358">
            <v>7.1337398950503478E-2</v>
          </cell>
          <cell r="I358">
            <v>7.1337398950503478E-2</v>
          </cell>
          <cell r="J358">
            <v>7.1337398950503478E-2</v>
          </cell>
          <cell r="K358">
            <v>7.1337398950503478E-2</v>
          </cell>
          <cell r="L358">
            <v>7.1337398950503478E-2</v>
          </cell>
          <cell r="M358">
            <v>7.1337398950503478E-2</v>
          </cell>
          <cell r="N358">
            <v>7.1337398950503478E-2</v>
          </cell>
        </row>
        <row r="360">
          <cell r="A360" t="str">
            <v>Net Working Capital</v>
          </cell>
          <cell r="B360">
            <v>252</v>
          </cell>
          <cell r="C360">
            <v>314</v>
          </cell>
          <cell r="D360">
            <v>-65</v>
          </cell>
          <cell r="E360">
            <v>-108.84226364318988</v>
          </cell>
          <cell r="F360">
            <v>-140.57796816028986</v>
          </cell>
          <cell r="G360">
            <v>-182.97523698568557</v>
          </cell>
          <cell r="H360">
            <v>-228.64607473768001</v>
          </cell>
          <cell r="I360">
            <v>-277.08830907367656</v>
          </cell>
          <cell r="J360">
            <v>-327.61352374973376</v>
          </cell>
          <cell r="K360">
            <v>-378.80953260338174</v>
          </cell>
          <cell r="L360">
            <v>-430.91197933678632</v>
          </cell>
          <cell r="M360">
            <v>-484.59887477757229</v>
          </cell>
          <cell r="N360">
            <v>-540.88683800398076</v>
          </cell>
        </row>
        <row r="361">
          <cell r="A361" t="str">
            <v>Change in Working Capital</v>
          </cell>
          <cell r="D361">
            <v>379</v>
          </cell>
          <cell r="E361">
            <v>43.842263643189881</v>
          </cell>
          <cell r="F361">
            <v>266.57796816028986</v>
          </cell>
          <cell r="G361">
            <v>42.397268825395713</v>
          </cell>
          <cell r="H361">
            <v>45.670837751994441</v>
          </cell>
          <cell r="I361">
            <v>48.442234335996545</v>
          </cell>
          <cell r="J361">
            <v>50.525214676057203</v>
          </cell>
          <cell r="K361">
            <v>51.196008853647982</v>
          </cell>
          <cell r="L361">
            <v>52.102446733404577</v>
          </cell>
          <cell r="M361">
            <v>53.686895440785975</v>
          </cell>
          <cell r="N361">
            <v>56.287963226408465</v>
          </cell>
        </row>
        <row r="363">
          <cell r="A363" t="str">
            <v>Depreciation Analysis</v>
          </cell>
        </row>
        <row r="364">
          <cell r="A364" t="str">
            <v>Gross PP&amp;E</v>
          </cell>
          <cell r="B364">
            <v>1105</v>
          </cell>
          <cell r="C364">
            <v>1474</v>
          </cell>
          <cell r="D364">
            <v>1637</v>
          </cell>
          <cell r="E364">
            <v>1287.3</v>
          </cell>
          <cell r="F364">
            <v>1538.57</v>
          </cell>
          <cell r="G364">
            <v>1776.4889729346496</v>
          </cell>
          <cell r="H364">
            <v>2003.5945526169212</v>
          </cell>
          <cell r="I364">
            <v>2221.8909446198077</v>
          </cell>
          <cell r="J364">
            <v>2432.8642872859205</v>
          </cell>
          <cell r="K364">
            <v>2637.277704823895</v>
          </cell>
          <cell r="L364">
            <v>2835.3623564660197</v>
          </cell>
          <cell r="M364">
            <v>3028.1495302910284</v>
          </cell>
          <cell r="N364">
            <v>3217.1116787254482</v>
          </cell>
        </row>
        <row r="365">
          <cell r="A365" t="str">
            <v>Accumulated Depreciation</v>
          </cell>
          <cell r="B365">
            <v>279</v>
          </cell>
          <cell r="C365">
            <v>355</v>
          </cell>
          <cell r="D365">
            <v>504</v>
          </cell>
          <cell r="E365">
            <v>345.76111111111106</v>
          </cell>
          <cell r="F365">
            <v>373.64449599914064</v>
          </cell>
          <cell r="G365">
            <v>403.51236899567994</v>
          </cell>
          <cell r="H365">
            <v>435.36060925493609</v>
          </cell>
          <cell r="I365">
            <v>469.18304718632191</v>
          </cell>
          <cell r="J365">
            <v>504.96653203408357</v>
          </cell>
          <cell r="K365">
            <v>542.67395625953964</v>
          </cell>
          <cell r="L365">
            <v>582.24700438255218</v>
          </cell>
          <cell r="M365">
            <v>623.6742114690619</v>
          </cell>
          <cell r="N365">
            <v>666.97974432712965</v>
          </cell>
        </row>
        <row r="366">
          <cell r="A366" t="str">
            <v xml:space="preserve">Net Prop., Plant, &amp; Equip. </v>
          </cell>
          <cell r="B366">
            <v>826</v>
          </cell>
          <cell r="C366">
            <v>1119</v>
          </cell>
          <cell r="D366">
            <v>1133</v>
          </cell>
          <cell r="E366">
            <v>941.53888888888889</v>
          </cell>
          <cell r="F366">
            <v>1164.9255040008593</v>
          </cell>
          <cell r="G366">
            <v>1372.9766039389697</v>
          </cell>
          <cell r="H366">
            <v>1568.233943361985</v>
          </cell>
          <cell r="I366">
            <v>1752.7078974334859</v>
          </cell>
          <cell r="J366">
            <v>1927.8977552518368</v>
          </cell>
          <cell r="K366">
            <v>2094.6037485643556</v>
          </cell>
          <cell r="L366">
            <v>2253.1153520834678</v>
          </cell>
          <cell r="M366">
            <v>2404.4753188219665</v>
          </cell>
          <cell r="N366">
            <v>2550.1319343983187</v>
          </cell>
        </row>
        <row r="368">
          <cell r="A368" t="str">
            <v>Beginning Gross PP&amp;E</v>
          </cell>
          <cell r="B368">
            <v>1105</v>
          </cell>
          <cell r="C368">
            <v>1105</v>
          </cell>
          <cell r="D368">
            <v>1474</v>
          </cell>
          <cell r="E368">
            <v>1637</v>
          </cell>
          <cell r="F368">
            <v>1287.3</v>
          </cell>
          <cell r="G368">
            <v>1538.57</v>
          </cell>
          <cell r="H368">
            <v>1776.4889729346496</v>
          </cell>
          <cell r="I368">
            <v>2003.5945526169212</v>
          </cell>
          <cell r="J368">
            <v>2221.8909446198077</v>
          </cell>
          <cell r="K368">
            <v>2432.8642872859205</v>
          </cell>
          <cell r="L368">
            <v>2637.277704823895</v>
          </cell>
          <cell r="M368">
            <v>2835.3623564660197</v>
          </cell>
          <cell r="N368">
            <v>3028.1495302910284</v>
          </cell>
        </row>
        <row r="369">
          <cell r="A369" t="str">
            <v>Additions</v>
          </cell>
          <cell r="B369">
            <v>91</v>
          </cell>
          <cell r="C369">
            <v>151</v>
          </cell>
          <cell r="D369">
            <v>177</v>
          </cell>
          <cell r="E369">
            <v>233</v>
          </cell>
          <cell r="F369">
            <v>380</v>
          </cell>
          <cell r="G369">
            <v>391.77597293464976</v>
          </cell>
          <cell r="H369">
            <v>404.75447697573645</v>
          </cell>
          <cell r="I369">
            <v>418.65584726457837</v>
          </cell>
          <cell r="J369">
            <v>433.16243712809347</v>
          </cell>
          <cell r="K369">
            <v>447.69984626656668</v>
          </cell>
          <cell r="L369">
            <v>461.81242212451411</v>
          </cell>
          <cell r="M369">
            <v>476.32340947161094</v>
          </cell>
          <cell r="N369">
            <v>491.77710146352263</v>
          </cell>
        </row>
        <row r="370">
          <cell r="A370" t="str">
            <v>Retirements</v>
          </cell>
          <cell r="B370">
            <v>-91</v>
          </cell>
          <cell r="C370">
            <v>-482</v>
          </cell>
          <cell r="D370">
            <v>-114</v>
          </cell>
          <cell r="E370">
            <v>-163.70000000000002</v>
          </cell>
          <cell r="F370">
            <v>-128.72999999999999</v>
          </cell>
          <cell r="G370">
            <v>-153.857</v>
          </cell>
          <cell r="H370">
            <v>-177.64889729346498</v>
          </cell>
          <cell r="I370">
            <v>-200.35945526169212</v>
          </cell>
          <cell r="J370">
            <v>-222.18909446198077</v>
          </cell>
          <cell r="K370">
            <v>-243.28642872859206</v>
          </cell>
          <cell r="L370">
            <v>-263.72777048238953</v>
          </cell>
          <cell r="M370">
            <v>-283.53623564660199</v>
          </cell>
          <cell r="N370">
            <v>-302.81495302910287</v>
          </cell>
        </row>
        <row r="371">
          <cell r="A371" t="str">
            <v>Acquisitions and Other (Sales)</v>
          </cell>
          <cell r="B371">
            <v>0</v>
          </cell>
          <cell r="C371">
            <v>700</v>
          </cell>
          <cell r="D371">
            <v>100</v>
          </cell>
          <cell r="E371">
            <v>-419</v>
          </cell>
          <cell r="F371">
            <v>0</v>
          </cell>
          <cell r="G371">
            <v>0</v>
          </cell>
          <cell r="H371">
            <v>0</v>
          </cell>
          <cell r="I371">
            <v>0</v>
          </cell>
          <cell r="J371">
            <v>0</v>
          </cell>
          <cell r="K371">
            <v>0</v>
          </cell>
          <cell r="L371">
            <v>0</v>
          </cell>
          <cell r="M371">
            <v>0</v>
          </cell>
          <cell r="N371">
            <v>0</v>
          </cell>
        </row>
        <row r="372">
          <cell r="A372" t="str">
            <v>Ending Gross PP&amp;E</v>
          </cell>
          <cell r="B372">
            <v>1105</v>
          </cell>
          <cell r="C372">
            <v>1474</v>
          </cell>
          <cell r="D372">
            <v>1637</v>
          </cell>
          <cell r="E372">
            <v>1287.3</v>
          </cell>
          <cell r="F372">
            <v>1538.57</v>
          </cell>
          <cell r="G372">
            <v>1776.4889729346496</v>
          </cell>
          <cell r="H372">
            <v>2003.5945526169212</v>
          </cell>
          <cell r="I372">
            <v>2221.8909446198077</v>
          </cell>
          <cell r="J372">
            <v>2432.8642872859205</v>
          </cell>
          <cell r="K372">
            <v>2637.277704823895</v>
          </cell>
          <cell r="L372">
            <v>2835.3623564660197</v>
          </cell>
          <cell r="M372">
            <v>3028.1495302910284</v>
          </cell>
          <cell r="N372">
            <v>3217.1116787254482</v>
          </cell>
        </row>
        <row r="373">
          <cell r="A373" t="str">
            <v>Average Gross PP&amp;E</v>
          </cell>
          <cell r="B373">
            <v>1105</v>
          </cell>
          <cell r="C373">
            <v>1289.5</v>
          </cell>
          <cell r="D373">
            <v>1555.5</v>
          </cell>
          <cell r="E373">
            <v>1462.15</v>
          </cell>
          <cell r="F373">
            <v>1412.9349999999999</v>
          </cell>
          <cell r="G373">
            <v>1657.5294864673247</v>
          </cell>
          <cell r="H373">
            <v>1890.0417627757854</v>
          </cell>
          <cell r="I373">
            <v>2112.7427486183642</v>
          </cell>
          <cell r="J373">
            <v>2327.3776159528643</v>
          </cell>
          <cell r="K373">
            <v>2535.0709960549075</v>
          </cell>
          <cell r="L373">
            <v>2736.3200306449571</v>
          </cell>
          <cell r="M373">
            <v>2931.7559433785241</v>
          </cell>
          <cell r="N373">
            <v>3122.6306045082383</v>
          </cell>
        </row>
        <row r="375">
          <cell r="A375" t="str">
            <v>Additions as % Average Gross PP&amp;E</v>
          </cell>
          <cell r="B375">
            <v>8.2352941176470587E-2</v>
          </cell>
          <cell r="C375">
            <v>0.11709965102753005</v>
          </cell>
          <cell r="D375">
            <v>0.11378977820636452</v>
          </cell>
          <cell r="E375">
            <v>0.15935437540608008</v>
          </cell>
          <cell r="F375">
            <v>0.26894372352585222</v>
          </cell>
          <cell r="G375">
            <v>0.23636138972685053</v>
          </cell>
          <cell r="H375">
            <v>0.21415107589014279</v>
          </cell>
          <cell r="I375">
            <v>0.19815751233242188</v>
          </cell>
          <cell r="J375">
            <v>0.18611609657109729</v>
          </cell>
          <cell r="K375">
            <v>0.17660248843652893</v>
          </cell>
          <cell r="L375">
            <v>0.16877134872841018</v>
          </cell>
          <cell r="M375">
            <v>0.1624703483751451</v>
          </cell>
          <cell r="N375">
            <v>0.15748808096402078</v>
          </cell>
        </row>
        <row r="376">
          <cell r="A376" t="str">
            <v>Retirements as % Beg. Gross PP&amp;E</v>
          </cell>
          <cell r="B376">
            <v>-8.2352941176470587E-2</v>
          </cell>
          <cell r="C376">
            <v>-0.37378829003489722</v>
          </cell>
          <cell r="D376">
            <v>-7.3288331726133082E-2</v>
          </cell>
          <cell r="E376">
            <v>-0.11195841739903567</v>
          </cell>
          <cell r="F376">
            <v>-9.1108225077586716E-2</v>
          </cell>
          <cell r="G376">
            <v>-9.2823084751218407E-2</v>
          </cell>
          <cell r="H376">
            <v>-9.3992048637360923E-2</v>
          </cell>
          <cell r="I376">
            <v>-9.4833815140398861E-2</v>
          </cell>
          <cell r="J376">
            <v>-9.5467573864679078E-2</v>
          </cell>
          <cell r="K376">
            <v>-9.5968290082287966E-2</v>
          </cell>
          <cell r="L376">
            <v>-9.6380455330083686E-2</v>
          </cell>
          <cell r="M376">
            <v>-9.6712086927623953E-2</v>
          </cell>
          <cell r="N376">
            <v>-9.6974311528209442E-2</v>
          </cell>
        </row>
        <row r="378">
          <cell r="A378" t="str">
            <v>Beginning Acc. Depreciation</v>
          </cell>
          <cell r="B378">
            <v>150</v>
          </cell>
          <cell r="C378">
            <v>279</v>
          </cell>
          <cell r="D378">
            <v>355</v>
          </cell>
          <cell r="E378">
            <v>504</v>
          </cell>
          <cell r="F378">
            <v>345.76111111111106</v>
          </cell>
          <cell r="G378">
            <v>373.64449599914064</v>
          </cell>
          <cell r="H378">
            <v>403.51236899567994</v>
          </cell>
          <cell r="I378">
            <v>435.36060925493609</v>
          </cell>
          <cell r="J378">
            <v>469.18304718632191</v>
          </cell>
          <cell r="K378">
            <v>504.96653203408357</v>
          </cell>
          <cell r="L378">
            <v>542.67395625953964</v>
          </cell>
          <cell r="M378">
            <v>582.24700438255218</v>
          </cell>
          <cell r="N378">
            <v>623.6742114690619</v>
          </cell>
        </row>
        <row r="379">
          <cell r="A379" t="str">
            <v>Additions</v>
          </cell>
          <cell r="B379">
            <v>100</v>
          </cell>
          <cell r="C379">
            <v>127</v>
          </cell>
          <cell r="D379">
            <v>172</v>
          </cell>
          <cell r="E379">
            <v>162.46111111111111</v>
          </cell>
          <cell r="F379">
            <v>156.61338488802963</v>
          </cell>
          <cell r="G379">
            <v>183.72487299653929</v>
          </cell>
          <cell r="H379">
            <v>209.49713755272117</v>
          </cell>
          <cell r="I379">
            <v>234.18189319307791</v>
          </cell>
          <cell r="J379">
            <v>257.97257930974234</v>
          </cell>
          <cell r="K379">
            <v>280.99385295404807</v>
          </cell>
          <cell r="L379">
            <v>303.30081860540201</v>
          </cell>
          <cell r="M379">
            <v>324.96344273311172</v>
          </cell>
          <cell r="N379">
            <v>346.12048588717062</v>
          </cell>
        </row>
        <row r="380">
          <cell r="A380" t="str">
            <v>Retirements</v>
          </cell>
          <cell r="B380">
            <v>29</v>
          </cell>
          <cell r="C380">
            <v>-151</v>
          </cell>
          <cell r="D380">
            <v>-23</v>
          </cell>
          <cell r="E380">
            <v>-163.70000000000002</v>
          </cell>
          <cell r="F380">
            <v>-128.72999999999999</v>
          </cell>
          <cell r="G380">
            <v>-153.857</v>
          </cell>
          <cell r="H380">
            <v>-177.64889729346498</v>
          </cell>
          <cell r="I380">
            <v>-200.35945526169212</v>
          </cell>
          <cell r="J380">
            <v>-222.18909446198077</v>
          </cell>
          <cell r="K380">
            <v>-243.28642872859206</v>
          </cell>
          <cell r="L380">
            <v>-263.72777048238953</v>
          </cell>
          <cell r="M380">
            <v>-283.53623564660199</v>
          </cell>
          <cell r="N380">
            <v>-302.81495302910287</v>
          </cell>
        </row>
        <row r="381">
          <cell r="A381" t="str">
            <v>Acquisitions and Other</v>
          </cell>
          <cell r="B381">
            <v>0</v>
          </cell>
          <cell r="C381">
            <v>100</v>
          </cell>
          <cell r="D381">
            <v>0</v>
          </cell>
          <cell r="E381">
            <v>-157</v>
          </cell>
          <cell r="F381">
            <v>0</v>
          </cell>
          <cell r="G381">
            <v>0</v>
          </cell>
          <cell r="H381">
            <v>0</v>
          </cell>
          <cell r="I381">
            <v>0</v>
          </cell>
          <cell r="J381">
            <v>0</v>
          </cell>
          <cell r="K381">
            <v>0</v>
          </cell>
          <cell r="L381">
            <v>0</v>
          </cell>
          <cell r="M381">
            <v>0</v>
          </cell>
          <cell r="N381">
            <v>0</v>
          </cell>
        </row>
        <row r="382">
          <cell r="A382" t="str">
            <v>Ending Acc. Depreciation</v>
          </cell>
          <cell r="B382">
            <v>279</v>
          </cell>
          <cell r="C382">
            <v>355</v>
          </cell>
          <cell r="D382">
            <v>504</v>
          </cell>
          <cell r="E382">
            <v>345.76111111111106</v>
          </cell>
          <cell r="F382">
            <v>373.64449599914064</v>
          </cell>
          <cell r="G382">
            <v>403.51236899567994</v>
          </cell>
          <cell r="H382">
            <v>435.36060925493609</v>
          </cell>
          <cell r="I382">
            <v>469.18304718632191</v>
          </cell>
          <cell r="J382">
            <v>504.96653203408357</v>
          </cell>
          <cell r="K382">
            <v>542.67395625953964</v>
          </cell>
          <cell r="L382">
            <v>582.24700438255218</v>
          </cell>
          <cell r="M382">
            <v>623.6742114690619</v>
          </cell>
          <cell r="N382">
            <v>666.97974432712965</v>
          </cell>
        </row>
        <row r="383">
          <cell r="A383" t="str">
            <v>Average Acc. Depreciation</v>
          </cell>
          <cell r="B383">
            <v>214.5</v>
          </cell>
          <cell r="C383">
            <v>317</v>
          </cell>
          <cell r="D383">
            <v>429.5</v>
          </cell>
          <cell r="E383">
            <v>424.88055555555553</v>
          </cell>
          <cell r="F383">
            <v>359.70280355512585</v>
          </cell>
          <cell r="G383">
            <v>388.57843249741029</v>
          </cell>
          <cell r="H383">
            <v>419.43648912530801</v>
          </cell>
          <cell r="I383">
            <v>452.271828220629</v>
          </cell>
          <cell r="J383">
            <v>487.07478961020274</v>
          </cell>
          <cell r="K383">
            <v>523.82024414681155</v>
          </cell>
          <cell r="L383">
            <v>562.46048032104591</v>
          </cell>
          <cell r="M383">
            <v>602.96060792580704</v>
          </cell>
          <cell r="N383">
            <v>645.32697789809572</v>
          </cell>
        </row>
        <row r="385">
          <cell r="A385" t="str">
            <v>Acc. Dep. Add. as % Gross Add.</v>
          </cell>
          <cell r="B385">
            <v>1.098901098901099</v>
          </cell>
          <cell r="C385">
            <v>0.84105960264900659</v>
          </cell>
          <cell r="D385">
            <v>0.97175141242937857</v>
          </cell>
          <cell r="E385">
            <v>0.69725798760133528</v>
          </cell>
          <cell r="F385">
            <v>0.41214048654744639</v>
          </cell>
          <cell r="G385">
            <v>0.46895390654083208</v>
          </cell>
          <cell r="H385">
            <v>0.51759066167235934</v>
          </cell>
          <cell r="I385">
            <v>0.55936611114637491</v>
          </cell>
          <cell r="J385">
            <v>0.59555620986003333</v>
          </cell>
          <cell r="K385">
            <v>0.62763893107691715</v>
          </cell>
          <cell r="L385">
            <v>0.6567619320634599</v>
          </cell>
          <cell r="M385">
            <v>0.68223277771209279</v>
          </cell>
          <cell r="N385">
            <v>0.70381578332362427</v>
          </cell>
        </row>
        <row r="386">
          <cell r="A386" t="str">
            <v>Acc. Dep. Retire. as % Gross Retire.</v>
          </cell>
          <cell r="B386">
            <v>-0.31868131868131866</v>
          </cell>
          <cell r="C386">
            <v>0.31327800829875518</v>
          </cell>
          <cell r="D386">
            <v>0.20175438596491227</v>
          </cell>
          <cell r="E386">
            <v>1</v>
          </cell>
          <cell r="F386">
            <v>1</v>
          </cell>
          <cell r="G386">
            <v>1</v>
          </cell>
          <cell r="H386">
            <v>1</v>
          </cell>
          <cell r="I386">
            <v>1</v>
          </cell>
          <cell r="J386">
            <v>1</v>
          </cell>
          <cell r="K386">
            <v>1</v>
          </cell>
          <cell r="L386">
            <v>1</v>
          </cell>
          <cell r="M386">
            <v>1</v>
          </cell>
          <cell r="N386">
            <v>1</v>
          </cell>
        </row>
        <row r="387">
          <cell r="A387" t="str">
            <v>Average Life of Gross PP&amp;E</v>
          </cell>
          <cell r="B387">
            <v>11.05</v>
          </cell>
          <cell r="C387">
            <v>10.153543307086615</v>
          </cell>
          <cell r="D387">
            <v>9.0436046511627914</v>
          </cell>
          <cell r="E387">
            <v>9</v>
          </cell>
          <cell r="F387">
            <v>9.0218023255813957</v>
          </cell>
          <cell r="G387">
            <v>9.0218023255813957</v>
          </cell>
          <cell r="H387">
            <v>9.0218023255813957</v>
          </cell>
          <cell r="I387">
            <v>9.0218023255813957</v>
          </cell>
          <cell r="J387">
            <v>9.0218023255813957</v>
          </cell>
          <cell r="K387">
            <v>9.0218023255813957</v>
          </cell>
          <cell r="L387">
            <v>9.0218023255813957</v>
          </cell>
          <cell r="M387">
            <v>9.0218023255813957</v>
          </cell>
          <cell r="N387">
            <v>9.0218023255813957</v>
          </cell>
        </row>
        <row r="389">
          <cell r="A389" t="str">
            <v>Amortization Analysis</v>
          </cell>
        </row>
        <row r="390">
          <cell r="A390" t="str">
            <v xml:space="preserve">Gross Intangible </v>
          </cell>
          <cell r="B390">
            <v>1165</v>
          </cell>
          <cell r="C390">
            <v>5547</v>
          </cell>
          <cell r="D390">
            <v>5654</v>
          </cell>
          <cell r="E390">
            <v>5654</v>
          </cell>
          <cell r="F390">
            <v>5654</v>
          </cell>
          <cell r="G390">
            <v>5654</v>
          </cell>
          <cell r="H390">
            <v>5654</v>
          </cell>
          <cell r="I390">
            <v>5654</v>
          </cell>
          <cell r="J390">
            <v>5654</v>
          </cell>
          <cell r="K390">
            <v>5654</v>
          </cell>
          <cell r="L390">
            <v>5654</v>
          </cell>
          <cell r="M390">
            <v>5654</v>
          </cell>
          <cell r="N390">
            <v>5654</v>
          </cell>
        </row>
        <row r="391">
          <cell r="A391" t="str">
            <v>Acc. Amortization</v>
          </cell>
          <cell r="B391">
            <v>558</v>
          </cell>
          <cell r="C391">
            <v>732</v>
          </cell>
          <cell r="D391">
            <v>1218</v>
          </cell>
          <cell r="E391">
            <v>1692</v>
          </cell>
          <cell r="F391">
            <v>2115.3516681695219</v>
          </cell>
          <cell r="G391">
            <v>2493.4669317600642</v>
          </cell>
          <cell r="H391">
            <v>2831.1794372482809</v>
          </cell>
          <cell r="I391">
            <v>3132.8063413836089</v>
          </cell>
          <cell r="J391">
            <v>3402.203499675802</v>
          </cell>
          <cell r="K391">
            <v>3642.8147578258627</v>
          </cell>
          <cell r="L391">
            <v>3857.7159762186807</v>
          </cell>
          <cell r="M391">
            <v>4049.6543502656477</v>
          </cell>
          <cell r="N391">
            <v>4221.0835292498869</v>
          </cell>
        </row>
        <row r="392">
          <cell r="A392" t="str">
            <v>Net Intangible Assets</v>
          </cell>
          <cell r="B392">
            <v>607</v>
          </cell>
          <cell r="C392">
            <v>4815</v>
          </cell>
          <cell r="D392">
            <v>4436</v>
          </cell>
          <cell r="E392">
            <v>3962</v>
          </cell>
          <cell r="F392">
            <v>3538.6483318304781</v>
          </cell>
          <cell r="G392">
            <v>3160.5330682399358</v>
          </cell>
          <cell r="H392">
            <v>2822.8205627517191</v>
          </cell>
          <cell r="I392">
            <v>2521.1936586163911</v>
          </cell>
          <cell r="J392">
            <v>2251.796500324198</v>
          </cell>
          <cell r="K392">
            <v>2011.1852421741371</v>
          </cell>
          <cell r="L392">
            <v>1796.2840237813191</v>
          </cell>
          <cell r="M392">
            <v>1604.3456497343523</v>
          </cell>
          <cell r="N392">
            <v>1432.9164707501136</v>
          </cell>
        </row>
        <row r="394">
          <cell r="A394" t="str">
            <v>Sale of Property</v>
          </cell>
        </row>
        <row r="395">
          <cell r="A395" t="str">
            <v>Sale of Property-Write down/Retirements</v>
          </cell>
        </row>
        <row r="396">
          <cell r="A396" t="str">
            <v>Sale of Property-Write down of Accum Deprec</v>
          </cell>
        </row>
        <row r="398">
          <cell r="A398" t="str">
            <v>Total  Amortization</v>
          </cell>
          <cell r="B398">
            <v>174</v>
          </cell>
          <cell r="C398">
            <v>267</v>
          </cell>
          <cell r="D398">
            <v>486</v>
          </cell>
          <cell r="E398">
            <v>474</v>
          </cell>
          <cell r="F398">
            <v>423.35166816952204</v>
          </cell>
          <cell r="G398">
            <v>378.1152635905425</v>
          </cell>
          <cell r="H398">
            <v>337.71250548821672</v>
          </cell>
          <cell r="I398">
            <v>301.62690413532795</v>
          </cell>
          <cell r="J398">
            <v>269.39715829219324</v>
          </cell>
          <cell r="K398">
            <v>240.61125815006082</v>
          </cell>
          <cell r="L398">
            <v>214.90121839281807</v>
          </cell>
          <cell r="M398">
            <v>191.93837404696691</v>
          </cell>
          <cell r="N398">
            <v>171.42917898423872</v>
          </cell>
        </row>
        <row r="399">
          <cell r="A399" t="str">
            <v xml:space="preserve">   % of Net Intangible Assets</v>
          </cell>
          <cell r="B399">
            <v>0.28665568369028005</v>
          </cell>
          <cell r="C399">
            <v>5.5451713395638633E-2</v>
          </cell>
          <cell r="D399">
            <v>0.10955816050495942</v>
          </cell>
          <cell r="E399">
            <v>0.11963654719838465</v>
          </cell>
          <cell r="F399">
            <v>0.11963654719838464</v>
          </cell>
          <cell r="G399">
            <v>0.11963654719838464</v>
          </cell>
          <cell r="H399">
            <v>0.11963654719838464</v>
          </cell>
          <cell r="I399">
            <v>0.11963654719838465</v>
          </cell>
          <cell r="J399">
            <v>0.11963654719838462</v>
          </cell>
          <cell r="K399">
            <v>0.11963654719838465</v>
          </cell>
          <cell r="L399">
            <v>0.11963654719838464</v>
          </cell>
          <cell r="M399">
            <v>0.11963654719838464</v>
          </cell>
          <cell r="N399">
            <v>0.11963654719838465</v>
          </cell>
        </row>
        <row r="400">
          <cell r="A400" t="str">
            <v xml:space="preserve">   Average Life of Intangilbles</v>
          </cell>
          <cell r="B400">
            <v>3.4885057471264367</v>
          </cell>
          <cell r="C400">
            <v>18.033707865168541</v>
          </cell>
          <cell r="D400">
            <v>9.1275720164609062</v>
          </cell>
          <cell r="E400">
            <v>9.3586497890295366</v>
          </cell>
          <cell r="F400">
            <v>9.3586497890295366</v>
          </cell>
          <cell r="G400">
            <v>9.3586497890295366</v>
          </cell>
          <cell r="H400">
            <v>9.3586497890295366</v>
          </cell>
          <cell r="I400">
            <v>9.3586497890295366</v>
          </cell>
          <cell r="J400">
            <v>9.3586497890295366</v>
          </cell>
          <cell r="K400">
            <v>9.3586497890295366</v>
          </cell>
          <cell r="L400">
            <v>9.3586497890295366</v>
          </cell>
          <cell r="M400">
            <v>9.3586497890295366</v>
          </cell>
          <cell r="N400">
            <v>9.3586497890295366</v>
          </cell>
        </row>
        <row r="402">
          <cell r="A402" t="str">
            <v>Unrecorded Goodwill</v>
          </cell>
          <cell r="B402">
            <v>0</v>
          </cell>
          <cell r="C402">
            <v>0</v>
          </cell>
          <cell r="D402">
            <v>0</v>
          </cell>
          <cell r="E402">
            <v>0</v>
          </cell>
          <cell r="F402">
            <v>0</v>
          </cell>
          <cell r="G402">
            <v>0</v>
          </cell>
          <cell r="H402">
            <v>0</v>
          </cell>
          <cell r="I402">
            <v>0</v>
          </cell>
          <cell r="J402">
            <v>0</v>
          </cell>
          <cell r="K402">
            <v>0</v>
          </cell>
          <cell r="L402">
            <v>0</v>
          </cell>
          <cell r="M402">
            <v>0</v>
          </cell>
          <cell r="N402">
            <v>0</v>
          </cell>
          <cell r="AC402" t="str">
            <v>mstag:unrecordedGoodwillFromPoolingAndAmortizedOrWrittenOffGoodwill</v>
          </cell>
          <cell r="AD402">
            <v>6</v>
          </cell>
          <cell r="AE402" t="str">
            <v>ISO4217:USD</v>
          </cell>
          <cell r="AF402" t="b">
            <v>0</v>
          </cell>
          <cell r="AG402" t="b">
            <v>0</v>
          </cell>
        </row>
        <row r="404">
          <cell r="A404" t="str">
            <v>Tax Analysis</v>
          </cell>
        </row>
        <row r="405">
          <cell r="A405" t="str">
            <v>TAX PROVISION</v>
          </cell>
          <cell r="B405">
            <v>-1481</v>
          </cell>
          <cell r="C405">
            <v>342</v>
          </cell>
          <cell r="D405">
            <v>119</v>
          </cell>
          <cell r="E405">
            <v>-141</v>
          </cell>
          <cell r="F405">
            <v>368.12019541487024</v>
          </cell>
          <cell r="G405">
            <v>459.42241473160277</v>
          </cell>
          <cell r="H405">
            <v>584.38384321840476</v>
          </cell>
          <cell r="I405">
            <v>693.62614354142499</v>
          </cell>
          <cell r="J405">
            <v>784.0132359717021</v>
          </cell>
          <cell r="K405">
            <v>865.60473620430503</v>
          </cell>
          <cell r="L405">
            <v>943.91963449773675</v>
          </cell>
          <cell r="M405">
            <v>1018.3849031670964</v>
          </cell>
          <cell r="N405">
            <v>1099.9199122057323</v>
          </cell>
        </row>
        <row r="406">
          <cell r="A406" t="str">
            <v xml:space="preserve">    Current Taxes</v>
          </cell>
          <cell r="B406">
            <v>8</v>
          </cell>
          <cell r="C406">
            <v>73</v>
          </cell>
          <cell r="D406">
            <v>47.6</v>
          </cell>
          <cell r="E406">
            <v>-63.45</v>
          </cell>
          <cell r="F406">
            <v>220.87211724892214</v>
          </cell>
          <cell r="G406">
            <v>344.56681104870211</v>
          </cell>
          <cell r="H406">
            <v>525.94545889656433</v>
          </cell>
          <cell r="I406">
            <v>693.62614354142499</v>
          </cell>
          <cell r="J406">
            <v>784.0132359717021</v>
          </cell>
          <cell r="K406">
            <v>865.60473620430503</v>
          </cell>
          <cell r="L406">
            <v>943.91963449773675</v>
          </cell>
          <cell r="M406">
            <v>1018.3849031670964</v>
          </cell>
          <cell r="N406">
            <v>1099.9199122057323</v>
          </cell>
        </row>
        <row r="408">
          <cell r="A408" t="str">
            <v>% of Current Taxes</v>
          </cell>
          <cell r="B408">
            <v>-5.4017555705604325E-3</v>
          </cell>
          <cell r="C408">
            <v>0.21345029239766081</v>
          </cell>
          <cell r="D408">
            <v>0.4</v>
          </cell>
          <cell r="E408">
            <v>0.45</v>
          </cell>
          <cell r="F408">
            <v>0.6</v>
          </cell>
          <cell r="G408">
            <v>0.75</v>
          </cell>
          <cell r="H408">
            <v>0.9</v>
          </cell>
          <cell r="I408">
            <v>1</v>
          </cell>
          <cell r="J408">
            <v>1</v>
          </cell>
          <cell r="K408">
            <v>1</v>
          </cell>
          <cell r="L408">
            <v>1</v>
          </cell>
          <cell r="M408">
            <v>1</v>
          </cell>
          <cell r="N408">
            <v>1</v>
          </cell>
        </row>
        <row r="409">
          <cell r="A409" t="str">
            <v>% of Deferred Taxes</v>
          </cell>
          <cell r="B409">
            <v>1.0054017555705603</v>
          </cell>
          <cell r="C409">
            <v>0.78654970760233922</v>
          </cell>
          <cell r="D409">
            <v>0.6</v>
          </cell>
          <cell r="E409">
            <v>0.55000000000000004</v>
          </cell>
          <cell r="F409">
            <v>0.4</v>
          </cell>
          <cell r="G409">
            <v>0.25</v>
          </cell>
          <cell r="H409">
            <v>9.9999999999999978E-2</v>
          </cell>
          <cell r="I409">
            <v>0</v>
          </cell>
          <cell r="J409">
            <v>0</v>
          </cell>
          <cell r="K409">
            <v>0</v>
          </cell>
          <cell r="L409">
            <v>0</v>
          </cell>
          <cell r="M409">
            <v>0</v>
          </cell>
          <cell r="N409">
            <v>0</v>
          </cell>
        </row>
        <row r="411">
          <cell r="A411" t="str">
            <v>Reported pre-tax income</v>
          </cell>
          <cell r="B411">
            <v>-4481</v>
          </cell>
          <cell r="C411">
            <v>-887</v>
          </cell>
          <cell r="D411">
            <v>224</v>
          </cell>
          <cell r="E411">
            <v>-164</v>
          </cell>
          <cell r="F411">
            <v>876.47665574969108</v>
          </cell>
          <cell r="G411">
            <v>1093.8628922181019</v>
          </cell>
          <cell r="H411">
            <v>1391.3901029009637</v>
          </cell>
          <cell r="I411">
            <v>1651.4908179557738</v>
          </cell>
          <cell r="J411">
            <v>1866.6981808850051</v>
          </cell>
          <cell r="K411">
            <v>2060.9636576292978</v>
          </cell>
          <cell r="L411">
            <v>2247.4277011850877</v>
          </cell>
          <cell r="M411">
            <v>2424.7259599216582</v>
          </cell>
          <cell r="N411">
            <v>2618.8569338231723</v>
          </cell>
        </row>
        <row r="412">
          <cell r="A412" t="str">
            <v>Tax rate</v>
          </cell>
          <cell r="B412">
            <v>0.375</v>
          </cell>
          <cell r="C412">
            <v>0.375</v>
          </cell>
          <cell r="D412">
            <v>0.42</v>
          </cell>
          <cell r="E412">
            <v>0.42</v>
          </cell>
          <cell r="F412">
            <v>0.42</v>
          </cell>
          <cell r="G412">
            <v>0.42</v>
          </cell>
          <cell r="H412">
            <v>0.42</v>
          </cell>
          <cell r="I412">
            <v>0.42</v>
          </cell>
          <cell r="J412">
            <v>0.42</v>
          </cell>
          <cell r="K412">
            <v>0.42</v>
          </cell>
          <cell r="L412">
            <v>0.42</v>
          </cell>
          <cell r="M412">
            <v>0.42</v>
          </cell>
          <cell r="N412">
            <v>0.42</v>
          </cell>
          <cell r="AC412" t="str">
            <v>mstag:statutoryTaxRate</v>
          </cell>
          <cell r="AD412">
            <v>0</v>
          </cell>
          <cell r="AE412" t="str">
            <v>ms_eqr_gcim_Decimal:ms_eqr_gcim_decimal</v>
          </cell>
          <cell r="AF412" t="b">
            <v>0</v>
          </cell>
          <cell r="AG412" t="b">
            <v>0</v>
          </cell>
        </row>
        <row r="413">
          <cell r="A413" t="str">
            <v>Taxes from tax rate</v>
          </cell>
          <cell r="B413">
            <v>-1680.375</v>
          </cell>
          <cell r="C413">
            <v>-332.625</v>
          </cell>
          <cell r="D413">
            <v>94.08</v>
          </cell>
          <cell r="E413">
            <v>-68.88</v>
          </cell>
          <cell r="F413">
            <v>368.12019541487024</v>
          </cell>
          <cell r="G413">
            <v>459.42241473160277</v>
          </cell>
          <cell r="H413">
            <v>584.38384321840476</v>
          </cell>
          <cell r="I413">
            <v>693.62614354142499</v>
          </cell>
          <cell r="J413">
            <v>784.0132359717021</v>
          </cell>
          <cell r="K413">
            <v>865.60473620430503</v>
          </cell>
          <cell r="L413">
            <v>943.91963449773675</v>
          </cell>
          <cell r="M413">
            <v>1018.3849031670964</v>
          </cell>
          <cell r="N413">
            <v>1099.9199122057323</v>
          </cell>
        </row>
        <row r="414">
          <cell r="A414" t="str">
            <v>Tax "overage"</v>
          </cell>
          <cell r="B414">
            <v>199.375</v>
          </cell>
          <cell r="C414">
            <v>674.625</v>
          </cell>
          <cell r="D414">
            <v>24.92</v>
          </cell>
          <cell r="E414">
            <v>0</v>
          </cell>
          <cell r="F414">
            <v>0</v>
          </cell>
          <cell r="G414">
            <v>0</v>
          </cell>
          <cell r="H414">
            <v>0</v>
          </cell>
          <cell r="I414">
            <v>0</v>
          </cell>
          <cell r="J414">
            <v>0</v>
          </cell>
          <cell r="K414">
            <v>0</v>
          </cell>
          <cell r="L414">
            <v>0</v>
          </cell>
          <cell r="M414">
            <v>0</v>
          </cell>
          <cell r="N414">
            <v>0</v>
          </cell>
        </row>
        <row r="415">
          <cell r="A415" t="str">
            <v>Adjustment to income: tax overage grossed up</v>
          </cell>
          <cell r="B415">
            <v>531.66666666666663</v>
          </cell>
          <cell r="C415">
            <v>1799</v>
          </cell>
          <cell r="D415">
            <v>59.333333333333343</v>
          </cell>
          <cell r="E415">
            <v>0</v>
          </cell>
          <cell r="F415">
            <v>0</v>
          </cell>
          <cell r="G415">
            <v>0</v>
          </cell>
          <cell r="H415">
            <v>0</v>
          </cell>
          <cell r="I415">
            <v>0</v>
          </cell>
          <cell r="J415">
            <v>0</v>
          </cell>
          <cell r="K415">
            <v>0</v>
          </cell>
          <cell r="L415">
            <v>0</v>
          </cell>
          <cell r="M415">
            <v>0</v>
          </cell>
          <cell r="N415">
            <v>0</v>
          </cell>
        </row>
        <row r="416">
          <cell r="A416" t="str">
            <v>Nonrecurring Gains</v>
          </cell>
          <cell r="B416">
            <v>0</v>
          </cell>
          <cell r="C416">
            <v>0</v>
          </cell>
          <cell r="D416">
            <v>0</v>
          </cell>
          <cell r="E416">
            <v>0</v>
          </cell>
          <cell r="F416">
            <v>0</v>
          </cell>
          <cell r="G416">
            <v>0</v>
          </cell>
          <cell r="H416">
            <v>0</v>
          </cell>
          <cell r="I416">
            <v>0</v>
          </cell>
          <cell r="J416">
            <v>0</v>
          </cell>
          <cell r="K416">
            <v>0</v>
          </cell>
          <cell r="L416">
            <v>0</v>
          </cell>
          <cell r="M416">
            <v>0</v>
          </cell>
          <cell r="N416">
            <v>0</v>
          </cell>
        </row>
        <row r="417">
          <cell r="A417" t="str">
            <v>Recurring Adjustments</v>
          </cell>
          <cell r="B417">
            <v>531.66666666666663</v>
          </cell>
          <cell r="C417">
            <v>1799</v>
          </cell>
          <cell r="D417">
            <v>59.333333333333343</v>
          </cell>
          <cell r="E417">
            <v>0</v>
          </cell>
          <cell r="F417">
            <v>0</v>
          </cell>
          <cell r="G417">
            <v>0</v>
          </cell>
          <cell r="H417">
            <v>0</v>
          </cell>
          <cell r="I417">
            <v>0</v>
          </cell>
          <cell r="J417">
            <v>0</v>
          </cell>
          <cell r="K417">
            <v>0</v>
          </cell>
          <cell r="L417">
            <v>0</v>
          </cell>
          <cell r="M417">
            <v>0</v>
          </cell>
          <cell r="N417">
            <v>0</v>
          </cell>
        </row>
        <row r="418">
          <cell r="A418" t="str">
            <v>Taxable Income</v>
          </cell>
          <cell r="B418">
            <v>-3949.3333333333335</v>
          </cell>
          <cell r="C418">
            <v>912</v>
          </cell>
          <cell r="D418">
            <v>283.33333333333337</v>
          </cell>
          <cell r="E418">
            <v>-164</v>
          </cell>
          <cell r="F418">
            <v>876.47665574969108</v>
          </cell>
          <cell r="G418">
            <v>1093.8628922181019</v>
          </cell>
          <cell r="H418">
            <v>1391.3901029009637</v>
          </cell>
          <cell r="I418">
            <v>1651.4908179557738</v>
          </cell>
          <cell r="J418">
            <v>1866.6981808850051</v>
          </cell>
          <cell r="K418">
            <v>2060.9636576292978</v>
          </cell>
          <cell r="L418">
            <v>2247.4277011850877</v>
          </cell>
          <cell r="M418">
            <v>2424.7259599216582</v>
          </cell>
          <cell r="N418">
            <v>2618.8569338231723</v>
          </cell>
        </row>
        <row r="420">
          <cell r="A420" t="str">
            <v>Effective Rate</v>
          </cell>
        </row>
        <row r="422">
          <cell r="A422" t="str">
            <v>Common Stock</v>
          </cell>
        </row>
        <row r="424">
          <cell r="A424" t="str">
            <v>Common Stock Dividends</v>
          </cell>
          <cell r="B424">
            <v>0</v>
          </cell>
          <cell r="C424">
            <v>0</v>
          </cell>
          <cell r="D424">
            <v>0</v>
          </cell>
          <cell r="E424">
            <v>0</v>
          </cell>
          <cell r="F424">
            <v>0</v>
          </cell>
          <cell r="G424">
            <v>0</v>
          </cell>
          <cell r="H424">
            <v>0</v>
          </cell>
          <cell r="I424">
            <v>0</v>
          </cell>
          <cell r="J424">
            <v>0</v>
          </cell>
          <cell r="K424">
            <v>0</v>
          </cell>
          <cell r="L424">
            <v>0</v>
          </cell>
          <cell r="M424">
            <v>0</v>
          </cell>
          <cell r="N424">
            <v>0</v>
          </cell>
          <cell r="AC424" t="str">
            <v>mstag:commonDividends</v>
          </cell>
          <cell r="AD424">
            <v>6</v>
          </cell>
          <cell r="AE424" t="str">
            <v>ISO4217:USD</v>
          </cell>
          <cell r="AF424" t="b">
            <v>0</v>
          </cell>
          <cell r="AG424" t="b">
            <v>0</v>
          </cell>
        </row>
        <row r="425">
          <cell r="A425" t="str">
            <v>Common Stock Potential Distributions</v>
          </cell>
        </row>
        <row r="426">
          <cell r="A426" t="str">
            <v>Total Dividends</v>
          </cell>
        </row>
        <row r="428">
          <cell r="A428" t="str">
            <v>Investment in Affiliates</v>
          </cell>
        </row>
        <row r="430">
          <cell r="A430" t="str">
            <v>Discovery</v>
          </cell>
          <cell r="B430">
            <v>2817</v>
          </cell>
          <cell r="C430">
            <v>2864</v>
          </cell>
        </row>
        <row r="431">
          <cell r="A431" t="str">
            <v>QVC</v>
          </cell>
          <cell r="B431">
            <v>2712</v>
          </cell>
          <cell r="C431">
            <v>0</v>
          </cell>
        </row>
        <row r="432">
          <cell r="A432" t="str">
            <v>Other</v>
          </cell>
          <cell r="B432">
            <v>715</v>
          </cell>
          <cell r="C432">
            <v>-2119</v>
          </cell>
        </row>
        <row r="433">
          <cell r="A433" t="str">
            <v>Total</v>
          </cell>
          <cell r="B433">
            <v>6244</v>
          </cell>
          <cell r="C433">
            <v>745</v>
          </cell>
        </row>
        <row r="436">
          <cell r="B436" t="str">
            <v>2002-FY</v>
          </cell>
          <cell r="C436" t="str">
            <v>2003-FY</v>
          </cell>
          <cell r="D436" t="str">
            <v>2004-FY</v>
          </cell>
          <cell r="E436" t="str">
            <v>2005-FY</v>
          </cell>
          <cell r="F436" t="str">
            <v>2006-FY</v>
          </cell>
          <cell r="G436" t="str">
            <v>2007-FY</v>
          </cell>
          <cell r="H436" t="str">
            <v>2008-FY</v>
          </cell>
          <cell r="I436" t="str">
            <v>2009-FY</v>
          </cell>
          <cell r="J436" t="str">
            <v>2010-FY</v>
          </cell>
          <cell r="K436" t="str">
            <v>2011-FY</v>
          </cell>
          <cell r="L436" t="str">
            <v>2012-FY</v>
          </cell>
          <cell r="M436" t="str">
            <v>2013-FY</v>
          </cell>
          <cell r="N436" t="str">
            <v>2014-FY</v>
          </cell>
          <cell r="Q436" t="str">
            <v>2004-Q1</v>
          </cell>
          <cell r="R436" t="str">
            <v>2004-Q2</v>
          </cell>
          <cell r="S436" t="str">
            <v>2004-Q3</v>
          </cell>
          <cell r="T436" t="str">
            <v>2004-Q4</v>
          </cell>
          <cell r="V436" t="str">
            <v>2005-Q1</v>
          </cell>
          <cell r="W436" t="str">
            <v>2005-Q2</v>
          </cell>
          <cell r="X436" t="str">
            <v>2005-Q3</v>
          </cell>
          <cell r="Y436" t="str">
            <v>2005-Q4</v>
          </cell>
        </row>
        <row r="439">
          <cell r="A439" t="str">
            <v>Gain on investments</v>
          </cell>
        </row>
        <row r="440">
          <cell r="A440" t="str">
            <v>Taxes related to gains</v>
          </cell>
          <cell r="B440">
            <v>1583.25</v>
          </cell>
          <cell r="C440">
            <v>-146.25</v>
          </cell>
          <cell r="D440">
            <v>13.44</v>
          </cell>
          <cell r="E440">
            <v>249.89999999999998</v>
          </cell>
          <cell r="F440">
            <v>0</v>
          </cell>
          <cell r="G440">
            <v>0</v>
          </cell>
          <cell r="H440">
            <v>0</v>
          </cell>
          <cell r="I440">
            <v>0</v>
          </cell>
          <cell r="J440">
            <v>0</v>
          </cell>
          <cell r="K440">
            <v>0</v>
          </cell>
          <cell r="L440">
            <v>0</v>
          </cell>
          <cell r="M440">
            <v>0</v>
          </cell>
          <cell r="N440">
            <v>0</v>
          </cell>
        </row>
        <row r="441">
          <cell r="A441" t="str">
            <v>Gain on investments, net of taxes</v>
          </cell>
        </row>
        <row r="443">
          <cell r="A443" t="str">
            <v>Taxes related to on-going operations</v>
          </cell>
          <cell r="B443">
            <v>-102.25</v>
          </cell>
          <cell r="C443">
            <v>-195.75</v>
          </cell>
          <cell r="D443">
            <v>-132.44</v>
          </cell>
          <cell r="E443">
            <v>-108.89999999999998</v>
          </cell>
          <cell r="F443">
            <v>-368.12019541487041</v>
          </cell>
          <cell r="G443">
            <v>-459.42241473160254</v>
          </cell>
          <cell r="H443">
            <v>-584.38384321840488</v>
          </cell>
          <cell r="I443">
            <v>-693.62614354142477</v>
          </cell>
          <cell r="J443">
            <v>-784.01323597170222</v>
          </cell>
          <cell r="K443">
            <v>-865.60473620430525</v>
          </cell>
          <cell r="L443">
            <v>-943.91963449773755</v>
          </cell>
          <cell r="M443">
            <v>-1018.384903167096</v>
          </cell>
          <cell r="N443">
            <v>-1099.9199122057328</v>
          </cell>
          <cell r="AC443" t="str">
            <v>mstag:taxExpenseIncome</v>
          </cell>
          <cell r="AD443">
            <v>6</v>
          </cell>
          <cell r="AE443" t="str">
            <v>ISO4217:USD</v>
          </cell>
          <cell r="AF443" t="b">
            <v>1</v>
          </cell>
          <cell r="AG443" t="b">
            <v>0</v>
          </cell>
        </row>
        <row r="444">
          <cell r="A444" t="str">
            <v>Taxes related to gains</v>
          </cell>
          <cell r="B444">
            <v>1583.25</v>
          </cell>
          <cell r="C444">
            <v>-146.25</v>
          </cell>
          <cell r="D444">
            <v>13.44</v>
          </cell>
          <cell r="E444">
            <v>249.89999999999998</v>
          </cell>
          <cell r="F444">
            <v>0</v>
          </cell>
          <cell r="G444">
            <v>0</v>
          </cell>
          <cell r="H444">
            <v>0</v>
          </cell>
          <cell r="I444">
            <v>0</v>
          </cell>
          <cell r="J444">
            <v>0</v>
          </cell>
          <cell r="K444">
            <v>0</v>
          </cell>
          <cell r="L444">
            <v>0</v>
          </cell>
          <cell r="M444">
            <v>0</v>
          </cell>
          <cell r="N444">
            <v>0</v>
          </cell>
          <cell r="AC444" t="str">
            <v>mstag:taxOnGainsLossesFromSaleOfOperatingAssetsOneTime</v>
          </cell>
          <cell r="AD444">
            <v>6</v>
          </cell>
          <cell r="AE444" t="str">
            <v>ISO4217:USD</v>
          </cell>
          <cell r="AF444" t="b">
            <v>1</v>
          </cell>
          <cell r="AG444" t="b">
            <v>0</v>
          </cell>
        </row>
        <row r="445">
          <cell r="A445" t="str">
            <v>Total Tax Provision</v>
          </cell>
          <cell r="B445">
            <v>1481</v>
          </cell>
          <cell r="C445">
            <v>-342</v>
          </cell>
          <cell r="D445">
            <v>-119</v>
          </cell>
          <cell r="E445">
            <v>141</v>
          </cell>
          <cell r="F445">
            <v>-368.12019541487041</v>
          </cell>
          <cell r="G445">
            <v>-459.42241473160254</v>
          </cell>
          <cell r="H445">
            <v>-584.38384321840488</v>
          </cell>
          <cell r="I445">
            <v>-693.62614354142477</v>
          </cell>
          <cell r="J445">
            <v>-784.01323597170222</v>
          </cell>
          <cell r="K445">
            <v>-865.60473620430525</v>
          </cell>
          <cell r="L445">
            <v>-943.91963449773755</v>
          </cell>
          <cell r="M445">
            <v>-1018.384903167096</v>
          </cell>
          <cell r="N445">
            <v>-1099.9199122057328</v>
          </cell>
        </row>
        <row r="448">
          <cell r="A448" t="str">
            <v>Market Value of Unconsolidated Assets</v>
          </cell>
          <cell r="B448" t="e">
            <v>#REF!</v>
          </cell>
          <cell r="C448" t="e">
            <v>#REF!</v>
          </cell>
          <cell r="D448" t="e">
            <v>#REF!</v>
          </cell>
          <cell r="E448" t="e">
            <v>#REF!</v>
          </cell>
          <cell r="F448" t="e">
            <v>#REF!</v>
          </cell>
          <cell r="G448" t="e">
            <v>#REF!</v>
          </cell>
          <cell r="H448" t="e">
            <v>#REF!</v>
          </cell>
          <cell r="I448" t="e">
            <v>#REF!</v>
          </cell>
          <cell r="J448" t="e">
            <v>#REF!</v>
          </cell>
          <cell r="K448" t="e">
            <v>#REF!</v>
          </cell>
          <cell r="L448" t="e">
            <v>#REF!</v>
          </cell>
          <cell r="M448" t="e">
            <v>#REF!</v>
          </cell>
          <cell r="N448" t="e">
            <v>#REF!</v>
          </cell>
          <cell r="AC448" t="str">
            <v>mstag:shareOfMarketValueOfAssociatesAccountedForUnderTheEquityMethodNonOperating</v>
          </cell>
          <cell r="AD448">
            <v>6</v>
          </cell>
          <cell r="AE448" t="str">
            <v>ISO4217:USD</v>
          </cell>
          <cell r="AF448" t="b">
            <v>0</v>
          </cell>
          <cell r="AG448" t="b">
            <v>0</v>
          </cell>
        </row>
      </sheetData>
      <sheetData sheetId="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MV'06"/>
      <sheetName val="Sheet1"/>
      <sheetName val="Share Repurchases"/>
      <sheetName val="#REF"/>
    </sheetNames>
    <sheetDataSet>
      <sheetData sheetId="0" refreshError="1">
        <row r="1">
          <cell r="A1" t="str">
            <v>Disney</v>
          </cell>
        </row>
        <row r="2">
          <cell r="A2" t="str">
            <v>Estimated 2006 Fair Market Value</v>
          </cell>
        </row>
        <row r="3">
          <cell r="A3" t="str">
            <v>(In Millions Except Per Share Data)</v>
          </cell>
        </row>
        <row r="4">
          <cell r="B4" t="str">
            <v xml:space="preserve">Creative </v>
          </cell>
          <cell r="C4" t="str">
            <v>Theme Parks</v>
          </cell>
          <cell r="E4" t="str">
            <v>Other</v>
          </cell>
          <cell r="F4" t="str">
            <v>Total</v>
          </cell>
          <cell r="G4" t="str">
            <v>% of Total</v>
          </cell>
          <cell r="H4" t="str">
            <v>Per Share</v>
          </cell>
          <cell r="I4" t="str">
            <v>FMV ex.</v>
          </cell>
        </row>
        <row r="5">
          <cell r="B5" t="str">
            <v>Content</v>
          </cell>
          <cell r="C5" t="str">
            <v>&amp; Resorts</v>
          </cell>
          <cell r="D5" t="str">
            <v>Broadcasting</v>
          </cell>
          <cell r="E5" t="str">
            <v>Liabilities</v>
          </cell>
          <cell r="G5" t="str">
            <v xml:space="preserve"> Asset Value</v>
          </cell>
          <cell r="I5" t="str">
            <v>Options</v>
          </cell>
        </row>
        <row r="6">
          <cell r="A6" t="str">
            <v>Consolidated Operations</v>
          </cell>
        </row>
        <row r="7">
          <cell r="A7" t="str">
            <v>Studio</v>
          </cell>
          <cell r="B7" t="e">
            <v>#REF!</v>
          </cell>
          <cell r="F7" t="e">
            <v>#REF!</v>
          </cell>
          <cell r="G7" t="e">
            <v>#REF!</v>
          </cell>
          <cell r="H7" t="e">
            <v>#REF!</v>
          </cell>
        </row>
        <row r="8">
          <cell r="A8" t="str">
            <v>Consumer Products</v>
          </cell>
          <cell r="B8" t="e">
            <v>#REF!</v>
          </cell>
          <cell r="F8" t="e">
            <v>#REF!</v>
          </cell>
          <cell r="G8" t="e">
            <v>#REF!</v>
          </cell>
          <cell r="H8" t="e">
            <v>#REF!</v>
          </cell>
        </row>
        <row r="9">
          <cell r="A9" t="str">
            <v>DisneyWorld</v>
          </cell>
          <cell r="C9" t="e">
            <v>#REF!</v>
          </cell>
          <cell r="F9" t="e">
            <v>#REF!</v>
          </cell>
          <cell r="G9" t="e">
            <v>#REF!</v>
          </cell>
          <cell r="H9" t="e">
            <v>#REF!</v>
          </cell>
        </row>
        <row r="10">
          <cell r="A10" t="str">
            <v>Disneyland</v>
          </cell>
          <cell r="C10" t="e">
            <v>#REF!</v>
          </cell>
          <cell r="F10" t="e">
            <v>#REF!</v>
          </cell>
          <cell r="G10" t="e">
            <v>#REF!</v>
          </cell>
          <cell r="H10" t="e">
            <v>#REF!</v>
          </cell>
        </row>
        <row r="11">
          <cell r="A11" t="str">
            <v>Euro Disney and Hong Kong Disneyland</v>
          </cell>
          <cell r="F11" t="e">
            <v>#REF!</v>
          </cell>
          <cell r="G11" t="e">
            <v>#REF!</v>
          </cell>
          <cell r="H11" t="e">
            <v>#REF!</v>
          </cell>
        </row>
        <row r="12">
          <cell r="A12" t="str">
            <v>Royalties &amp; Other Theme Parks</v>
          </cell>
          <cell r="C12" t="e">
            <v>#REF!</v>
          </cell>
          <cell r="F12" t="e">
            <v>#REF!</v>
          </cell>
          <cell r="G12" t="e">
            <v>#REF!</v>
          </cell>
          <cell r="H12" t="e">
            <v>#REF!</v>
          </cell>
        </row>
        <row r="13">
          <cell r="A13" t="str">
            <v>ABC TV network &amp; stations</v>
          </cell>
          <cell r="D13" t="e">
            <v>#REF!</v>
          </cell>
          <cell r="F13" t="e">
            <v>#REF!</v>
          </cell>
          <cell r="G13" t="e">
            <v>#REF!</v>
          </cell>
          <cell r="H13" t="e">
            <v>#REF!</v>
          </cell>
        </row>
        <row r="14">
          <cell r="A14" t="str">
            <v>Radio network &amp; stations</v>
          </cell>
          <cell r="D14" t="e">
            <v>#REF!</v>
          </cell>
          <cell r="F14" t="e">
            <v>#REF!</v>
          </cell>
          <cell r="G14" t="e">
            <v>#REF!</v>
          </cell>
          <cell r="H14" t="e">
            <v>#REF!</v>
          </cell>
        </row>
        <row r="15">
          <cell r="A15" t="str">
            <v>ESPN1</v>
          </cell>
          <cell r="D15" t="e">
            <v>#REF!</v>
          </cell>
          <cell r="F15" t="e">
            <v>#REF!</v>
          </cell>
          <cell r="G15" t="e">
            <v>#REF!</v>
          </cell>
          <cell r="H15" t="e">
            <v>#REF!</v>
          </cell>
        </row>
        <row r="16">
          <cell r="A16" t="str">
            <v>ESPN2, Intl. and Developmental</v>
          </cell>
          <cell r="D16" t="e">
            <v>#REF!</v>
          </cell>
          <cell r="F16" t="e">
            <v>#REF!</v>
          </cell>
          <cell r="G16" t="e">
            <v>#REF!</v>
          </cell>
          <cell r="H16" t="e">
            <v>#REF!</v>
          </cell>
        </row>
        <row r="17">
          <cell r="A17" t="str">
            <v>Disney Channel</v>
          </cell>
          <cell r="D17" t="e">
            <v>#REF!</v>
          </cell>
          <cell r="F17" t="e">
            <v>#REF!</v>
          </cell>
          <cell r="G17" t="e">
            <v>#REF!</v>
          </cell>
          <cell r="H17" t="e">
            <v>#REF!</v>
          </cell>
        </row>
        <row r="18">
          <cell r="A18" t="str">
            <v>ABC Family</v>
          </cell>
          <cell r="D18" t="e">
            <v>#REF!</v>
          </cell>
          <cell r="F18" t="e">
            <v>#REF!</v>
          </cell>
          <cell r="G18" t="e">
            <v>#REF!</v>
          </cell>
          <cell r="H18" t="e">
            <v>#REF!</v>
          </cell>
        </row>
        <row r="19">
          <cell r="A19" t="str">
            <v>Fox Family International</v>
          </cell>
          <cell r="D19" t="e">
            <v>#REF!</v>
          </cell>
          <cell r="F19" t="e">
            <v>#REF!</v>
          </cell>
          <cell r="G19" t="e">
            <v>#REF!</v>
          </cell>
          <cell r="H19" t="e">
            <v>#REF!</v>
          </cell>
        </row>
        <row r="20">
          <cell r="A20" t="str">
            <v>Corporate overhead</v>
          </cell>
          <cell r="E20" t="e">
            <v>#REF!</v>
          </cell>
          <cell r="F20" t="e">
            <v>#REF!</v>
          </cell>
          <cell r="G20" t="e">
            <v>#REF!</v>
          </cell>
          <cell r="H20" t="e">
            <v>#REF!</v>
          </cell>
        </row>
        <row r="21">
          <cell r="A21" t="str">
            <v>Total</v>
          </cell>
          <cell r="B21" t="e">
            <v>#REF!</v>
          </cell>
          <cell r="C21" t="e">
            <v>#REF!</v>
          </cell>
          <cell r="D21" t="e">
            <v>#REF!</v>
          </cell>
          <cell r="E21" t="e">
            <v>#REF!</v>
          </cell>
          <cell r="F21" t="e">
            <v>#REF!</v>
          </cell>
          <cell r="G21" t="e">
            <v>#REF!</v>
          </cell>
          <cell r="H21" t="e">
            <v>#REF!</v>
          </cell>
          <cell r="I21" t="e">
            <v>#REF!</v>
          </cell>
        </row>
        <row r="23">
          <cell r="A23" t="str">
            <v>Unconsolidated Investments</v>
          </cell>
        </row>
        <row r="24">
          <cell r="A24" t="str">
            <v>A&amp;E(37.5%)</v>
          </cell>
          <cell r="E24" t="e">
            <v>#REF!</v>
          </cell>
          <cell r="F24" t="e">
            <v>#REF!</v>
          </cell>
          <cell r="G24" t="e">
            <v>#REF!</v>
          </cell>
          <cell r="H24" t="e">
            <v>#REF!</v>
          </cell>
        </row>
        <row r="25">
          <cell r="A25" t="str">
            <v>History Channel (37.5%)</v>
          </cell>
          <cell r="E25" t="e">
            <v>#REF!</v>
          </cell>
          <cell r="F25" t="e">
            <v>#REF!</v>
          </cell>
          <cell r="G25" t="e">
            <v>#REF!</v>
          </cell>
          <cell r="H25" t="e">
            <v>#REF!</v>
          </cell>
        </row>
        <row r="26">
          <cell r="A26" t="str">
            <v>Lifetime Channel (50%)</v>
          </cell>
          <cell r="E26" t="e">
            <v>#REF!</v>
          </cell>
          <cell r="F26" t="e">
            <v>#REF!</v>
          </cell>
          <cell r="G26" t="e">
            <v>#REF!</v>
          </cell>
          <cell r="H26" t="e">
            <v>#REF!</v>
          </cell>
        </row>
        <row r="27">
          <cell r="A27" t="str">
            <v>E! Entertainment (39.6%)</v>
          </cell>
          <cell r="E27">
            <v>0</v>
          </cell>
          <cell r="F27">
            <v>0</v>
          </cell>
          <cell r="G27" t="e">
            <v>#REF!</v>
          </cell>
          <cell r="H27">
            <v>0</v>
          </cell>
        </row>
        <row r="28">
          <cell r="A28" t="str">
            <v>ESPN/Star Sports (50%)</v>
          </cell>
          <cell r="E28">
            <v>650</v>
          </cell>
          <cell r="F28">
            <v>650</v>
          </cell>
          <cell r="G28" t="e">
            <v>#REF!</v>
          </cell>
          <cell r="H28">
            <v>0.30345471521942108</v>
          </cell>
        </row>
        <row r="29">
          <cell r="A29" t="str">
            <v>Less: ESPN Minority Stake (20%)</v>
          </cell>
          <cell r="E29" t="e">
            <v>#REF!</v>
          </cell>
          <cell r="F29" t="e">
            <v>#REF!</v>
          </cell>
          <cell r="G29" t="e">
            <v>#REF!</v>
          </cell>
          <cell r="H29" t="e">
            <v>#REF!</v>
          </cell>
        </row>
        <row r="30">
          <cell r="A30" t="str">
            <v>Total Estimated Unconsolidated Asset Value</v>
          </cell>
          <cell r="E30" t="e">
            <v>#REF!</v>
          </cell>
          <cell r="F30" t="e">
            <v>#REF!</v>
          </cell>
          <cell r="G30" t="e">
            <v>#REF!</v>
          </cell>
          <cell r="H30" t="e">
            <v>#REF!</v>
          </cell>
          <cell r="I30" t="e">
            <v>#REF!</v>
          </cell>
        </row>
        <row r="32">
          <cell r="A32" t="str">
            <v>Total Estimated Asset Value</v>
          </cell>
          <cell r="B32" t="e">
            <v>#REF!</v>
          </cell>
          <cell r="C32" t="e">
            <v>#REF!</v>
          </cell>
          <cell r="D32" t="e">
            <v>#REF!</v>
          </cell>
          <cell r="E32" t="e">
            <v>#REF!</v>
          </cell>
          <cell r="F32" t="e">
            <v>#REF!</v>
          </cell>
          <cell r="G32" t="e">
            <v>#REF!</v>
          </cell>
          <cell r="H32" t="e">
            <v>#REF!</v>
          </cell>
          <cell r="I32" t="e">
            <v>#REF!</v>
          </cell>
        </row>
        <row r="34">
          <cell r="A34" t="str">
            <v>Less:</v>
          </cell>
        </row>
        <row r="35">
          <cell r="A35" t="str">
            <v>2006E Debt</v>
          </cell>
          <cell r="E35">
            <v>13525</v>
          </cell>
          <cell r="F35">
            <v>13525</v>
          </cell>
          <cell r="G35" t="e">
            <v>#REF!</v>
          </cell>
          <cell r="H35">
            <v>6.3141923436041081</v>
          </cell>
          <cell r="I35">
            <v>13525</v>
          </cell>
        </row>
        <row r="36">
          <cell r="A36" t="str">
            <v>FIN 46 Debt</v>
          </cell>
          <cell r="F36">
            <v>0</v>
          </cell>
          <cell r="G36" t="e">
            <v>#REF!</v>
          </cell>
          <cell r="H36">
            <v>0</v>
          </cell>
          <cell r="I36">
            <v>0</v>
          </cell>
        </row>
        <row r="37">
          <cell r="A37" t="str">
            <v>Net Underfunded Pension &amp; Post-retirement Medical Liability</v>
          </cell>
          <cell r="E37">
            <v>824.80952892857147</v>
          </cell>
          <cell r="F37">
            <v>824.80952892857147</v>
          </cell>
          <cell r="G37" t="e">
            <v>#REF!</v>
          </cell>
          <cell r="H37">
            <v>0.38506513955582233</v>
          </cell>
          <cell r="I37">
            <v>824.80952892857147</v>
          </cell>
        </row>
        <row r="38">
          <cell r="A38" t="str">
            <v>Minority Interest - Int'l Parks</v>
          </cell>
          <cell r="F38" t="e">
            <v>#REF!</v>
          </cell>
          <cell r="G38" t="e">
            <v>#REF!</v>
          </cell>
          <cell r="H38" t="e">
            <v>#REF!</v>
          </cell>
          <cell r="I38" t="e">
            <v>#REF!</v>
          </cell>
        </row>
        <row r="40">
          <cell r="A40" t="str">
            <v>Plus:</v>
          </cell>
        </row>
        <row r="41">
          <cell r="A41" t="str">
            <v>Cash</v>
          </cell>
          <cell r="E41">
            <v>2411</v>
          </cell>
          <cell r="F41">
            <v>2411</v>
          </cell>
          <cell r="G41" t="e">
            <v>#REF!</v>
          </cell>
          <cell r="H41">
            <v>1.1255835667600373</v>
          </cell>
          <cell r="I41">
            <v>2411</v>
          </cell>
        </row>
        <row r="42">
          <cell r="A42" t="str">
            <v xml:space="preserve">Cash from Stock Options </v>
          </cell>
          <cell r="E42">
            <v>0</v>
          </cell>
          <cell r="F42">
            <v>0</v>
          </cell>
          <cell r="G42" t="e">
            <v>#REF!</v>
          </cell>
          <cell r="H42">
            <v>0</v>
          </cell>
        </row>
        <row r="43">
          <cell r="A43" t="str">
            <v>Total</v>
          </cell>
          <cell r="E43" t="e">
            <v>#REF!</v>
          </cell>
          <cell r="F43" t="e">
            <v>#REF!</v>
          </cell>
          <cell r="G43" t="e">
            <v>#REF!</v>
          </cell>
          <cell r="H43" t="e">
            <v>#REF!</v>
          </cell>
          <cell r="I43">
            <v>-11938.809528928572</v>
          </cell>
        </row>
        <row r="45">
          <cell r="A45" t="str">
            <v>Total Fair Market Value</v>
          </cell>
          <cell r="B45" t="e">
            <v>#REF!</v>
          </cell>
          <cell r="C45" t="e">
            <v>#REF!</v>
          </cell>
          <cell r="D45" t="e">
            <v>#REF!</v>
          </cell>
          <cell r="E45" t="e">
            <v>#REF!</v>
          </cell>
          <cell r="F45" t="e">
            <v>#REF!</v>
          </cell>
          <cell r="G45" t="e">
            <v>#REF!</v>
          </cell>
          <cell r="H45" t="e">
            <v>#REF!</v>
          </cell>
          <cell r="I45" t="e">
            <v>#REF!</v>
          </cell>
        </row>
        <row r="47">
          <cell r="A47" t="str">
            <v>Shares Outstanding</v>
          </cell>
          <cell r="F47">
            <v>2062</v>
          </cell>
          <cell r="I47">
            <v>2062</v>
          </cell>
        </row>
        <row r="48">
          <cell r="A48" t="str">
            <v>Stock Options (in the money vested)</v>
          </cell>
          <cell r="F48">
            <v>26</v>
          </cell>
        </row>
        <row r="49">
          <cell r="A49" t="str">
            <v>Shares Underlying Convertible Notes</v>
          </cell>
          <cell r="F49">
            <v>54</v>
          </cell>
        </row>
        <row r="50">
          <cell r="A50" t="str">
            <v xml:space="preserve">  Total Shares Outstanding</v>
          </cell>
          <cell r="F50">
            <v>2142</v>
          </cell>
          <cell r="I50">
            <v>2062</v>
          </cell>
        </row>
        <row r="52">
          <cell r="A52" t="str">
            <v>Total Fair Market Value Per Share</v>
          </cell>
          <cell r="B52" t="e">
            <v>#REF!</v>
          </cell>
          <cell r="C52" t="e">
            <v>#REF!</v>
          </cell>
          <cell r="D52" t="e">
            <v>#REF!</v>
          </cell>
          <cell r="E52" t="e">
            <v>#REF!</v>
          </cell>
          <cell r="F52" t="e">
            <v>#REF!</v>
          </cell>
          <cell r="I52" t="e">
            <v>#REF!</v>
          </cell>
        </row>
        <row r="54">
          <cell r="A54" t="str">
            <v>Current Year EBITDA</v>
          </cell>
          <cell r="B54">
            <v>1400</v>
          </cell>
          <cell r="C54">
            <v>2593</v>
          </cell>
          <cell r="D54">
            <v>3797</v>
          </cell>
          <cell r="E54">
            <v>-353</v>
          </cell>
          <cell r="F54">
            <v>7437</v>
          </cell>
        </row>
        <row r="55">
          <cell r="A55" t="str">
            <v>Multiple of Current Year EBITDA</v>
          </cell>
          <cell r="B55" t="e">
            <v>#REF!</v>
          </cell>
          <cell r="C55" t="e">
            <v>#REF!</v>
          </cell>
          <cell r="D55" t="e">
            <v>#REF!</v>
          </cell>
          <cell r="E55" t="e">
            <v>#REF!</v>
          </cell>
          <cell r="F55" t="e">
            <v>#REF!</v>
          </cell>
        </row>
        <row r="57">
          <cell r="A57" t="str">
            <v>Forward Year EBITDA</v>
          </cell>
          <cell r="B57">
            <v>1567.0754296231032</v>
          </cell>
          <cell r="C57">
            <v>2846.5656792177133</v>
          </cell>
          <cell r="D57">
            <v>4144.9957507220297</v>
          </cell>
          <cell r="E57">
            <v>-370.65000000000003</v>
          </cell>
          <cell r="F57">
            <v>8187.9868595628459</v>
          </cell>
        </row>
        <row r="58">
          <cell r="A58" t="str">
            <v>Multiple of Forward Year EBITDA</v>
          </cell>
          <cell r="B58" t="e">
            <v>#REF!</v>
          </cell>
          <cell r="C58" t="e">
            <v>#REF!</v>
          </cell>
          <cell r="D58" t="e">
            <v>#REF!</v>
          </cell>
          <cell r="E58" t="e">
            <v>#REF!</v>
          </cell>
          <cell r="F58" t="e">
            <v>#REF!</v>
          </cell>
        </row>
        <row r="60">
          <cell r="A60" t="str">
            <v>Current Year EBITA</v>
          </cell>
          <cell r="B60">
            <v>1347</v>
          </cell>
          <cell r="C60">
            <v>1534</v>
          </cell>
          <cell r="D60">
            <v>3610</v>
          </cell>
          <cell r="E60">
            <v>-529</v>
          </cell>
          <cell r="F60">
            <v>5951</v>
          </cell>
        </row>
        <row r="61">
          <cell r="A61" t="str">
            <v>Multiple of Current Year EBITA</v>
          </cell>
          <cell r="B61" t="e">
            <v>#REF!</v>
          </cell>
          <cell r="C61" t="e">
            <v>#REF!</v>
          </cell>
          <cell r="D61" t="e">
            <v>#REF!</v>
          </cell>
          <cell r="E61" t="e">
            <v>#REF!</v>
          </cell>
          <cell r="F61" t="e">
            <v>#REF!</v>
          </cell>
        </row>
        <row r="63">
          <cell r="A63" t="str">
            <v>Forward Year EBITA</v>
          </cell>
          <cell r="B63">
            <v>1510.137637874752</v>
          </cell>
          <cell r="C63">
            <v>1716.5369280201082</v>
          </cell>
          <cell r="D63">
            <v>3949.6085058276044</v>
          </cell>
          <cell r="E63">
            <v>-585.898998584217</v>
          </cell>
          <cell r="F63">
            <v>6578.384073138247</v>
          </cell>
        </row>
        <row r="64">
          <cell r="A64" t="str">
            <v>Multiple of Forward Year EBITA</v>
          </cell>
          <cell r="B64" t="e">
            <v>#REF!</v>
          </cell>
          <cell r="C64" t="e">
            <v>#REF!</v>
          </cell>
          <cell r="D64" t="e">
            <v>#REF!</v>
          </cell>
          <cell r="E64" t="e">
            <v>#REF!</v>
          </cell>
          <cell r="F64" t="e">
            <v>#REF!</v>
          </cell>
        </row>
        <row r="68">
          <cell r="A68" t="str">
            <v>F2005</v>
          </cell>
          <cell r="C68" t="str">
            <v>In the Money</v>
          </cell>
          <cell r="D68" t="str">
            <v>Option</v>
          </cell>
        </row>
        <row r="69">
          <cell r="A69" t="str">
            <v>Weighted Avg. exercise price</v>
          </cell>
          <cell r="C69" t="str">
            <v>Options</v>
          </cell>
          <cell r="D69" t="str">
            <v>Proceeds</v>
          </cell>
        </row>
        <row r="70">
          <cell r="A70">
            <v>17.239999999999998</v>
          </cell>
          <cell r="B70">
            <v>9</v>
          </cell>
          <cell r="C70">
            <v>9</v>
          </cell>
          <cell r="D70">
            <v>155.16</v>
          </cell>
        </row>
        <row r="71">
          <cell r="A71">
            <v>22.03</v>
          </cell>
          <cell r="B71">
            <v>49</v>
          </cell>
          <cell r="C71">
            <v>49</v>
          </cell>
          <cell r="D71">
            <v>1079.47</v>
          </cell>
        </row>
        <row r="72">
          <cell r="A72">
            <v>27.07</v>
          </cell>
          <cell r="B72">
            <v>23</v>
          </cell>
          <cell r="C72">
            <v>0</v>
          </cell>
          <cell r="D72">
            <v>0</v>
          </cell>
        </row>
        <row r="73">
          <cell r="A73">
            <v>31.65</v>
          </cell>
          <cell r="B73">
            <v>45</v>
          </cell>
          <cell r="C73">
            <v>0</v>
          </cell>
          <cell r="D73">
            <v>0</v>
          </cell>
        </row>
        <row r="74">
          <cell r="A74">
            <v>37.36</v>
          </cell>
          <cell r="B74">
            <v>7</v>
          </cell>
          <cell r="C74">
            <v>0</v>
          </cell>
          <cell r="D74">
            <v>0</v>
          </cell>
        </row>
        <row r="75">
          <cell r="A75">
            <v>41.31</v>
          </cell>
          <cell r="B75">
            <v>7</v>
          </cell>
          <cell r="C75">
            <v>0</v>
          </cell>
          <cell r="D75">
            <v>0</v>
          </cell>
        </row>
        <row r="76">
          <cell r="A76">
            <v>113.56</v>
          </cell>
          <cell r="B76">
            <v>2</v>
          </cell>
          <cell r="C76">
            <v>0</v>
          </cell>
          <cell r="D76">
            <v>0</v>
          </cell>
        </row>
        <row r="77">
          <cell r="D77">
            <v>0</v>
          </cell>
        </row>
        <row r="78">
          <cell r="A78" t="str">
            <v>Total</v>
          </cell>
          <cell r="B78">
            <v>142</v>
          </cell>
          <cell r="C78">
            <v>58</v>
          </cell>
          <cell r="D78">
            <v>1234.6300000000001</v>
          </cell>
        </row>
        <row r="79">
          <cell r="A79" t="str">
            <v>Average Exercise Price</v>
          </cell>
          <cell r="D79">
            <v>21.286724137931035</v>
          </cell>
        </row>
        <row r="80">
          <cell r="A80" t="str">
            <v>Tax Shield</v>
          </cell>
          <cell r="D80">
            <v>86.147999999999996</v>
          </cell>
        </row>
        <row r="81">
          <cell r="A81" t="str">
            <v>Shares repurchased under Treasury Stock Method</v>
          </cell>
          <cell r="C81">
            <v>52.831119999999999</v>
          </cell>
        </row>
        <row r="82">
          <cell r="A82" t="str">
            <v>Net shares under Treasury Stock Method</v>
          </cell>
          <cell r="C82">
            <v>5.1688800000000015</v>
          </cell>
        </row>
        <row r="84">
          <cell r="A84" t="str">
            <v>Current Stock Price</v>
          </cell>
        </row>
        <row r="85">
          <cell r="A85" t="str">
            <v>DIS</v>
          </cell>
          <cell r="B85">
            <v>25</v>
          </cell>
        </row>
      </sheetData>
      <sheetData sheetId="1"/>
      <sheetData sheetId="2"/>
      <sheetData sheetId="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ick Comment"/>
      <sheetName val="Table for note"/>
      <sheetName val="Data for charts"/>
      <sheetName val="Charts"/>
      <sheetName val="PF IS"/>
      <sheetName val="Guidance"/>
      <sheetName val="Pro Forma"/>
      <sheetName val="BLS vs SBC"/>
    </sheetNames>
    <sheetDataSet>
      <sheetData sheetId="0" refreshError="1">
        <row r="3">
          <cell r="B3" t="str">
            <v>Quick Comment Chart</v>
          </cell>
        </row>
        <row r="4">
          <cell r="C4" t="str">
            <v>Prior</v>
          </cell>
          <cell r="D4" t="str">
            <v>Prior</v>
          </cell>
        </row>
        <row r="5">
          <cell r="C5" t="str">
            <v>Year</v>
          </cell>
          <cell r="D5" t="str">
            <v>Quarter</v>
          </cell>
          <cell r="E5" t="str">
            <v>Actual</v>
          </cell>
          <cell r="F5" t="str">
            <v>Estimate</v>
          </cell>
          <cell r="G5" t="str">
            <v>Difference</v>
          </cell>
        </row>
        <row r="6">
          <cell r="C6" t="str">
            <v>1Q04</v>
          </cell>
          <cell r="D6" t="str">
            <v>4Q04</v>
          </cell>
          <cell r="E6" t="str">
            <v>1Q05A</v>
          </cell>
          <cell r="F6" t="str">
            <v>1Q05E</v>
          </cell>
          <cell r="G6" t="str">
            <v>Fav/(Unfav)</v>
          </cell>
        </row>
        <row r="8">
          <cell r="B8" t="str">
            <v>Normalized EPS</v>
          </cell>
          <cell r="C8">
            <v>0.35692771084337349</v>
          </cell>
          <cell r="D8">
            <v>0.33493686109440768</v>
          </cell>
          <cell r="E8">
            <v>0.34</v>
          </cell>
          <cell r="F8">
            <v>0.33814247069431919</v>
          </cell>
          <cell r="G8">
            <v>1.8575293056808384E-3</v>
          </cell>
        </row>
        <row r="9">
          <cell r="B9" t="str">
            <v xml:space="preserve">Revenue </v>
          </cell>
          <cell r="C9">
            <v>10012</v>
          </cell>
          <cell r="D9">
            <v>10287</v>
          </cell>
          <cell r="E9">
            <v>10248</v>
          </cell>
          <cell r="F9">
            <v>10248</v>
          </cell>
          <cell r="G9">
            <v>0</v>
          </cell>
        </row>
        <row r="10">
          <cell r="B10" t="str">
            <v>% y/y growth</v>
          </cell>
          <cell r="C10">
            <v>-2.369575816674796E-2</v>
          </cell>
          <cell r="D10">
            <v>3.1174819566960776E-2</v>
          </cell>
          <cell r="E10">
            <v>2.3571713943268069E-2</v>
          </cell>
          <cell r="F10">
            <v>2.3571713943268069E-2</v>
          </cell>
          <cell r="G10">
            <v>0</v>
          </cell>
        </row>
        <row r="11">
          <cell r="B11" t="str">
            <v>Core Telco Revenues</v>
          </cell>
          <cell r="C11">
            <v>9040</v>
          </cell>
          <cell r="D11">
            <v>9306</v>
          </cell>
          <cell r="E11">
            <v>9289</v>
          </cell>
          <cell r="F11">
            <v>9289</v>
          </cell>
          <cell r="G11">
            <v>0</v>
          </cell>
        </row>
        <row r="12">
          <cell r="B12" t="str">
            <v>% y/y growth</v>
          </cell>
          <cell r="C12">
            <v>-2.5126711959452153E-2</v>
          </cell>
          <cell r="D12">
            <v>3.6302895322939843E-2</v>
          </cell>
          <cell r="E12">
            <v>2.7544247787610665E-2</v>
          </cell>
          <cell r="F12">
            <v>2.7544247787610665E-2</v>
          </cell>
          <cell r="G12">
            <v>0</v>
          </cell>
        </row>
        <row r="13">
          <cell r="B13" t="str">
            <v xml:space="preserve">EBITDA </v>
          </cell>
          <cell r="C13">
            <v>3439</v>
          </cell>
          <cell r="D13">
            <v>3355</v>
          </cell>
          <cell r="E13">
            <v>3381</v>
          </cell>
          <cell r="F13">
            <v>3381</v>
          </cell>
          <cell r="G13">
            <v>0</v>
          </cell>
        </row>
        <row r="14">
          <cell r="B14" t="str">
            <v>% margin</v>
          </cell>
          <cell r="C14">
            <v>0.34348781462245304</v>
          </cell>
          <cell r="D14">
            <v>0.3261397880820453</v>
          </cell>
          <cell r="E14">
            <v>0.32991803278688525</v>
          </cell>
          <cell r="F14">
            <v>0.32991803278688525</v>
          </cell>
          <cell r="G14">
            <v>0</v>
          </cell>
        </row>
        <row r="15">
          <cell r="B15" t="str">
            <v xml:space="preserve">Core Telco EBITDA </v>
          </cell>
          <cell r="C15">
            <v>2836</v>
          </cell>
          <cell r="D15">
            <v>2478</v>
          </cell>
          <cell r="E15">
            <v>2824</v>
          </cell>
          <cell r="F15">
            <v>2824</v>
          </cell>
          <cell r="G15">
            <v>0</v>
          </cell>
        </row>
        <row r="16">
          <cell r="B16" t="str">
            <v>% margin</v>
          </cell>
          <cell r="C16">
            <v>0.31371681415929203</v>
          </cell>
          <cell r="D16">
            <v>0.26627981947130885</v>
          </cell>
          <cell r="E16">
            <v>0.30401550220691143</v>
          </cell>
          <cell r="F16">
            <v>0.30401550220691143</v>
          </cell>
          <cell r="G16">
            <v>0</v>
          </cell>
        </row>
        <row r="17">
          <cell r="B17" t="str">
            <v xml:space="preserve">Access lines </v>
          </cell>
          <cell r="C17">
            <v>54256</v>
          </cell>
          <cell r="D17">
            <v>52356</v>
          </cell>
          <cell r="E17">
            <v>51868</v>
          </cell>
          <cell r="F17">
            <v>51868</v>
          </cell>
          <cell r="G17">
            <v>0</v>
          </cell>
        </row>
        <row r="18">
          <cell r="B18" t="str">
            <v>% y/y growth</v>
          </cell>
          <cell r="C18">
            <v>-4.2732629944599365E-2</v>
          </cell>
          <cell r="D18">
            <v>-4.2554358758663535E-2</v>
          </cell>
          <cell r="E18">
            <v>-4.4013565319964587E-2</v>
          </cell>
          <cell r="F18">
            <v>-4.4013565319964587E-2</v>
          </cell>
          <cell r="G18">
            <v>0</v>
          </cell>
        </row>
        <row r="19">
          <cell r="B19" t="str">
            <v>UNE-P lines</v>
          </cell>
          <cell r="C19">
            <v>6821</v>
          </cell>
          <cell r="D19">
            <v>6497</v>
          </cell>
          <cell r="E19">
            <v>6133</v>
          </cell>
          <cell r="F19">
            <v>6133</v>
          </cell>
          <cell r="G19">
            <v>0</v>
          </cell>
        </row>
        <row r="20">
          <cell r="B20" t="str">
            <v>UNE-P net adds</v>
          </cell>
          <cell r="C20">
            <v>157</v>
          </cell>
          <cell r="D20">
            <v>-285</v>
          </cell>
          <cell r="E20">
            <v>-364</v>
          </cell>
          <cell r="F20">
            <v>-364</v>
          </cell>
          <cell r="G20">
            <v>0</v>
          </cell>
        </row>
        <row r="21">
          <cell r="B21" t="str">
            <v>Incremental LD lines</v>
          </cell>
          <cell r="C21">
            <v>2568.0000000000018</v>
          </cell>
          <cell r="D21">
            <v>1105</v>
          </cell>
          <cell r="E21">
            <v>1100</v>
          </cell>
          <cell r="F21">
            <v>1136</v>
          </cell>
          <cell r="G21">
            <v>-36</v>
          </cell>
        </row>
        <row r="22">
          <cell r="B22" t="str">
            <v>DSL net adds</v>
          </cell>
          <cell r="C22">
            <v>447.01</v>
          </cell>
          <cell r="D22">
            <v>425</v>
          </cell>
          <cell r="E22">
            <v>504</v>
          </cell>
          <cell r="F22">
            <v>504</v>
          </cell>
          <cell r="G22">
            <v>0</v>
          </cell>
        </row>
        <row r="23">
          <cell r="B23" t="str">
            <v>Capex (Wireline)</v>
          </cell>
          <cell r="C23">
            <v>919</v>
          </cell>
          <cell r="D23">
            <v>1594</v>
          </cell>
          <cell r="E23">
            <v>1050</v>
          </cell>
          <cell r="F23">
            <v>1050</v>
          </cell>
          <cell r="G23">
            <v>0</v>
          </cell>
        </row>
        <row r="27">
          <cell r="B27" t="str">
            <v>Last quarters table</v>
          </cell>
        </row>
        <row r="28">
          <cell r="C28" t="str">
            <v>4Q04</v>
          </cell>
          <cell r="D28" t="str">
            <v>4Q04</v>
          </cell>
          <cell r="E28" t="str">
            <v>Favorable/</v>
          </cell>
        </row>
        <row r="29">
          <cell r="C29" t="str">
            <v>Estimate</v>
          </cell>
          <cell r="D29" t="str">
            <v>Actual</v>
          </cell>
          <cell r="E29" t="str">
            <v>(Unfavorable)</v>
          </cell>
        </row>
        <row r="31">
          <cell r="B31" t="str">
            <v>Normalized EPS</v>
          </cell>
          <cell r="C31">
            <v>0.38</v>
          </cell>
          <cell r="D31">
            <v>0.34</v>
          </cell>
          <cell r="E31">
            <v>-3.999999999999998E-2</v>
          </cell>
        </row>
        <row r="32">
          <cell r="B32" t="str">
            <v>Revenues</v>
          </cell>
          <cell r="C32">
            <v>10287</v>
          </cell>
          <cell r="D32">
            <v>10287</v>
          </cell>
          <cell r="E32">
            <v>0</v>
          </cell>
        </row>
        <row r="33">
          <cell r="B33" t="str">
            <v>% y/y growth</v>
          </cell>
          <cell r="C33">
            <v>3.1174819566960776E-2</v>
          </cell>
          <cell r="D33">
            <v>3.1E-2</v>
          </cell>
          <cell r="E33">
            <v>-1.7481956696077661E-4</v>
          </cell>
        </row>
        <row r="34">
          <cell r="B34" t="str">
            <v>Core Telco Revenues</v>
          </cell>
          <cell r="C34">
            <v>9306</v>
          </cell>
          <cell r="D34">
            <v>9306</v>
          </cell>
          <cell r="E34">
            <v>0</v>
          </cell>
        </row>
        <row r="35">
          <cell r="B35" t="str">
            <v>% y/y growth</v>
          </cell>
          <cell r="C35">
            <v>3.6302895322939843E-2</v>
          </cell>
          <cell r="D35">
            <v>3.5999999999999997E-2</v>
          </cell>
          <cell r="E35">
            <v>-3.0289532293984595E-4</v>
          </cell>
        </row>
        <row r="36">
          <cell r="B36" t="str">
            <v>EBITDA</v>
          </cell>
          <cell r="C36">
            <v>3355</v>
          </cell>
          <cell r="D36">
            <v>3355</v>
          </cell>
          <cell r="E36">
            <v>0</v>
          </cell>
        </row>
        <row r="37">
          <cell r="B37" t="str">
            <v>% margin</v>
          </cell>
          <cell r="C37">
            <v>0.3261397880820453</v>
          </cell>
          <cell r="D37">
            <v>0.3261397880820453</v>
          </cell>
          <cell r="E37">
            <v>0</v>
          </cell>
        </row>
        <row r="38">
          <cell r="B38" t="str">
            <v>Core Telco EBITDA</v>
          </cell>
          <cell r="C38">
            <v>2478</v>
          </cell>
          <cell r="D38">
            <v>2722</v>
          </cell>
          <cell r="E38">
            <v>244</v>
          </cell>
        </row>
        <row r="39">
          <cell r="B39" t="str">
            <v>% margin</v>
          </cell>
          <cell r="C39">
            <v>0.26627981947130885</v>
          </cell>
          <cell r="D39">
            <v>0.29249946271222865</v>
          </cell>
          <cell r="E39">
            <v>2.6219643240919799E-2</v>
          </cell>
        </row>
        <row r="40">
          <cell r="B40" t="str">
            <v>Access lines</v>
          </cell>
          <cell r="C40">
            <v>52356</v>
          </cell>
          <cell r="D40">
            <v>52356</v>
          </cell>
          <cell r="E40">
            <v>0</v>
          </cell>
        </row>
        <row r="41">
          <cell r="B41" t="str">
            <v>Incremental access lines</v>
          </cell>
          <cell r="C41">
            <v>-580</v>
          </cell>
          <cell r="D41">
            <v>-580</v>
          </cell>
          <cell r="E41">
            <v>0</v>
          </cell>
        </row>
        <row r="42">
          <cell r="B42" t="str">
            <v>% y/y growth</v>
          </cell>
          <cell r="C42">
            <v>-4.2554358758663535E-2</v>
          </cell>
          <cell r="D42">
            <v>-4.2571867456660084E-2</v>
          </cell>
          <cell r="E42">
            <v>-1.7508697996548861E-5</v>
          </cell>
        </row>
        <row r="43">
          <cell r="B43" t="str">
            <v>Incremental UNE-P lines</v>
          </cell>
          <cell r="C43">
            <v>-285</v>
          </cell>
          <cell r="D43">
            <v>-283</v>
          </cell>
          <cell r="E43">
            <v>-2</v>
          </cell>
        </row>
        <row r="44">
          <cell r="B44" t="str">
            <v>LD net adds</v>
          </cell>
          <cell r="C44">
            <v>1105</v>
          </cell>
          <cell r="D44">
            <v>1105</v>
          </cell>
          <cell r="E44">
            <v>0</v>
          </cell>
        </row>
        <row r="45">
          <cell r="B45" t="str">
            <v>DSL net adds</v>
          </cell>
          <cell r="C45">
            <v>425</v>
          </cell>
          <cell r="D45">
            <v>425</v>
          </cell>
          <cell r="E45">
            <v>0</v>
          </cell>
        </row>
        <row r="46">
          <cell r="B46" t="str">
            <v>Non-wireless capex</v>
          </cell>
          <cell r="C46">
            <v>1637</v>
          </cell>
          <cell r="D46">
            <v>1637</v>
          </cell>
          <cell r="E46">
            <v>0</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Wireless"/>
      <sheetName val="Quick Comment"/>
      <sheetName val="Data for Charts Wireless"/>
      <sheetName val="Charts Wireless"/>
    </sheetNames>
    <sheetDataSet>
      <sheetData sheetId="0" refreshError="1"/>
      <sheetData sheetId="1" refreshError="1">
        <row r="3">
          <cell r="E3" t="str">
            <v xml:space="preserve">Prior </v>
          </cell>
          <cell r="F3" t="str">
            <v xml:space="preserve">Prior </v>
          </cell>
        </row>
        <row r="4">
          <cell r="E4" t="str">
            <v>Year</v>
          </cell>
          <cell r="F4" t="str">
            <v>Quarter</v>
          </cell>
          <cell r="G4" t="str">
            <v>Actual</v>
          </cell>
          <cell r="H4" t="str">
            <v>Estimate</v>
          </cell>
          <cell r="I4" t="str">
            <v>Difference</v>
          </cell>
        </row>
        <row r="5">
          <cell r="E5" t="str">
            <v>1Q04 (1)</v>
          </cell>
          <cell r="F5" t="str">
            <v>4Q04</v>
          </cell>
          <cell r="G5" t="str">
            <v>1Q05A</v>
          </cell>
          <cell r="H5" t="str">
            <v>1Q05E</v>
          </cell>
          <cell r="I5" t="str">
            <v>Fav/(Unfav)</v>
          </cell>
        </row>
        <row r="7">
          <cell r="D7" t="str">
            <v>Service Revenue</v>
          </cell>
          <cell r="E7">
            <v>7509</v>
          </cell>
          <cell r="F7">
            <v>7452</v>
          </cell>
          <cell r="G7">
            <v>7419</v>
          </cell>
          <cell r="H7">
            <v>7401</v>
          </cell>
          <cell r="I7">
            <v>18</v>
          </cell>
        </row>
        <row r="8">
          <cell r="D8" t="str">
            <v xml:space="preserve"> % y/y growth</v>
          </cell>
          <cell r="E8">
            <v>3.004115226337456E-2</v>
          </cell>
          <cell r="F8">
            <v>1.8311013938234533E-2</v>
          </cell>
          <cell r="G8">
            <v>-1.1985617259288817E-2</v>
          </cell>
          <cell r="H8">
            <v>-1.4382740711146647E-2</v>
          </cell>
          <cell r="I8">
            <v>2.3971234518578299E-3</v>
          </cell>
        </row>
        <row r="10">
          <cell r="D10" t="str">
            <v>EBITDA (ex. Integration costs)</v>
          </cell>
          <cell r="E10">
            <v>2199</v>
          </cell>
          <cell r="F10">
            <v>2265</v>
          </cell>
          <cell r="G10">
            <v>1894</v>
          </cell>
          <cell r="H10">
            <v>2075</v>
          </cell>
          <cell r="I10">
            <v>-181</v>
          </cell>
        </row>
        <row r="11">
          <cell r="D11" t="str">
            <v>% margin</v>
          </cell>
          <cell r="E11">
            <v>0.29284858170195766</v>
          </cell>
          <cell r="F11">
            <v>0.30394524959742353</v>
          </cell>
          <cell r="G11">
            <v>0.25529047041380237</v>
          </cell>
          <cell r="H11">
            <v>0.28036751790298609</v>
          </cell>
          <cell r="I11">
            <v>-2.5077047489183713E-2</v>
          </cell>
        </row>
        <row r="13">
          <cell r="D13" t="str">
            <v>EBITDA</v>
          </cell>
          <cell r="E13">
            <v>1103</v>
          </cell>
          <cell r="F13">
            <v>1233</v>
          </cell>
          <cell r="G13">
            <v>1789</v>
          </cell>
          <cell r="H13" t="str">
            <v>NA</v>
          </cell>
          <cell r="I13" t="str">
            <v>NA</v>
          </cell>
        </row>
        <row r="14">
          <cell r="D14" t="str">
            <v>% margin</v>
          </cell>
          <cell r="E14">
            <v>0.14689039818884006</v>
          </cell>
          <cell r="F14">
            <v>0.16545893719806765</v>
          </cell>
          <cell r="G14">
            <v>0.24113761962528643</v>
          </cell>
          <cell r="H14" t="str">
            <v>NA</v>
          </cell>
          <cell r="I14" t="str">
            <v>NA</v>
          </cell>
        </row>
        <row r="16">
          <cell r="D16" t="str">
            <v>Capex</v>
          </cell>
          <cell r="E16">
            <v>0</v>
          </cell>
          <cell r="F16">
            <v>0</v>
          </cell>
          <cell r="G16">
            <v>1171</v>
          </cell>
          <cell r="H16">
            <v>0</v>
          </cell>
          <cell r="I16">
            <v>-1171</v>
          </cell>
        </row>
        <row r="17">
          <cell r="D17" t="str">
            <v xml:space="preserve"> % Service revenues</v>
          </cell>
          <cell r="E17" t="str">
            <v>3Q03</v>
          </cell>
          <cell r="F17" t="str">
            <v>2Q04</v>
          </cell>
          <cell r="G17">
            <v>0.15783798355573528</v>
          </cell>
          <cell r="H17" t="str">
            <v>3Q04</v>
          </cell>
          <cell r="I17" t="e">
            <v>#VALUE!</v>
          </cell>
        </row>
        <row r="19">
          <cell r="D19" t="str">
            <v>Net Adds</v>
          </cell>
          <cell r="E19">
            <v>44388</v>
          </cell>
          <cell r="F19">
            <v>46178.5</v>
          </cell>
          <cell r="G19">
            <v>1419</v>
          </cell>
          <cell r="H19">
            <v>46790.5</v>
          </cell>
          <cell r="I19">
            <v>-45371.5</v>
          </cell>
        </row>
        <row r="20">
          <cell r="D20" t="str">
            <v xml:space="preserve"> % y/y growth</v>
          </cell>
          <cell r="E20">
            <v>5.2272242372519706E-2</v>
          </cell>
          <cell r="F20">
            <v>6.3947192590373847E-2</v>
          </cell>
          <cell r="G20">
            <v>-0.96803190051365229</v>
          </cell>
          <cell r="H20">
            <v>5.4124988735694268E-2</v>
          </cell>
          <cell r="I20">
            <v>-1.0221568892493464</v>
          </cell>
        </row>
        <row r="22">
          <cell r="D22" t="str">
            <v xml:space="preserve">ARPU </v>
          </cell>
          <cell r="E22">
            <v>51.26</v>
          </cell>
          <cell r="F22">
            <v>49.97</v>
          </cell>
          <cell r="G22">
            <v>49.59</v>
          </cell>
          <cell r="H22">
            <v>52.38</v>
          </cell>
          <cell r="I22">
            <v>-2.7899999999999991</v>
          </cell>
        </row>
        <row r="23">
          <cell r="D23" t="str">
            <v xml:space="preserve"> % y/y growth</v>
          </cell>
          <cell r="E23" t="str">
            <v>NA</v>
          </cell>
          <cell r="F23" t="str">
            <v>NA</v>
          </cell>
          <cell r="G23">
            <v>-3.2579008973858681E-2</v>
          </cell>
          <cell r="H23">
            <v>-6.0279870828848225E-2</v>
          </cell>
          <cell r="I23">
            <v>2.7700861854989545E-2</v>
          </cell>
        </row>
        <row r="25">
          <cell r="D25" t="str">
            <v>Churn</v>
          </cell>
          <cell r="E25" t="str">
            <v>NA</v>
          </cell>
          <cell r="F25">
            <v>2.4E-2</v>
          </cell>
          <cell r="G25">
            <v>2.1999999999999999E-2</v>
          </cell>
          <cell r="H25">
            <v>808</v>
          </cell>
          <cell r="I25">
            <v>807.97799999999995</v>
          </cell>
        </row>
        <row r="27">
          <cell r="D27" t="str">
            <v>MOU</v>
          </cell>
          <cell r="E27">
            <v>0</v>
          </cell>
          <cell r="F27">
            <v>0</v>
          </cell>
          <cell r="G27">
            <v>508</v>
          </cell>
          <cell r="H27">
            <v>0</v>
          </cell>
          <cell r="I27">
            <v>508</v>
          </cell>
        </row>
        <row r="32">
          <cell r="D32" t="str">
            <v>(1) Pro forma for AWE merger.</v>
          </cell>
        </row>
        <row r="34">
          <cell r="D34" t="str">
            <v>[make sure 4Q04 metrics are pro-forma, you may need to take them from the inputs page]</v>
          </cell>
        </row>
      </sheetData>
      <sheetData sheetId="2" refreshError="1"/>
      <sheetData sheetId="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ldIS"/>
      <sheetName val="MW-Cache"/>
      <sheetName val="ImportantDisclosures"/>
      <sheetName val="CircularReferenceAlert"/>
      <sheetName val="Valuation"/>
      <sheetName val="Q"/>
      <sheetName val="IS"/>
      <sheetName val="BS"/>
      <sheetName val="CFS"/>
      <sheetName val="Wless"/>
      <sheetName val="Wireline"/>
      <sheetName val="FiOS"/>
      <sheetName val="Lines"/>
      <sheetName val="Capex"/>
      <sheetName val="MinInterest"/>
      <sheetName val="Other"/>
      <sheetName val="Segments"/>
      <sheetName val="Pension - NEW"/>
      <sheetName val="OPEB - NEW"/>
      <sheetName val="Cash Taxes"/>
      <sheetName val="NormInputs"/>
      <sheetName val="Links"/>
      <sheetName val="IndexInformation"/>
      <sheetName val="ModPubIndex"/>
      <sheetName val="Wireless Link"/>
      <sheetName val="Scenario"/>
      <sheetName val="Synergies"/>
      <sheetName val="InfoSvs"/>
      <sheetName val="__FDSCACHE__"/>
      <sheetName val="Buy-in"/>
      <sheetName val="MCI"/>
      <sheetName val="DomTelco"/>
      <sheetName val="RptdInputs"/>
      <sheetName val="Cover"/>
      <sheetName val="Global links"/>
      <sheetName val="VZ Morgan Stanley"/>
      <sheetName val="VZW Assumptions"/>
      <sheetName val="MWA RR"/>
      <sheetName val="mwareDates"/>
      <sheetName val="mwareSettings"/>
      <sheetName val="VZ Pensions"/>
      <sheetName val="VZ OPEBs"/>
      <sheetName val="SheetVisibilityStatus"/>
    </sheetNames>
    <sheetDataSet>
      <sheetData sheetId="0">
        <row r="2">
          <cell r="I2">
            <v>2001</v>
          </cell>
          <cell r="J2">
            <v>2002</v>
          </cell>
        </row>
        <row r="3">
          <cell r="I3" t="e">
            <v>#REF!</v>
          </cell>
          <cell r="J3" t="e">
            <v>#REF!</v>
          </cell>
        </row>
        <row r="4">
          <cell r="I4" t="e">
            <v>#REF!</v>
          </cell>
          <cell r="J4" t="e">
            <v>#REF!</v>
          </cell>
        </row>
        <row r="10">
          <cell r="I10" t="e">
            <v>#REF!</v>
          </cell>
          <cell r="J10" t="e">
            <v>#REF!</v>
          </cell>
        </row>
        <row r="11">
          <cell r="I11" t="e">
            <v>#REF!</v>
          </cell>
          <cell r="J11" t="e">
            <v>#REF!</v>
          </cell>
        </row>
        <row r="13">
          <cell r="I13" t="e">
            <v>#REF!</v>
          </cell>
          <cell r="J13" t="e">
            <v>#REF!</v>
          </cell>
        </row>
        <row r="14">
          <cell r="I14" t="e">
            <v>#REF!</v>
          </cell>
          <cell r="J14" t="e">
            <v>#REF!</v>
          </cell>
        </row>
        <row r="15">
          <cell r="I15" t="e">
            <v>#REF!</v>
          </cell>
          <cell r="J15" t="e">
            <v>#REF!</v>
          </cell>
        </row>
        <row r="17">
          <cell r="I17" t="e">
            <v>#REF!</v>
          </cell>
          <cell r="J17" t="e">
            <v>#REF!</v>
          </cell>
        </row>
        <row r="18">
          <cell r="I18" t="e">
            <v>#REF!</v>
          </cell>
          <cell r="J18" t="e">
            <v>#REF!</v>
          </cell>
        </row>
        <row r="19">
          <cell r="I19" t="e">
            <v>#REF!</v>
          </cell>
          <cell r="J19" t="e">
            <v>#REF!</v>
          </cell>
        </row>
        <row r="21">
          <cell r="I21" t="e">
            <v>#REF!</v>
          </cell>
          <cell r="J21" t="e">
            <v>#REF!</v>
          </cell>
        </row>
        <row r="22">
          <cell r="I22" t="e">
            <v>#REF!</v>
          </cell>
          <cell r="J22" t="e">
            <v>#REF!</v>
          </cell>
        </row>
        <row r="23">
          <cell r="I23" t="e">
            <v>#REF!</v>
          </cell>
          <cell r="J23" t="e">
            <v>#REF!</v>
          </cell>
        </row>
        <row r="25">
          <cell r="I25" t="e">
            <v>#REF!</v>
          </cell>
          <cell r="J25" t="e">
            <v>#REF!</v>
          </cell>
        </row>
        <row r="26">
          <cell r="I26" t="e">
            <v>#REF!</v>
          </cell>
          <cell r="J26" t="e">
            <v>#REF!</v>
          </cell>
        </row>
        <row r="27">
          <cell r="I27" t="e">
            <v>#REF!</v>
          </cell>
          <cell r="J27" t="e">
            <v>#REF!</v>
          </cell>
        </row>
        <row r="28">
          <cell r="I28" t="e">
            <v>#REF!</v>
          </cell>
          <cell r="J28" t="e">
            <v>#REF!</v>
          </cell>
        </row>
        <row r="29">
          <cell r="I29" t="e">
            <v>#REF!</v>
          </cell>
          <cell r="J29" t="e">
            <v>#REF!</v>
          </cell>
        </row>
        <row r="30">
          <cell r="I30" t="e">
            <v>#REF!</v>
          </cell>
          <cell r="J30" t="e">
            <v>#REF!</v>
          </cell>
        </row>
        <row r="32">
          <cell r="I32" t="e">
            <v>#REF!</v>
          </cell>
          <cell r="J32" t="e">
            <v>#REF!</v>
          </cell>
        </row>
        <row r="33">
          <cell r="I33" t="e">
            <v>#REF!</v>
          </cell>
          <cell r="J33" t="e">
            <v>#REF!</v>
          </cell>
        </row>
        <row r="36">
          <cell r="J36" t="e">
            <v>#REF!</v>
          </cell>
        </row>
        <row r="38">
          <cell r="J38" t="e">
            <v>#REF!</v>
          </cell>
        </row>
        <row r="39">
          <cell r="J39" t="e">
            <v>#REF!</v>
          </cell>
        </row>
        <row r="42">
          <cell r="I42" t="e">
            <v>#REF!</v>
          </cell>
          <cell r="J42" t="e">
            <v>#REF!</v>
          </cell>
        </row>
        <row r="43">
          <cell r="I43" t="e">
            <v>#REF!</v>
          </cell>
          <cell r="J43" t="e">
            <v>#REF!</v>
          </cell>
        </row>
        <row r="44">
          <cell r="I44" t="e">
            <v>#REF!</v>
          </cell>
          <cell r="J44" t="e">
            <v>#REF!</v>
          </cell>
        </row>
        <row r="45">
          <cell r="I45" t="e">
            <v>#REF!</v>
          </cell>
          <cell r="J45" t="e">
            <v>#REF!</v>
          </cell>
        </row>
        <row r="46">
          <cell r="I46" t="e">
            <v>#REF!</v>
          </cell>
          <cell r="J46" t="e">
            <v>#REF!</v>
          </cell>
        </row>
        <row r="47">
          <cell r="I47" t="e">
            <v>#REF!</v>
          </cell>
          <cell r="J47" t="e">
            <v>#REF!</v>
          </cell>
        </row>
        <row r="48">
          <cell r="I48" t="e">
            <v>#REF!</v>
          </cell>
          <cell r="J48" t="e">
            <v>#REF!</v>
          </cell>
        </row>
        <row r="49">
          <cell r="I49" t="e">
            <v>#REF!</v>
          </cell>
          <cell r="J49" t="e">
            <v>#REF!</v>
          </cell>
        </row>
        <row r="50">
          <cell r="I50" t="e">
            <v>#REF!</v>
          </cell>
          <cell r="J50" t="e">
            <v>#REF!</v>
          </cell>
        </row>
        <row r="51">
          <cell r="I51" t="e">
            <v>#REF!</v>
          </cell>
          <cell r="J51" t="e">
            <v>#REF!</v>
          </cell>
        </row>
        <row r="52">
          <cell r="I52" t="e">
            <v>#REF!</v>
          </cell>
          <cell r="J52" t="e">
            <v>#REF!</v>
          </cell>
        </row>
        <row r="53">
          <cell r="I53" t="e">
            <v>#REF!</v>
          </cell>
          <cell r="J53" t="e">
            <v>#REF!</v>
          </cell>
        </row>
        <row r="54">
          <cell r="I54" t="e">
            <v>#REF!</v>
          </cell>
          <cell r="J54" t="e">
            <v>#REF!</v>
          </cell>
        </row>
        <row r="55">
          <cell r="I55" t="e">
            <v>#REF!</v>
          </cell>
          <cell r="J55" t="e">
            <v>#REF!</v>
          </cell>
        </row>
        <row r="56">
          <cell r="I56" t="e">
            <v>#REF!</v>
          </cell>
          <cell r="J56" t="e">
            <v>#REF!</v>
          </cell>
        </row>
        <row r="57">
          <cell r="I57" t="e">
            <v>#REF!</v>
          </cell>
          <cell r="J57" t="e">
            <v>#REF!</v>
          </cell>
        </row>
        <row r="58">
          <cell r="I58" t="e">
            <v>#REF!</v>
          </cell>
          <cell r="J58" t="e">
            <v>#REF!</v>
          </cell>
        </row>
        <row r="60">
          <cell r="J60">
            <v>382</v>
          </cell>
        </row>
        <row r="62">
          <cell r="I62" t="e">
            <v>#REF!</v>
          </cell>
          <cell r="J62" t="e">
            <v>#REF!</v>
          </cell>
        </row>
        <row r="63">
          <cell r="I63" t="e">
            <v>#REF!</v>
          </cell>
          <cell r="J63" t="e">
            <v>#REF!</v>
          </cell>
        </row>
        <row r="64">
          <cell r="I64" t="e">
            <v>#REF!</v>
          </cell>
          <cell r="J64" t="e">
            <v>#REF!</v>
          </cell>
        </row>
        <row r="65">
          <cell r="I65" t="e">
            <v>#REF!</v>
          </cell>
          <cell r="J65" t="e">
            <v>#REF!</v>
          </cell>
        </row>
        <row r="66">
          <cell r="I66" t="e">
            <v>#REF!</v>
          </cell>
          <cell r="J66" t="e">
            <v>#REF!</v>
          </cell>
        </row>
        <row r="67">
          <cell r="I67">
            <v>383</v>
          </cell>
          <cell r="J67">
            <v>187</v>
          </cell>
        </row>
        <row r="68">
          <cell r="I68" t="e">
            <v>#REF!</v>
          </cell>
          <cell r="J68" t="e">
            <v>#REF!</v>
          </cell>
        </row>
        <row r="69">
          <cell r="I69" t="e">
            <v>#REF!</v>
          </cell>
          <cell r="J69" t="e">
            <v>#REF!</v>
          </cell>
        </row>
        <row r="70">
          <cell r="I70" t="e">
            <v>#REF!</v>
          </cell>
          <cell r="J70" t="e">
            <v>#REF!</v>
          </cell>
        </row>
        <row r="71">
          <cell r="I71" t="e">
            <v>#REF!</v>
          </cell>
          <cell r="J71" t="e">
            <v>#REF!</v>
          </cell>
        </row>
        <row r="72">
          <cell r="I72" t="e">
            <v>#REF!</v>
          </cell>
          <cell r="J72" t="e">
            <v>#REF!</v>
          </cell>
        </row>
        <row r="73">
          <cell r="I73" t="e">
            <v>#REF!</v>
          </cell>
          <cell r="J73" t="e">
            <v>#REF!</v>
          </cell>
        </row>
        <row r="74">
          <cell r="I74" t="e">
            <v>#REF!</v>
          </cell>
          <cell r="J74" t="e">
            <v>#REF!</v>
          </cell>
        </row>
        <row r="75">
          <cell r="I75" t="e">
            <v>#REF!</v>
          </cell>
          <cell r="J75" t="e">
            <v>#REF!</v>
          </cell>
        </row>
        <row r="76">
          <cell r="I76" t="e">
            <v>#REF!</v>
          </cell>
          <cell r="J76" t="e">
            <v>#REF!</v>
          </cell>
        </row>
        <row r="77">
          <cell r="I77" t="e">
            <v>#REF!</v>
          </cell>
          <cell r="J77" t="e">
            <v>#REF!</v>
          </cell>
        </row>
        <row r="78">
          <cell r="I78" t="e">
            <v>#REF!</v>
          </cell>
          <cell r="J78" t="e">
            <v>#REF!</v>
          </cell>
        </row>
        <row r="79">
          <cell r="I79" t="e">
            <v>#REF!</v>
          </cell>
          <cell r="J79" t="e">
            <v>#REF!</v>
          </cell>
        </row>
        <row r="80">
          <cell r="I80" t="e">
            <v>#REF!</v>
          </cell>
          <cell r="J80" t="e">
            <v>#REF!</v>
          </cell>
        </row>
        <row r="81">
          <cell r="I81" t="e">
            <v>#REF!</v>
          </cell>
          <cell r="J81" t="e">
            <v>#REF!</v>
          </cell>
        </row>
        <row r="82">
          <cell r="I82">
            <v>0.46500000000000002</v>
          </cell>
          <cell r="J82">
            <v>0.42799999999999999</v>
          </cell>
        </row>
        <row r="85">
          <cell r="J85">
            <v>-83</v>
          </cell>
        </row>
        <row r="87">
          <cell r="I87" t="e">
            <v>#REF!</v>
          </cell>
          <cell r="J87" t="e">
            <v>#REF!</v>
          </cell>
        </row>
        <row r="88">
          <cell r="I88" t="e">
            <v>#REF!</v>
          </cell>
          <cell r="J88" t="e">
            <v>#REF!</v>
          </cell>
        </row>
        <row r="89">
          <cell r="I89" t="e">
            <v>#REF!</v>
          </cell>
          <cell r="J89" t="e">
            <v>#REF!</v>
          </cell>
        </row>
        <row r="91">
          <cell r="I91" t="e">
            <v>#REF!</v>
          </cell>
          <cell r="J91" t="e">
            <v>#REF!</v>
          </cell>
        </row>
        <row r="92">
          <cell r="I92" t="e">
            <v>#REF!</v>
          </cell>
          <cell r="J92" t="e">
            <v>#REF!</v>
          </cell>
        </row>
        <row r="94">
          <cell r="I94" t="e">
            <v>#REF!</v>
          </cell>
          <cell r="J94" t="e">
            <v>#REF!</v>
          </cell>
        </row>
        <row r="95">
          <cell r="I95" t="e">
            <v>#REF!</v>
          </cell>
          <cell r="J95" t="e">
            <v>#REF!</v>
          </cell>
        </row>
        <row r="97">
          <cell r="J97">
            <v>0</v>
          </cell>
        </row>
        <row r="99">
          <cell r="I99" t="e">
            <v>#REF!</v>
          </cell>
          <cell r="J99" t="e">
            <v>#REF!</v>
          </cell>
        </row>
        <row r="100">
          <cell r="I100" t="e">
            <v>#REF!</v>
          </cell>
          <cell r="J100" t="e">
            <v>#REF!</v>
          </cell>
        </row>
        <row r="101">
          <cell r="I101" t="e">
            <v>#REF!</v>
          </cell>
          <cell r="J101" t="e">
            <v>#REF!</v>
          </cell>
        </row>
        <row r="105">
          <cell r="I105" t="e">
            <v>#REF!</v>
          </cell>
          <cell r="J105" t="e">
            <v>#REF!</v>
          </cell>
        </row>
        <row r="106">
          <cell r="I106" t="e">
            <v>#REF!</v>
          </cell>
          <cell r="J106" t="e">
            <v>#REF!</v>
          </cell>
        </row>
        <row r="107">
          <cell r="I107" t="e">
            <v>#REF!</v>
          </cell>
          <cell r="J107" t="e">
            <v>#REF!</v>
          </cell>
        </row>
        <row r="108">
          <cell r="I108" t="e">
            <v>#REF!</v>
          </cell>
          <cell r="J108" t="e">
            <v>#REF!</v>
          </cell>
        </row>
        <row r="109">
          <cell r="I109">
            <v>20</v>
          </cell>
          <cell r="J109">
            <v>24.875</v>
          </cell>
        </row>
        <row r="110">
          <cell r="I110">
            <v>0.25984251968503935</v>
          </cell>
          <cell r="J110">
            <v>0.24374999999999991</v>
          </cell>
        </row>
        <row r="115">
          <cell r="I115" t="e">
            <v>#REF!</v>
          </cell>
          <cell r="J115" t="e">
            <v>#REF!</v>
          </cell>
        </row>
        <row r="116">
          <cell r="I116" t="e">
            <v>#REF!</v>
          </cell>
          <cell r="J116" t="e">
            <v>#REF!</v>
          </cell>
        </row>
        <row r="117">
          <cell r="I117" t="e">
            <v>#REF!</v>
          </cell>
          <cell r="J117" t="e">
            <v>#REF!</v>
          </cell>
        </row>
        <row r="118">
          <cell r="I118">
            <v>716</v>
          </cell>
          <cell r="J118">
            <v>1164</v>
          </cell>
        </row>
        <row r="124">
          <cell r="I124" t="e">
            <v>#REF!</v>
          </cell>
          <cell r="J124" t="e">
            <v>#REF!</v>
          </cell>
        </row>
        <row r="125">
          <cell r="I125" t="e">
            <v>#REF!</v>
          </cell>
          <cell r="J125" t="e">
            <v>#REF!</v>
          </cell>
        </row>
        <row r="126">
          <cell r="I126" t="e">
            <v>#REF!</v>
          </cell>
          <cell r="J126" t="e">
            <v>#REF!</v>
          </cell>
        </row>
        <row r="127">
          <cell r="I127" t="e">
            <v>#REF!</v>
          </cell>
          <cell r="J127" t="e">
            <v>#REF!</v>
          </cell>
        </row>
        <row r="128">
          <cell r="I128" t="e">
            <v>#REF!</v>
          </cell>
          <cell r="J128" t="e">
            <v>#REF!</v>
          </cell>
        </row>
        <row r="129">
          <cell r="I129">
            <v>4176</v>
          </cell>
          <cell r="J129">
            <v>4208</v>
          </cell>
        </row>
        <row r="130">
          <cell r="I130" t="e">
            <v>#REF!</v>
          </cell>
          <cell r="J130" t="e">
            <v>#REF!</v>
          </cell>
        </row>
        <row r="131">
          <cell r="I131" t="e">
            <v>#REF!</v>
          </cell>
          <cell r="J131" t="e">
            <v>#REF!</v>
          </cell>
        </row>
        <row r="132">
          <cell r="I132" t="e">
            <v>#REF!</v>
          </cell>
          <cell r="J132" t="e">
            <v>#REF!</v>
          </cell>
        </row>
        <row r="136">
          <cell r="I136">
            <v>590</v>
          </cell>
          <cell r="J136">
            <v>4079</v>
          </cell>
        </row>
        <row r="137">
          <cell r="J137">
            <v>83</v>
          </cell>
        </row>
        <row r="138">
          <cell r="J138">
            <v>0</v>
          </cell>
        </row>
        <row r="139">
          <cell r="J139">
            <v>1264</v>
          </cell>
        </row>
        <row r="140">
          <cell r="J140">
            <v>496</v>
          </cell>
        </row>
        <row r="141">
          <cell r="J141">
            <v>0</v>
          </cell>
        </row>
        <row r="142">
          <cell r="J142">
            <v>0</v>
          </cell>
        </row>
        <row r="143">
          <cell r="J143">
            <v>0</v>
          </cell>
        </row>
        <row r="144">
          <cell r="J144">
            <v>-1895</v>
          </cell>
        </row>
        <row r="145">
          <cell r="J145">
            <v>288</v>
          </cell>
        </row>
        <row r="146">
          <cell r="J146">
            <v>0</v>
          </cell>
        </row>
        <row r="147">
          <cell r="I147">
            <v>5716</v>
          </cell>
          <cell r="J147">
            <v>5652</v>
          </cell>
        </row>
        <row r="148">
          <cell r="I148">
            <v>1884</v>
          </cell>
          <cell r="J148">
            <v>210</v>
          </cell>
        </row>
        <row r="149">
          <cell r="J149">
            <v>259</v>
          </cell>
        </row>
        <row r="150">
          <cell r="J150">
            <v>114</v>
          </cell>
        </row>
        <row r="151">
          <cell r="J151">
            <v>-2104</v>
          </cell>
        </row>
        <row r="152">
          <cell r="J152">
            <v>0</v>
          </cell>
        </row>
        <row r="153">
          <cell r="I153">
            <v>8190</v>
          </cell>
          <cell r="J153">
            <v>8446</v>
          </cell>
        </row>
        <row r="154">
          <cell r="I154" t="e">
            <v>#REF!</v>
          </cell>
          <cell r="J154" t="e">
            <v>#REF!</v>
          </cell>
        </row>
        <row r="155">
          <cell r="J155">
            <v>4367</v>
          </cell>
        </row>
        <row r="157">
          <cell r="J157">
            <v>6150</v>
          </cell>
        </row>
        <row r="158">
          <cell r="J158">
            <v>496</v>
          </cell>
        </row>
        <row r="159">
          <cell r="J159">
            <v>-2362</v>
          </cell>
        </row>
        <row r="162">
          <cell r="J162" t="str">
            <v>Value</v>
          </cell>
        </row>
        <row r="163">
          <cell r="J163">
            <v>59756</v>
          </cell>
        </row>
        <row r="165">
          <cell r="I165">
            <v>25580</v>
          </cell>
          <cell r="J165">
            <v>25580</v>
          </cell>
        </row>
        <row r="168">
          <cell r="J168" t="e">
            <v>#REF!</v>
          </cell>
        </row>
        <row r="169">
          <cell r="J169" t="e">
            <v>#REF!</v>
          </cell>
        </row>
        <row r="170">
          <cell r="J170" t="e">
            <v>#REF!</v>
          </cell>
        </row>
        <row r="171">
          <cell r="J171" t="e">
            <v>#REF!</v>
          </cell>
        </row>
        <row r="173">
          <cell r="J173" t="e">
            <v>#REF!</v>
          </cell>
        </row>
        <row r="174">
          <cell r="J174" t="e">
            <v>#REF!</v>
          </cell>
        </row>
      </sheetData>
      <sheetData sheetId="1"/>
      <sheetData sheetId="2"/>
      <sheetData sheetId="3"/>
      <sheetData sheetId="4">
        <row r="5">
          <cell r="E5">
            <v>3875</v>
          </cell>
        </row>
      </sheetData>
      <sheetData sheetId="5"/>
      <sheetData sheetId="6">
        <row r="1">
          <cell r="A1" t="str">
            <v>Verizon Communications</v>
          </cell>
        </row>
      </sheetData>
      <sheetData sheetId="7">
        <row r="1">
          <cell r="A1" t="str">
            <v>Verizon Communications</v>
          </cell>
        </row>
      </sheetData>
      <sheetData sheetId="8">
        <row r="1">
          <cell r="A1" t="str">
            <v>Verizon Communications</v>
          </cell>
        </row>
      </sheetData>
      <sheetData sheetId="9">
        <row r="1">
          <cell r="A1" t="str">
            <v>Verizon Communications</v>
          </cell>
        </row>
      </sheetData>
      <sheetData sheetId="10">
        <row r="1">
          <cell r="A1" t="str">
            <v>Verizon Communications</v>
          </cell>
        </row>
      </sheetData>
      <sheetData sheetId="11">
        <row r="9">
          <cell r="O9">
            <v>19998000</v>
          </cell>
        </row>
      </sheetData>
      <sheetData sheetId="12">
        <row r="11">
          <cell r="W11">
            <v>9545.3279999999995</v>
          </cell>
        </row>
      </sheetData>
      <sheetData sheetId="13">
        <row r="108">
          <cell r="CN108">
            <v>1465</v>
          </cell>
        </row>
      </sheetData>
      <sheetData sheetId="14"/>
      <sheetData sheetId="15"/>
      <sheetData sheetId="16"/>
      <sheetData sheetId="17"/>
      <sheetData sheetId="18"/>
      <sheetData sheetId="19"/>
      <sheetData sheetId="20"/>
      <sheetData sheetId="21">
        <row r="22">
          <cell r="AS22">
            <v>61650</v>
          </cell>
        </row>
      </sheetData>
      <sheetData sheetId="22"/>
      <sheetData sheetId="23"/>
      <sheetData sheetId="24">
        <row r="5">
          <cell r="S5">
            <v>68808.971877583681</v>
          </cell>
        </row>
      </sheetData>
      <sheetData sheetId="25">
        <row r="1">
          <cell r="B1" t="str">
            <v>Scenario</v>
          </cell>
        </row>
      </sheetData>
      <sheetData sheetId="26">
        <row r="2">
          <cell r="D2">
            <v>1998</v>
          </cell>
        </row>
      </sheetData>
      <sheetData sheetId="27"/>
      <sheetData sheetId="28"/>
      <sheetData sheetId="29"/>
      <sheetData sheetId="30"/>
      <sheetData sheetId="31">
        <row r="2">
          <cell r="H2">
            <v>2000</v>
          </cell>
        </row>
        <row r="3">
          <cell r="H3" t="e">
            <v>#REF!</v>
          </cell>
        </row>
        <row r="4">
          <cell r="H4" t="e">
            <v>#REF!</v>
          </cell>
        </row>
        <row r="6">
          <cell r="H6" t="str">
            <v>local exchange services, value-added services such as caller ID and call waiting, wholesale revenues from UNE platforms, certain data transport revenues, and wireless interconnection revenues</v>
          </cell>
        </row>
        <row r="7">
          <cell r="H7" t="str">
            <v>usage-based switched access services, dedicated transport for special access, DSL revenues, and other access line related charges, such as subscriber line charges (SLC)</v>
          </cell>
        </row>
        <row r="8">
          <cell r="H8" t="str">
            <v>includes both intraLATA toll services and interLATA long-distance voice and data services</v>
          </cell>
        </row>
        <row r="9">
          <cell r="H9" t="str">
            <v>public (coin) telephone services, billing and collection for other carriers, collocation for CLECs, data solutions and systems integration, telephone equipment sales, inventory management and purchasing services</v>
          </cell>
        </row>
        <row r="13">
          <cell r="H13">
            <v>21576</v>
          </cell>
        </row>
        <row r="14">
          <cell r="H14">
            <v>4.7378640776698955E-2</v>
          </cell>
        </row>
        <row r="16">
          <cell r="H16">
            <v>0.50980577477434907</v>
          </cell>
        </row>
        <row r="17">
          <cell r="H17" t="e">
            <v>#REF!</v>
          </cell>
        </row>
        <row r="18">
          <cell r="H18">
            <v>12698</v>
          </cell>
        </row>
        <row r="19">
          <cell r="H19">
            <v>-1.0056911202931285E-2</v>
          </cell>
        </row>
        <row r="21">
          <cell r="H21">
            <v>0.30003307972213034</v>
          </cell>
        </row>
        <row r="22">
          <cell r="H22" t="e">
            <v>#REF!</v>
          </cell>
        </row>
        <row r="23">
          <cell r="H23">
            <v>3111</v>
          </cell>
        </row>
        <row r="24">
          <cell r="H24">
            <v>-2.2620169651272337E-2</v>
          </cell>
        </row>
        <row r="26">
          <cell r="H26">
            <v>7.3507868248192429E-2</v>
          </cell>
        </row>
        <row r="27">
          <cell r="H27" t="e">
            <v>#REF!</v>
          </cell>
        </row>
        <row r="28">
          <cell r="H28">
            <v>4937</v>
          </cell>
        </row>
        <row r="29">
          <cell r="H29">
            <v>-3.4422061412086813E-2</v>
          </cell>
        </row>
        <row r="31">
          <cell r="H31">
            <v>0.1166532772553282</v>
          </cell>
        </row>
        <row r="32">
          <cell r="H32" t="e">
            <v>#REF!</v>
          </cell>
        </row>
        <row r="33">
          <cell r="H33">
            <v>42322</v>
          </cell>
        </row>
        <row r="34">
          <cell r="H34">
            <v>1.4356589890468063E-2</v>
          </cell>
        </row>
        <row r="36">
          <cell r="H36" t="e">
            <v>#REF!</v>
          </cell>
        </row>
        <row r="45">
          <cell r="H45">
            <v>24200</v>
          </cell>
        </row>
        <row r="46">
          <cell r="H46">
            <v>2.1484952091511467E-2</v>
          </cell>
        </row>
        <row r="47">
          <cell r="H47">
            <v>0.5718066253957752</v>
          </cell>
        </row>
        <row r="48">
          <cell r="H48">
            <v>8550</v>
          </cell>
        </row>
        <row r="49">
          <cell r="H49">
            <v>4.2682926829268331E-2</v>
          </cell>
        </row>
        <row r="50">
          <cell r="H50">
            <v>0.20202258872454043</v>
          </cell>
        </row>
        <row r="51">
          <cell r="H51" t="e">
            <v>#REF!</v>
          </cell>
        </row>
        <row r="52">
          <cell r="H52" t="e">
            <v>#REF!</v>
          </cell>
        </row>
        <row r="53">
          <cell r="H53">
            <v>32750</v>
          </cell>
        </row>
        <row r="54">
          <cell r="H54">
            <v>2.693549904361725E-2</v>
          </cell>
        </row>
        <row r="55">
          <cell r="H55">
            <v>0.77382921412031569</v>
          </cell>
        </row>
        <row r="58">
          <cell r="H58">
            <v>9572</v>
          </cell>
        </row>
        <row r="59">
          <cell r="H59">
            <v>-2.644426362896668E-2</v>
          </cell>
        </row>
        <row r="60">
          <cell r="H60">
            <v>0.22617078587968434</v>
          </cell>
        </row>
        <row r="65">
          <cell r="H65">
            <v>18122</v>
          </cell>
        </row>
        <row r="66">
          <cell r="H66">
            <v>4.991126885536934E-3</v>
          </cell>
        </row>
        <row r="67">
          <cell r="H67">
            <v>0.42819337460422474</v>
          </cell>
        </row>
        <row r="72">
          <cell r="H72">
            <v>42322</v>
          </cell>
        </row>
        <row r="73">
          <cell r="H73">
            <v>1.4356589890468063E-2</v>
          </cell>
        </row>
        <row r="74">
          <cell r="H74">
            <v>0</v>
          </cell>
        </row>
        <row r="75">
          <cell r="H75" t="e">
            <v>#REF!</v>
          </cell>
        </row>
        <row r="77">
          <cell r="H77">
            <v>16810.786305147056</v>
          </cell>
        </row>
        <row r="80">
          <cell r="H80">
            <v>64.796431950150534</v>
          </cell>
        </row>
        <row r="83">
          <cell r="H83">
            <v>263552</v>
          </cell>
        </row>
        <row r="84">
          <cell r="H84">
            <v>3.2209550068931003E-2</v>
          </cell>
        </row>
        <row r="85">
          <cell r="H85" t="str">
            <v>NA</v>
          </cell>
        </row>
        <row r="86">
          <cell r="H86">
            <v>8224</v>
          </cell>
        </row>
        <row r="87">
          <cell r="H87">
            <v>259440</v>
          </cell>
        </row>
        <row r="89">
          <cell r="H89">
            <v>163128.27628738823</v>
          </cell>
        </row>
        <row r="90">
          <cell r="H90">
            <v>-1.2728059933090341E-3</v>
          </cell>
        </row>
        <row r="92">
          <cell r="H92" t="str">
            <v>NA</v>
          </cell>
        </row>
        <row r="98">
          <cell r="H98" t="e">
            <v>#REF!</v>
          </cell>
        </row>
        <row r="99">
          <cell r="H99" t="e">
            <v>#REF!</v>
          </cell>
        </row>
        <row r="100">
          <cell r="H100" t="e">
            <v>#REF!</v>
          </cell>
        </row>
        <row r="101">
          <cell r="H101" t="e">
            <v>#REF!</v>
          </cell>
        </row>
        <row r="102">
          <cell r="H102" t="e">
            <v>#REF!</v>
          </cell>
        </row>
        <row r="103">
          <cell r="H103" t="e">
            <v>#REF!</v>
          </cell>
        </row>
        <row r="104">
          <cell r="H104" t="e">
            <v>#REF!</v>
          </cell>
        </row>
        <row r="106">
          <cell r="H106" t="str">
            <v>NA</v>
          </cell>
        </row>
        <row r="110">
          <cell r="H110" t="str">
            <v>NA</v>
          </cell>
        </row>
        <row r="112">
          <cell r="H112">
            <v>0</v>
          </cell>
        </row>
        <row r="113">
          <cell r="H113">
            <v>0</v>
          </cell>
        </row>
        <row r="115">
          <cell r="H115" t="str">
            <v>NA</v>
          </cell>
        </row>
        <row r="121">
          <cell r="H121">
            <v>21576</v>
          </cell>
        </row>
        <row r="122">
          <cell r="H122">
            <v>4.7378640776698955E-2</v>
          </cell>
        </row>
        <row r="124">
          <cell r="H124" t="e">
            <v>#REF!</v>
          </cell>
        </row>
        <row r="125">
          <cell r="H125">
            <v>3111</v>
          </cell>
        </row>
        <row r="126">
          <cell r="H126">
            <v>-2.2620169651272337E-2</v>
          </cell>
        </row>
        <row r="128">
          <cell r="H128" t="e">
            <v>#REF!</v>
          </cell>
        </row>
        <row r="129">
          <cell r="H129">
            <v>24687</v>
          </cell>
        </row>
        <row r="130">
          <cell r="H130">
            <v>3.8010343522684176E-2</v>
          </cell>
        </row>
        <row r="132">
          <cell r="H132" t="e">
            <v>#REF!</v>
          </cell>
        </row>
        <row r="133">
          <cell r="H133">
            <v>33.36117147212402</v>
          </cell>
        </row>
        <row r="137">
          <cell r="H137">
            <v>21576</v>
          </cell>
        </row>
        <row r="138">
          <cell r="H138">
            <v>4.7378640776698955E-2</v>
          </cell>
        </row>
        <row r="142">
          <cell r="H142">
            <v>10784.493</v>
          </cell>
        </row>
        <row r="143">
          <cell r="H143">
            <v>-4.5708018274951412E-3</v>
          </cell>
        </row>
        <row r="144">
          <cell r="H144">
            <v>22.998381400824016</v>
          </cell>
        </row>
        <row r="145">
          <cell r="H145">
            <v>8.8983790050176648E-3</v>
          </cell>
        </row>
        <row r="146">
          <cell r="H146">
            <v>39077</v>
          </cell>
        </row>
        <row r="154">
          <cell r="H154">
            <v>10791.507</v>
          </cell>
        </row>
        <row r="155">
          <cell r="H155">
            <v>0.10500936979909836</v>
          </cell>
        </row>
        <row r="156">
          <cell r="H156">
            <v>40.990576142941798</v>
          </cell>
        </row>
        <row r="157">
          <cell r="H157">
            <v>9.3025314264005399E-2</v>
          </cell>
        </row>
        <row r="158">
          <cell r="H158">
            <v>21939</v>
          </cell>
        </row>
        <row r="161">
          <cell r="H161">
            <v>3111</v>
          </cell>
        </row>
        <row r="162">
          <cell r="H162">
            <v>-2.2620169651272337E-2</v>
          </cell>
        </row>
        <row r="165">
          <cell r="H165">
            <v>5350</v>
          </cell>
        </row>
        <row r="166">
          <cell r="H166">
            <v>1908</v>
          </cell>
        </row>
        <row r="167">
          <cell r="H167">
            <v>8.7681919496525498E-2</v>
          </cell>
        </row>
        <row r="169">
          <cell r="H169">
            <v>4396</v>
          </cell>
        </row>
        <row r="170">
          <cell r="H170">
            <v>0.41875100855252545</v>
          </cell>
        </row>
        <row r="173">
          <cell r="H173">
            <v>48.457943925233643</v>
          </cell>
        </row>
        <row r="175">
          <cell r="H175">
            <v>259.25</v>
          </cell>
        </row>
        <row r="176">
          <cell r="H176">
            <v>-2.2620169651272337E-2</v>
          </cell>
        </row>
        <row r="180">
          <cell r="H180">
            <v>144.6765</v>
          </cell>
        </row>
        <row r="182">
          <cell r="H182">
            <v>5079</v>
          </cell>
        </row>
        <row r="184">
          <cell r="H184">
            <v>785</v>
          </cell>
        </row>
        <row r="186">
          <cell r="H186">
            <v>12682.3235</v>
          </cell>
        </row>
        <row r="188">
          <cell r="H188">
            <v>12827</v>
          </cell>
        </row>
        <row r="189">
          <cell r="H189">
            <v>-8.88579817647972E-3</v>
          </cell>
        </row>
        <row r="193">
          <cell r="H193">
            <v>144.6765</v>
          </cell>
        </row>
        <row r="196">
          <cell r="H196">
            <v>540</v>
          </cell>
        </row>
        <row r="199">
          <cell r="H199">
            <v>453</v>
          </cell>
        </row>
        <row r="201">
          <cell r="H201">
            <v>313.5</v>
          </cell>
        </row>
        <row r="203">
          <cell r="H203">
            <v>38.457336523125996</v>
          </cell>
        </row>
        <row r="209">
          <cell r="H209">
            <v>5079</v>
          </cell>
        </row>
        <row r="210">
          <cell r="H210" t="e">
            <v>#DIV/0!</v>
          </cell>
        </row>
        <row r="212">
          <cell r="H212">
            <v>785</v>
          </cell>
        </row>
        <row r="213">
          <cell r="H213" t="e">
            <v>#DIV/0!</v>
          </cell>
        </row>
        <row r="215">
          <cell r="H215">
            <v>5864</v>
          </cell>
        </row>
        <row r="216">
          <cell r="H216">
            <v>0.26871484205971452</v>
          </cell>
        </row>
        <row r="217">
          <cell r="H217" t="e">
            <v>#REF!</v>
          </cell>
        </row>
        <row r="221">
          <cell r="H221">
            <v>12682.3235</v>
          </cell>
        </row>
        <row r="222">
          <cell r="H222">
            <v>-2.0064634523257574E-2</v>
          </cell>
        </row>
        <row r="224">
          <cell r="H224">
            <v>17.0415108144561</v>
          </cell>
        </row>
        <row r="225">
          <cell r="H225">
            <v>-2.7251285341171716E-2</v>
          </cell>
        </row>
        <row r="227">
          <cell r="H227">
            <v>72587</v>
          </cell>
        </row>
        <row r="228">
          <cell r="H228">
            <v>-0.73682722114460786</v>
          </cell>
        </row>
        <row r="230">
          <cell r="H230">
            <v>98.09160099028098</v>
          </cell>
        </row>
        <row r="232">
          <cell r="H232">
            <v>7.2802816860982431E-2</v>
          </cell>
        </row>
        <row r="233">
          <cell r="H233">
            <v>0.50764328143411608</v>
          </cell>
        </row>
      </sheetData>
      <sheetData sheetId="32">
        <row r="2">
          <cell r="G2">
            <v>1999</v>
          </cell>
        </row>
        <row r="6">
          <cell r="G6">
            <v>42983</v>
          </cell>
        </row>
        <row r="7">
          <cell r="G7">
            <v>11968</v>
          </cell>
        </row>
        <row r="8">
          <cell r="G8">
            <v>1957</v>
          </cell>
        </row>
        <row r="9">
          <cell r="G9">
            <v>4086</v>
          </cell>
        </row>
        <row r="10">
          <cell r="G10">
            <v>-278</v>
          </cell>
        </row>
        <row r="11">
          <cell r="G11">
            <v>60716</v>
          </cell>
        </row>
        <row r="12">
          <cell r="G12">
            <v>0</v>
          </cell>
        </row>
        <row r="19">
          <cell r="G19">
            <v>34624</v>
          </cell>
        </row>
        <row r="20">
          <cell r="G20">
            <v>11270</v>
          </cell>
        </row>
        <row r="21">
          <cell r="G21">
            <v>45894</v>
          </cell>
        </row>
        <row r="22">
          <cell r="G22">
            <v>0</v>
          </cell>
        </row>
        <row r="27">
          <cell r="G27">
            <v>14822</v>
          </cell>
        </row>
        <row r="28">
          <cell r="G28">
            <v>620</v>
          </cell>
        </row>
        <row r="29">
          <cell r="G29">
            <v>136</v>
          </cell>
        </row>
        <row r="30">
          <cell r="G30">
            <v>2714</v>
          </cell>
        </row>
        <row r="31">
          <cell r="G31">
            <v>-538</v>
          </cell>
        </row>
        <row r="32">
          <cell r="G32">
            <v>12326</v>
          </cell>
        </row>
        <row r="33">
          <cell r="G33">
            <v>4423</v>
          </cell>
        </row>
        <row r="35">
          <cell r="G35">
            <v>7903</v>
          </cell>
        </row>
        <row r="40">
          <cell r="G40">
            <v>2.85</v>
          </cell>
        </row>
        <row r="41">
          <cell r="G41">
            <v>2777</v>
          </cell>
        </row>
        <row r="42">
          <cell r="G42">
            <v>-4.1231544832553979E-3</v>
          </cell>
        </row>
        <row r="50">
          <cell r="G50">
            <v>2033</v>
          </cell>
        </row>
        <row r="51">
          <cell r="G51">
            <v>1035</v>
          </cell>
        </row>
        <row r="52">
          <cell r="G52">
            <v>11998</v>
          </cell>
        </row>
        <row r="53">
          <cell r="G53">
            <v>1366</v>
          </cell>
        </row>
        <row r="54">
          <cell r="G54">
            <v>1802</v>
          </cell>
        </row>
        <row r="55">
          <cell r="G55">
            <v>1761</v>
          </cell>
        </row>
        <row r="56">
          <cell r="G56">
            <v>19995</v>
          </cell>
        </row>
        <row r="57">
          <cell r="G57">
            <v>0</v>
          </cell>
        </row>
        <row r="58">
          <cell r="G58">
            <v>142989</v>
          </cell>
        </row>
        <row r="59">
          <cell r="G59">
            <v>80816</v>
          </cell>
        </row>
        <row r="60">
          <cell r="G60">
            <v>62173</v>
          </cell>
        </row>
        <row r="61">
          <cell r="G61">
            <v>10177</v>
          </cell>
        </row>
        <row r="62">
          <cell r="G62">
            <v>8645</v>
          </cell>
        </row>
        <row r="63">
          <cell r="G63">
            <v>11840</v>
          </cell>
        </row>
        <row r="64">
          <cell r="G64">
            <v>112830</v>
          </cell>
        </row>
        <row r="65">
          <cell r="G65">
            <v>0</v>
          </cell>
        </row>
        <row r="69">
          <cell r="G69">
            <v>15063</v>
          </cell>
        </row>
        <row r="70">
          <cell r="G70">
            <v>10878</v>
          </cell>
        </row>
        <row r="71">
          <cell r="G71">
            <v>3809</v>
          </cell>
        </row>
        <row r="72">
          <cell r="G72">
            <v>29750</v>
          </cell>
        </row>
        <row r="73">
          <cell r="G73">
            <v>0</v>
          </cell>
        </row>
        <row r="74">
          <cell r="G74">
            <v>32419</v>
          </cell>
        </row>
        <row r="75">
          <cell r="G75">
            <v>13744</v>
          </cell>
        </row>
        <row r="76">
          <cell r="G76">
            <v>7288</v>
          </cell>
        </row>
        <row r="77">
          <cell r="G77">
            <v>1353</v>
          </cell>
        </row>
        <row r="78">
          <cell r="G78">
            <v>84554</v>
          </cell>
        </row>
        <row r="80">
          <cell r="G80">
            <v>1900</v>
          </cell>
        </row>
        <row r="83">
          <cell r="G83">
            <v>276</v>
          </cell>
        </row>
        <row r="84">
          <cell r="G84">
            <v>20134</v>
          </cell>
        </row>
        <row r="85">
          <cell r="G85">
            <v>7428</v>
          </cell>
        </row>
        <row r="86">
          <cell r="G86">
            <v>75</v>
          </cell>
        </row>
        <row r="87">
          <cell r="G87">
            <v>27913</v>
          </cell>
        </row>
        <row r="88">
          <cell r="G88">
            <v>640</v>
          </cell>
        </row>
        <row r="89">
          <cell r="G89">
            <v>897</v>
          </cell>
        </row>
        <row r="90">
          <cell r="G90">
            <v>26376</v>
          </cell>
        </row>
        <row r="91">
          <cell r="G91">
            <v>0</v>
          </cell>
        </row>
        <row r="92">
          <cell r="G92">
            <v>112830</v>
          </cell>
        </row>
        <row r="93">
          <cell r="G93">
            <v>0</v>
          </cell>
        </row>
        <row r="97">
          <cell r="G97">
            <v>1.54</v>
          </cell>
        </row>
        <row r="98">
          <cell r="G98">
            <v>2733</v>
          </cell>
        </row>
        <row r="101">
          <cell r="G101">
            <v>10087</v>
          </cell>
        </row>
        <row r="102">
          <cell r="G102">
            <v>1497</v>
          </cell>
        </row>
        <row r="103">
          <cell r="G103">
            <v>521</v>
          </cell>
        </row>
        <row r="104">
          <cell r="G104">
            <v>50</v>
          </cell>
        </row>
        <row r="105">
          <cell r="G105">
            <v>858</v>
          </cell>
        </row>
        <row r="106">
          <cell r="G106">
            <v>13013</v>
          </cell>
        </row>
        <row r="108">
          <cell r="G108">
            <v>255328</v>
          </cell>
        </row>
        <row r="113">
          <cell r="G113">
            <v>21145</v>
          </cell>
        </row>
        <row r="114">
          <cell r="G114">
            <v>13381</v>
          </cell>
        </row>
        <row r="115">
          <cell r="G115">
            <v>3253</v>
          </cell>
        </row>
        <row r="116">
          <cell r="G116">
            <v>5204</v>
          </cell>
        </row>
        <row r="117">
          <cell r="G117">
            <v>42983</v>
          </cell>
        </row>
        <row r="118">
          <cell r="G118">
            <v>0</v>
          </cell>
        </row>
        <row r="121">
          <cell r="G121">
            <v>24178</v>
          </cell>
        </row>
        <row r="122">
          <cell r="G122">
            <v>8200</v>
          </cell>
        </row>
        <row r="123">
          <cell r="G123">
            <v>32378</v>
          </cell>
        </row>
        <row r="124">
          <cell r="G124">
            <v>0</v>
          </cell>
        </row>
        <row r="126">
          <cell r="G126">
            <v>10605</v>
          </cell>
        </row>
        <row r="127">
          <cell r="G127">
            <v>0.24672544959635204</v>
          </cell>
        </row>
        <row r="129">
          <cell r="G129">
            <v>18805</v>
          </cell>
        </row>
        <row r="130">
          <cell r="G130">
            <v>0.43749854593676568</v>
          </cell>
        </row>
        <row r="134">
          <cell r="G134">
            <v>40882</v>
          </cell>
        </row>
        <row r="135">
          <cell r="G135">
            <v>22147</v>
          </cell>
        </row>
        <row r="136">
          <cell r="G136">
            <v>710</v>
          </cell>
        </row>
        <row r="137">
          <cell r="G137">
            <v>63739</v>
          </cell>
        </row>
        <row r="138">
          <cell r="G138">
            <v>28926</v>
          </cell>
        </row>
        <row r="139">
          <cell r="G139">
            <v>92665</v>
          </cell>
        </row>
        <row r="141">
          <cell r="G141">
            <v>1236</v>
          </cell>
        </row>
        <row r="142">
          <cell r="G142">
            <v>1785</v>
          </cell>
        </row>
        <row r="144">
          <cell r="G144">
            <v>275815</v>
          </cell>
        </row>
        <row r="145">
          <cell r="G145">
            <v>3442</v>
          </cell>
        </row>
        <row r="149">
          <cell r="G149">
            <v>2769</v>
          </cell>
        </row>
        <row r="150">
          <cell r="G150">
            <v>1231</v>
          </cell>
        </row>
        <row r="151">
          <cell r="G151">
            <v>690</v>
          </cell>
        </row>
        <row r="152">
          <cell r="G152">
            <v>4690</v>
          </cell>
        </row>
        <row r="155">
          <cell r="G155">
            <v>1447</v>
          </cell>
        </row>
        <row r="156">
          <cell r="G156">
            <v>1119</v>
          </cell>
        </row>
        <row r="157">
          <cell r="G157">
            <v>1357</v>
          </cell>
        </row>
        <row r="162">
          <cell r="G162">
            <v>9946</v>
          </cell>
        </row>
        <row r="163">
          <cell r="G163">
            <v>961</v>
          </cell>
        </row>
        <row r="164">
          <cell r="G164">
            <v>1061</v>
          </cell>
        </row>
        <row r="165">
          <cell r="G165">
            <v>11968</v>
          </cell>
        </row>
        <row r="166">
          <cell r="G166">
            <v>0</v>
          </cell>
        </row>
        <row r="169">
          <cell r="G169">
            <v>7902</v>
          </cell>
        </row>
        <row r="170">
          <cell r="G170">
            <v>2648</v>
          </cell>
        </row>
        <row r="171">
          <cell r="G171">
            <v>10550</v>
          </cell>
        </row>
        <row r="172">
          <cell r="G172">
            <v>0</v>
          </cell>
        </row>
        <row r="174">
          <cell r="G174">
            <v>1418</v>
          </cell>
        </row>
        <row r="175">
          <cell r="G175">
            <v>0.11848262032085562</v>
          </cell>
        </row>
        <row r="177">
          <cell r="G177">
            <v>4066</v>
          </cell>
        </row>
        <row r="178">
          <cell r="G178">
            <v>0.33973930481283421</v>
          </cell>
        </row>
        <row r="182">
          <cell r="G182">
            <v>23999</v>
          </cell>
        </row>
        <row r="183">
          <cell r="G183">
            <v>0.1</v>
          </cell>
        </row>
        <row r="184">
          <cell r="G184">
            <v>3004</v>
          </cell>
        </row>
        <row r="185">
          <cell r="G185" t="str">
            <v>NA</v>
          </cell>
        </row>
        <row r="189">
          <cell r="G189">
            <v>964</v>
          </cell>
        </row>
        <row r="190">
          <cell r="G190">
            <v>993</v>
          </cell>
        </row>
        <row r="191">
          <cell r="G191">
            <v>1957</v>
          </cell>
        </row>
        <row r="192">
          <cell r="G192">
            <v>0</v>
          </cell>
        </row>
        <row r="195">
          <cell r="G195">
            <v>1340</v>
          </cell>
        </row>
        <row r="196">
          <cell r="G196">
            <v>310</v>
          </cell>
        </row>
        <row r="197">
          <cell r="G197">
            <v>1650</v>
          </cell>
        </row>
        <row r="198">
          <cell r="G198">
            <v>0</v>
          </cell>
        </row>
        <row r="200">
          <cell r="G200">
            <v>307</v>
          </cell>
        </row>
        <row r="201">
          <cell r="G201">
            <v>0.15687276443536025</v>
          </cell>
        </row>
        <row r="203">
          <cell r="G203">
            <v>617</v>
          </cell>
        </row>
        <row r="204">
          <cell r="G204">
            <v>0.31527848748083803</v>
          </cell>
        </row>
        <row r="206">
          <cell r="G206">
            <v>538</v>
          </cell>
        </row>
        <row r="209">
          <cell r="G209">
            <v>5522</v>
          </cell>
        </row>
        <row r="210">
          <cell r="G210">
            <v>1314</v>
          </cell>
        </row>
        <row r="211">
          <cell r="G211">
            <v>2160</v>
          </cell>
        </row>
        <row r="213">
          <cell r="G213">
            <v>4033</v>
          </cell>
        </row>
        <row r="214">
          <cell r="G214">
            <v>5591</v>
          </cell>
        </row>
        <row r="218">
          <cell r="G218">
            <v>4086</v>
          </cell>
        </row>
        <row r="221">
          <cell r="G221">
            <v>2007</v>
          </cell>
        </row>
        <row r="222">
          <cell r="G222">
            <v>76</v>
          </cell>
        </row>
        <row r="223">
          <cell r="G223">
            <v>2083</v>
          </cell>
        </row>
        <row r="224">
          <cell r="G224">
            <v>0</v>
          </cell>
        </row>
        <row r="226">
          <cell r="G226">
            <v>2003</v>
          </cell>
        </row>
        <row r="227">
          <cell r="G227">
            <v>0.49021047479197261</v>
          </cell>
        </row>
        <row r="229">
          <cell r="G229">
            <v>2079</v>
          </cell>
        </row>
        <row r="230">
          <cell r="G230">
            <v>0.50881057268722463</v>
          </cell>
        </row>
      </sheetData>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ore"/>
      <sheetName val="TABLE"/>
      <sheetName val="Management"/>
      <sheetName val="BBI"/>
      <sheetName val="Disclaimer"/>
      <sheetName val="IndexInformation"/>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GWP"/>
      <sheetName val="Sheet1"/>
      <sheetName val="Scenario"/>
      <sheetName val="ImportantDisclosures"/>
      <sheetName val="IndexInformation"/>
      <sheetName val="Income"/>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Income Statement"/>
      <sheetName val="Margins"/>
      <sheetName val="Comps"/>
      <sheetName val="Switches"/>
      <sheetName val="SSB Nielsen Sales"/>
      <sheetName val="EBITDA"/>
      <sheetName val="GWP-WLine"/>
      <sheetName val="TS_Stnd_Dev_Band"/>
      <sheetName val="Print "/>
      <sheetName val="Lookup"/>
      <sheetName val="Input"/>
      <sheetName val="99 cons YTD"/>
      <sheetName val="KPN"/>
      <sheetName val="Realizations vs Average"/>
      <sheetName val="summary"/>
      <sheetName val="B"/>
      <sheetName val="Ratios"/>
      <sheetName val="C"/>
      <sheetName val="Oil Consumption – barrels"/>
      <sheetName val="rev change analysis"/>
      <sheetName val="SOP"/>
      <sheetName val="O1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wnership"/>
      <sheetName val="Acq summary"/>
      <sheetName val="Transaction Summary"/>
      <sheetName val="Scenario"/>
      <sheetName val="FX"/>
      <sheetName val="AITDATA"/>
      <sheetName val="FMV 05"/>
      <sheetName val="FCF"/>
      <sheetName val="DIRECTV US FCF"/>
      <sheetName val="Rev and OCF"/>
      <sheetName val="DIRECTV US"/>
      <sheetName val="Scorecard"/>
      <sheetName val="FMV 0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TDATA"/>
      <sheetName val="Summary Stats"/>
      <sheetName val="EBS Strip"/>
      <sheetName val="Output"/>
      <sheetName val="EPS Calcs"/>
      <sheetName val="Cash Flow Statement"/>
      <sheetName val="SoftwareAccountingChange"/>
      <sheetName val="ModelBook IS A's"/>
      <sheetName val="ModelBook IS Q's"/>
      <sheetName val="ModelBook CF"/>
      <sheetName val="FASSTEST"/>
      <sheetName val="Annual"/>
      <sheetName val="INTEGRATION BREAKDOWN"/>
      <sheetName val="Calendarized"/>
      <sheetName val="PRODUCTS"/>
      <sheetName val="Data"/>
      <sheetName val="BLSDATA"/>
      <sheetName val="Consolidated"/>
      <sheetName val="FX"/>
      <sheetName val="Fam"/>
      <sheetName val="Transaction Summa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S"/>
      <sheetName val="Analysis"/>
      <sheetName val="Transaction Summary"/>
    </sheetNames>
    <sheetDataSet>
      <sheetData sheetId="0" refreshError="1"/>
      <sheetData sheetId="1" refreshError="1"/>
      <sheetData sheetId="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Combo Box"/>
      <sheetName val="MMD"/>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Model"/>
      <sheetName val="MATQTRS"/>
      <sheetName val="UNIV-EBS DATA"/>
      <sheetName val="Ratios"/>
      <sheetName val="MATINC"/>
      <sheetName val="MATBAL"/>
      <sheetName val="Macro1"/>
      <sheetName val="Macro2"/>
      <sheetName val="Quarterly"/>
      <sheetName val="Valuation"/>
      <sheetName val="Analysis"/>
      <sheetName val="MACRS"/>
      <sheetName val="FutureAcq"/>
      <sheetName val="Credit Output"/>
      <sheetName val="CalcsMO"/>
      <sheetName val=" Capital"/>
      <sheetName val="New Business"/>
      <sheetName val="LXK"/>
      <sheetName val="yearly"/>
      <sheetName val="OnAir"/>
      <sheetName val="RELPE"/>
      <sheetName val="SALESCAT"/>
      <sheetName val="MATCASH"/>
      <sheetName val="FinSum"/>
      <sheetName val="Aladdin Macro1"/>
      <sheetName val="DATA"/>
      <sheetName val="Scenario"/>
      <sheetName val="WY"/>
      <sheetName val="Gas"/>
      <sheetName val="Off Peak"/>
      <sheetName val="Peak"/>
      <sheetName val="changes in EST"/>
      <sheetName val="US peers EBIT Margins"/>
      <sheetName val="Sheet7"/>
      <sheetName val="Model (Euro)"/>
      <sheetName val="Monthly Spot"/>
      <sheetName val="NKEBALST"/>
      <sheetName val="NKEQTRIN"/>
      <sheetName val="main"/>
      <sheetName val="Sheet1"/>
      <sheetName val="DMK"/>
      <sheetName val="Cashflow Model"/>
      <sheetName val="premium detail - P&amp;C"/>
      <sheetName val="Monthly figures"/>
      <sheetName val="Annual"/>
      <sheetName val="Sainsbury"/>
      <sheetName val="単独"/>
      <sheetName val="ｾｸﾞﾒﾝﾄ"/>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TDATA"/>
      <sheetName val="Financials"/>
      <sheetName val="WACC"/>
      <sheetName val="GAAP Financial Statements"/>
      <sheetName val="MultipleSecurities"/>
      <sheetName val="Analysis"/>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TEDATA"/>
      <sheetName val="AITDATA"/>
    </sheetNames>
    <sheetDataSet>
      <sheetData sheetId="0" refreshError="1"/>
      <sheetData sheetId="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gust 2+1"/>
      <sheetName val="GWP-WLine"/>
      <sheetName val="Forward Curves"/>
      <sheetName val="monthly"/>
      <sheetName val="DISH buys DTV"/>
      <sheetName val="Inputs"/>
      <sheetName val="Synergies"/>
      <sheetName val="FCF and EPS Accretion"/>
      <sheetName val="Accruals"/>
      <sheetName val="Customer_Pivot"/>
      <sheetName val="Analysis"/>
      <sheetName val="Broadcast Comps"/>
      <sheetName val="GTE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__FDSCACHE__"/>
      <sheetName val="MW-Cache"/>
      <sheetName val="Valuation"/>
      <sheetName val="MWA RR"/>
      <sheetName val="Proforma IS"/>
      <sheetName val="BS"/>
      <sheetName val="CFS"/>
      <sheetName val="Capex"/>
      <sheetName val="Segments"/>
      <sheetName val="Wireline"/>
      <sheetName val="Wireless"/>
      <sheetName val="Directory"/>
      <sheetName val="Other"/>
      <sheetName val="U-verse"/>
      <sheetName val="Connections"/>
      <sheetName val="Pension"/>
      <sheetName val="Inputs"/>
      <sheetName val="Global links"/>
      <sheetName val="BLS"/>
      <sheetName val="OLD AT&amp;T"/>
      <sheetName val="Links"/>
      <sheetName val="Wireless Links"/>
      <sheetName val="SBC IS"/>
      <sheetName val="OLD Capex"/>
      <sheetName val="OLD Wireless"/>
      <sheetName val="mwareDates"/>
      <sheetName val="mwareSetting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enues &amp; Access Lines"/>
      <sheetName val="Dial Equip Minutes"/>
      <sheetName val="Annual Rev Comparison"/>
      <sheetName val="Simon's Sheet"/>
      <sheetName val="COX&amp;T Comp"/>
      <sheetName val="Consol Expenses"/>
      <sheetName val="Breakout of consol exp"/>
      <sheetName val="LEC income statement"/>
      <sheetName val="Wireline Tel Forecast - CS"/>
      <sheetName val="Wireline Tel Forecast - IP"/>
      <sheetName val="RONTA CS"/>
      <sheetName val="RONTA IP"/>
      <sheetName val="RONTA HSD-Retail"/>
      <sheetName val="RONTA_Sum"/>
      <sheetName val="DVC"/>
      <sheetName val="RONTA DVC"/>
      <sheetName val="RONTA HSD-WS"/>
      <sheetName val="HSCDS-Retail"/>
      <sheetName val="HSCDS-Wholesale"/>
      <sheetName val="retail &amp; WS Summary "/>
      <sheetName val="CS &amp; IP Summary"/>
      <sheetName val="Staffing"/>
      <sheetName val="CapEx_Sub"/>
      <sheetName val="Sheet1"/>
      <sheetName val="HSCDS-Retail (2)"/>
      <sheetName val="c1"/>
      <sheetName val="Exclusion List"/>
      <sheetName val="GWP-W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5.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6.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7.vml" Type="http://schemas.openxmlformats.org/officeDocument/2006/relationships/vmlDrawing"/>
<Relationship Id="rId3" Target="../comments6.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8.vml" Type="http://schemas.openxmlformats.org/officeDocument/2006/relationships/vmlDrawing"/>
<Relationship Id="rId3" Target="../comments7.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9.vml" Type="http://schemas.openxmlformats.org/officeDocument/2006/relationships/vmlDrawing"/>
<Relationship Id="rId3" Target="../comments8.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3.xml" Type="http://schemas.openxmlformats.org/officeDocument/2006/relationships/drawing"/>
<Relationship Id="rId3" Target="../drawings/vmlDrawing10.vml" Type="http://schemas.openxmlformats.org/officeDocument/2006/relationships/vmlDrawing"/>
<Relationship Id="rId4" Target="../comments9.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11.vml" Type="http://schemas.openxmlformats.org/officeDocument/2006/relationships/vmlDrawing"/>
<Relationship Id="rId3" Target="../comments10.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2.vml" Type="http://schemas.openxmlformats.org/officeDocument/2006/relationships/vmlDrawing"/>
<Relationship Id="rId3" Target="../comments11.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4"/>
    <pageSetUpPr fitToPage="1"/>
  </sheetPr>
  <dimension ref="A1:AK73"/>
  <sheetViews>
    <sheetView showGridLines="0" zoomScale="70" zoomScaleNormal="70" workbookViewId="0"/>
  </sheetViews>
  <sheetFormatPr defaultRowHeight="18" customHeight="1" outlineLevelRow="1" outlineLevelCol="1"/>
  <cols>
    <col min="1" max="1" width="2.88671875" customWidth="1"/>
    <col min="2" max="2" width="10.109375" hidden="1" customWidth="1" outlineLevel="1"/>
    <col min="3" max="3" width="2.88671875" hidden="1" customWidth="1" outlineLevel="1"/>
    <col min="4" max="4" width="22.6640625" customWidth="1" collapsed="1"/>
    <col min="5" max="9" width="12.109375" hidden="1" customWidth="1" outlineLevel="1"/>
    <col min="10" max="10" width="12.109375" style="431" hidden="1" customWidth="1" outlineLevel="1"/>
    <col min="11" max="11" width="12.109375" style="437" hidden="1" customWidth="1" outlineLevel="1"/>
    <col min="12" max="12" width="12.109375" style="443" hidden="1" customWidth="1" outlineLevel="1"/>
    <col min="13" max="13" width="12.109375" style="450" hidden="1" customWidth="1" outlineLevel="1"/>
    <col min="14" max="14" width="12.109375" style="501" hidden="1" customWidth="1" outlineLevel="1"/>
    <col min="15" max="15" width="12.109375" style="475" hidden="1" customWidth="1" outlineLevel="1"/>
    <col min="16" max="16" width="12.109375" style="512" hidden="1" customWidth="1" outlineLevel="1"/>
    <col min="17" max="17" width="12.109375" hidden="1" customWidth="1" outlineLevel="1" collapsed="1"/>
    <col min="18" max="18" width="12.109375" customWidth="1" collapsed="1"/>
    <col min="19" max="20" width="12.109375" hidden="1" customWidth="1" outlineLevel="1"/>
    <col min="21" max="21" width="12.109375" customWidth="1" collapsed="1"/>
    <col min="22" max="22" width="12.109375" customWidth="1"/>
    <col min="23" max="24" width="12.109375" customWidth="1" outlineLevel="1"/>
    <col min="25" max="25" width="12.109375" customWidth="1"/>
    <col min="26" max="26" width="12.109375" style="444" hidden="1" customWidth="1" outlineLevel="1"/>
    <col min="27" max="27" width="12.109375" style="377" customWidth="1" collapsed="1"/>
    <col min="28" max="28" width="2.88671875" customWidth="1"/>
    <col min="29" max="29" width="11.44140625" style="444" customWidth="1"/>
    <col min="30" max="30" width="22.33203125" customWidth="1"/>
    <col min="31" max="31" width="31.6640625" customWidth="1"/>
    <col min="32" max="33" width="11.21875" customWidth="1"/>
    <col min="34" max="34" width="9.44140625" bestFit="1" customWidth="1"/>
  </cols>
  <sheetData>
    <row r="1" spans="1:37" ht="18" customHeight="1">
      <c r="AD1" s="359"/>
    </row>
    <row r="2" spans="1:37" ht="18" customHeight="1">
      <c r="B2" t="s">
        <v>412</v>
      </c>
      <c r="D2" s="390"/>
      <c r="E2" s="391"/>
      <c r="F2" s="391"/>
      <c r="G2" s="391"/>
      <c r="H2" s="391"/>
      <c r="I2" s="391"/>
      <c r="J2" s="391"/>
      <c r="K2" s="391"/>
      <c r="L2" s="391"/>
      <c r="M2" s="391"/>
      <c r="N2" s="391"/>
      <c r="O2" s="391"/>
      <c r="P2" s="391"/>
      <c r="Q2" s="391"/>
      <c r="R2" s="391"/>
      <c r="S2" s="391"/>
      <c r="T2" s="391"/>
      <c r="U2" s="392"/>
      <c r="V2" s="399" t="s">
        <v>413</v>
      </c>
      <c r="W2" s="391" t="s">
        <v>414</v>
      </c>
      <c r="X2" s="392" t="s">
        <v>415</v>
      </c>
      <c r="Y2" s="399" t="s">
        <v>416</v>
      </c>
      <c r="Z2" s="392" t="s">
        <v>415</v>
      </c>
      <c r="AA2" s="399"/>
      <c r="AD2" s="363"/>
      <c r="AE2" s="363"/>
      <c r="AF2" s="364"/>
      <c r="AG2" s="363"/>
      <c r="AH2" s="363"/>
    </row>
    <row r="3" spans="1:37" ht="18" customHeight="1">
      <c r="D3" s="365"/>
      <c r="E3" s="366" t="str">
        <f>'Income Statement'!AN6</f>
        <v>3Q13</v>
      </c>
      <c r="F3" s="366" t="str">
        <f>'Income Statement'!AO6</f>
        <v>4Q13</v>
      </c>
      <c r="G3" s="366" t="str">
        <f>'Income Statement'!AP6</f>
        <v>1Q14</v>
      </c>
      <c r="H3" s="366" t="str">
        <f>'Income Statement'!AQ6</f>
        <v>2Q14</v>
      </c>
      <c r="I3" s="366" t="str">
        <f>'Income Statement'!AR6</f>
        <v>3Q14</v>
      </c>
      <c r="J3" s="366" t="str">
        <f>'Income Statement'!AS6</f>
        <v>4Q14</v>
      </c>
      <c r="K3" s="366" t="str">
        <f>'Income Statement'!AT6</f>
        <v>1Q15</v>
      </c>
      <c r="L3" s="366" t="str">
        <f>'Income Statement'!AU6</f>
        <v>2Q15</v>
      </c>
      <c r="M3" s="366" t="s">
        <v>263</v>
      </c>
      <c r="N3" s="366" t="s">
        <v>264</v>
      </c>
      <c r="O3" s="366" t="s">
        <v>445</v>
      </c>
      <c r="P3" s="366" t="s">
        <v>447</v>
      </c>
      <c r="Q3" s="366" t="s">
        <v>450</v>
      </c>
      <c r="R3" s="366" t="s">
        <v>457</v>
      </c>
      <c r="S3" s="366" t="s">
        <v>460</v>
      </c>
      <c r="T3" s="366" t="s">
        <v>470</v>
      </c>
      <c r="U3" s="367" t="s">
        <v>484</v>
      </c>
      <c r="V3" s="381" t="s">
        <v>490</v>
      </c>
      <c r="W3" s="366" t="str">
        <f>+V3</f>
        <v>4Q17</v>
      </c>
      <c r="X3" s="367" t="s">
        <v>418</v>
      </c>
      <c r="Y3" s="381" t="str">
        <f>+V3</f>
        <v>4Q17</v>
      </c>
      <c r="Z3" s="367" t="s">
        <v>418</v>
      </c>
      <c r="AA3" s="404" t="s">
        <v>417</v>
      </c>
      <c r="AC3" s="512"/>
      <c r="AD3" s="363"/>
      <c r="AE3" s="363"/>
      <c r="AF3" s="364"/>
      <c r="AG3" s="363"/>
      <c r="AH3" s="363"/>
      <c r="AI3" s="512"/>
      <c r="AJ3" s="512"/>
      <c r="AK3" s="512"/>
    </row>
    <row r="4" spans="1:37" s="359" customFormat="1" ht="18" customHeight="1">
      <c r="D4" s="426" t="s">
        <v>419</v>
      </c>
      <c r="E4" s="427"/>
      <c r="F4" s="427"/>
      <c r="G4" s="427"/>
      <c r="H4" s="427"/>
      <c r="I4" s="427"/>
      <c r="J4" s="427"/>
      <c r="K4" s="427"/>
      <c r="L4" s="427"/>
      <c r="M4" s="427"/>
      <c r="N4" s="427"/>
      <c r="O4" s="427"/>
      <c r="P4" s="427"/>
      <c r="Q4" s="427"/>
      <c r="R4" s="427"/>
      <c r="S4" s="427"/>
      <c r="T4" s="427"/>
      <c r="U4" s="428"/>
      <c r="V4" s="429"/>
      <c r="W4" s="427"/>
      <c r="X4" s="428"/>
      <c r="Y4" s="429"/>
      <c r="Z4" s="428"/>
      <c r="AA4" s="429"/>
      <c r="AB4"/>
      <c r="AC4" s="512"/>
      <c r="AD4" s="430" t="s">
        <v>491</v>
      </c>
      <c r="AE4" s="513" t="s">
        <v>493</v>
      </c>
      <c r="AF4" s="427" t="s">
        <v>413</v>
      </c>
      <c r="AG4" s="427" t="s">
        <v>416</v>
      </c>
      <c r="AH4" s="512"/>
      <c r="AI4" s="512"/>
    </row>
    <row r="5" spans="1:37" ht="18" customHeight="1">
      <c r="B5" t="s">
        <v>420</v>
      </c>
      <c r="D5" s="30" t="s">
        <v>7</v>
      </c>
      <c r="E5" s="368"/>
      <c r="F5" s="368"/>
      <c r="G5" s="368">
        <f>'Income Statement'!AP60</f>
        <v>0.7155021000381826</v>
      </c>
      <c r="H5" s="368">
        <f>'Income Statement'!AQ60</f>
        <v>0.63161877394636023</v>
      </c>
      <c r="I5" s="368">
        <f>'Income Statement'!AR60</f>
        <v>0.65209627924817803</v>
      </c>
      <c r="J5" s="368">
        <f>'Income Statement'!AS60</f>
        <v>0.55568469505178364</v>
      </c>
      <c r="K5" s="368">
        <f>'Income Statement'!AT60</f>
        <v>0.64558344510442622</v>
      </c>
      <c r="L5" s="368">
        <f>'Income Statement'!AU60</f>
        <v>0.69932950191570886</v>
      </c>
      <c r="M5" s="368">
        <f>'Income Statement'!AV60</f>
        <v>0.73525828706040708</v>
      </c>
      <c r="N5" s="368">
        <f>'Income Statement'!AW60</f>
        <v>0.62507030871181501</v>
      </c>
      <c r="O5" s="368">
        <f>'Income Statement'!AX60</f>
        <v>0.71720193861066228</v>
      </c>
      <c r="P5" s="368">
        <f>'Income Statement'!AY60</f>
        <v>0.71589991928974983</v>
      </c>
      <c r="Q5" s="368">
        <f>'Income Statement'!AZ60</f>
        <v>0.73873000484730977</v>
      </c>
      <c r="R5" s="368">
        <f>'Income Statement'!BA60</f>
        <v>0.66295039586362903</v>
      </c>
      <c r="S5" s="368">
        <f>'Income Statement'!BB60</f>
        <v>0.73876495311994828</v>
      </c>
      <c r="T5" s="368">
        <f>'Income Statement'!BC60</f>
        <v>0.78897153945666232</v>
      </c>
      <c r="U5" s="378">
        <f>'Income Statement'!BD60</f>
        <v>0.73568424458104176</v>
      </c>
      <c r="V5" s="378">
        <v>0.63997984068909064</v>
      </c>
      <c r="W5" s="442">
        <v>0.78</v>
      </c>
      <c r="X5" s="382">
        <f>W5-V5</f>
        <v>0.14002015931090939</v>
      </c>
      <c r="Y5" s="461">
        <v>0.65</v>
      </c>
      <c r="Z5" s="382">
        <f>+Y5-V5</f>
        <v>1.0020159310909382E-2</v>
      </c>
      <c r="AA5" s="405" t="s">
        <v>421</v>
      </c>
      <c r="AC5" s="448">
        <v>2.8318318627477224</v>
      </c>
      <c r="AD5" s="144" t="s">
        <v>7</v>
      </c>
      <c r="AE5" s="413" t="s">
        <v>492</v>
      </c>
      <c r="AF5" s="361">
        <f ca="1">+'Income Statement'!I60</f>
        <v>3.4669803492150484</v>
      </c>
      <c r="AG5" s="411">
        <v>3.05</v>
      </c>
      <c r="AH5" s="512"/>
      <c r="AI5" s="512"/>
    </row>
    <row r="6" spans="1:37" ht="18" customHeight="1">
      <c r="B6" t="s">
        <v>420</v>
      </c>
      <c r="D6" s="393" t="s">
        <v>152</v>
      </c>
      <c r="E6" s="376"/>
      <c r="F6" s="376"/>
      <c r="G6" s="376">
        <f>'Income Statement'!AP13</f>
        <v>32476</v>
      </c>
      <c r="H6" s="376">
        <f>'Income Statement'!AQ13</f>
        <v>32575</v>
      </c>
      <c r="I6" s="376">
        <f>'Income Statement'!AR13</f>
        <v>32957</v>
      </c>
      <c r="J6" s="376">
        <f>'Income Statement'!AS13</f>
        <v>34439</v>
      </c>
      <c r="K6" s="376">
        <f>'Income Statement'!AT13</f>
        <v>32576</v>
      </c>
      <c r="L6" s="376">
        <f>'Income Statement'!AU13</f>
        <v>33015</v>
      </c>
      <c r="M6" s="376">
        <f>'Income Statement'!AV13</f>
        <v>39091</v>
      </c>
      <c r="N6" s="376">
        <f>'Income Statement'!AW13</f>
        <v>42119</v>
      </c>
      <c r="O6" s="376">
        <f>'Income Statement'!AX13</f>
        <v>40535</v>
      </c>
      <c r="P6" s="376">
        <f>'Income Statement'!AY13</f>
        <v>40520</v>
      </c>
      <c r="Q6" s="376">
        <f>'Income Statement'!AZ13</f>
        <v>40890</v>
      </c>
      <c r="R6" s="376">
        <f>'Income Statement'!BA13</f>
        <v>41841</v>
      </c>
      <c r="S6" s="376">
        <f>'Income Statement'!BB13</f>
        <v>39365</v>
      </c>
      <c r="T6" s="376">
        <f>'Income Statement'!BC13</f>
        <v>39837</v>
      </c>
      <c r="U6" s="394">
        <f>'Income Statement'!BD13</f>
        <v>39668</v>
      </c>
      <c r="V6" s="394">
        <v>40873.703469534179</v>
      </c>
      <c r="W6" s="395">
        <v>41676</v>
      </c>
      <c r="X6" s="396">
        <f>W6-V6</f>
        <v>802.29653046582098</v>
      </c>
      <c r="Y6" s="462">
        <v>41180</v>
      </c>
      <c r="Z6" s="396">
        <f>+Y6-V6</f>
        <v>306.29653046582098</v>
      </c>
      <c r="AA6" s="555" t="s">
        <v>421</v>
      </c>
      <c r="AC6" s="512"/>
      <c r="AD6" s="413" t="s">
        <v>443</v>
      </c>
      <c r="AE6" s="401" t="s">
        <v>494</v>
      </c>
      <c r="AF6" s="403">
        <f ca="1">+AF5/AC5-1</f>
        <v>0.2242889116485336</v>
      </c>
      <c r="AG6" s="403">
        <f>+AG5/AC5-1</f>
        <v>7.7041345611737366E-2</v>
      </c>
      <c r="AH6" s="512"/>
      <c r="AI6" s="512"/>
    </row>
    <row r="7" spans="1:37" ht="18" customHeight="1">
      <c r="D7" s="30" t="s">
        <v>32</v>
      </c>
      <c r="E7" s="373"/>
      <c r="F7" s="373"/>
      <c r="G7" s="373">
        <f>'Income Statement'!AP14</f>
        <v>3.5718841688990866E-2</v>
      </c>
      <c r="H7" s="373">
        <f>'Income Statement'!AQ14</f>
        <v>1.5588464536243185E-2</v>
      </c>
      <c r="I7" s="373">
        <f>'Income Statement'!AR14</f>
        <v>2.4846072516947482E-2</v>
      </c>
      <c r="J7" s="373">
        <f>'Income Statement'!AS14</f>
        <v>3.8476615505231626E-2</v>
      </c>
      <c r="K7" s="373">
        <f>'Income Statement'!AT14</f>
        <v>3.0791969454366797E-3</v>
      </c>
      <c r="L7" s="373">
        <f>'Income Statement'!AU14</f>
        <v>1.3507290867229571E-2</v>
      </c>
      <c r="M7" s="373">
        <f>'Income Statement'!AV14</f>
        <v>0.186121309585217</v>
      </c>
      <c r="N7" s="373">
        <f>'Income Statement'!AW14</f>
        <v>0.22300299079531927</v>
      </c>
      <c r="O7" s="373">
        <f>'Income Statement'!AX14</f>
        <v>0.24432097249508833</v>
      </c>
      <c r="P7" s="373">
        <f>'Income Statement'!AY14</f>
        <v>0.22732091473572624</v>
      </c>
      <c r="Q7" s="373">
        <f>'Income Statement'!AZ14</f>
        <v>4.6020823207387984E-2</v>
      </c>
      <c r="R7" s="373">
        <f>'Income Statement'!BA14</f>
        <v>-6.6003466369096708E-3</v>
      </c>
      <c r="S7" s="373">
        <f>'Income Statement'!BB14</f>
        <v>-2.8863944739114356E-2</v>
      </c>
      <c r="T7" s="373">
        <f>'Income Statement'!BC14</f>
        <v>-1.6855873642645625E-2</v>
      </c>
      <c r="U7" s="379">
        <f>'Income Statement'!BD14</f>
        <v>-2.9885057471264354E-2</v>
      </c>
      <c r="V7" s="379">
        <v>-2.3118389389972016E-2</v>
      </c>
      <c r="W7" s="372">
        <f>+W6/R6-1</f>
        <v>-3.9435003943499858E-3</v>
      </c>
      <c r="X7" s="383">
        <f>+(W7-V7)*10000</f>
        <v>191.7488899562203</v>
      </c>
      <c r="Y7" s="463">
        <f>+Y6/R6-1</f>
        <v>-1.5797901579790108E-2</v>
      </c>
      <c r="Z7" s="383">
        <f>+(Y7-V7)*10000</f>
        <v>73.204878101819077</v>
      </c>
      <c r="AA7" s="557"/>
      <c r="AC7" s="152">
        <v>22408</v>
      </c>
      <c r="AD7" s="375" t="s">
        <v>424</v>
      </c>
      <c r="AE7" s="402" t="s">
        <v>496</v>
      </c>
      <c r="AF7" s="376">
        <f ca="1">+'Cash Flow'!I89</f>
        <v>25068.712605411787</v>
      </c>
      <c r="AG7" s="412">
        <v>22204.240000000002</v>
      </c>
      <c r="AH7" s="512"/>
      <c r="AI7" s="512"/>
    </row>
    <row r="8" spans="1:37" ht="18" customHeight="1">
      <c r="B8" t="s">
        <v>420</v>
      </c>
      <c r="D8" s="393" t="s">
        <v>282</v>
      </c>
      <c r="E8" s="376"/>
      <c r="F8" s="376"/>
      <c r="G8" s="376">
        <f>'Income Statement'!AP24</f>
        <v>11033</v>
      </c>
      <c r="H8" s="376">
        <f>'Income Statement'!AQ24</f>
        <v>10386</v>
      </c>
      <c r="I8" s="376">
        <f>'Income Statement'!AR24</f>
        <v>10359</v>
      </c>
      <c r="J8" s="376">
        <f>'Income Statement'!AS24</f>
        <v>9483</v>
      </c>
      <c r="K8" s="376">
        <f>'Income Statement'!AT24</f>
        <v>10650</v>
      </c>
      <c r="L8" s="376">
        <f>'Income Statement'!AU24</f>
        <v>11164</v>
      </c>
      <c r="M8" s="376">
        <f>'Income Statement'!AV24</f>
        <v>13040</v>
      </c>
      <c r="N8" s="376">
        <f>'Income Statement'!AW24</f>
        <v>12276</v>
      </c>
      <c r="O8" s="376">
        <f>'Income Statement'!AX24</f>
        <v>13279</v>
      </c>
      <c r="P8" s="376">
        <f>'Income Statement'!AY24</f>
        <v>13397</v>
      </c>
      <c r="Q8" s="376">
        <f>'Income Statement'!AZ24</f>
        <v>13589</v>
      </c>
      <c r="R8" s="376">
        <f>'Income Statement'!BA24</f>
        <v>12214</v>
      </c>
      <c r="S8" s="376">
        <f>'Income Statement'!BB24</f>
        <v>13080</v>
      </c>
      <c r="T8" s="376">
        <f>'Income Statement'!BC24</f>
        <v>13587</v>
      </c>
      <c r="U8" s="394">
        <f>'Income Statement'!BD24</f>
        <v>12994</v>
      </c>
      <c r="V8" s="394">
        <v>12480.882006942717</v>
      </c>
      <c r="W8" s="434">
        <f>+AD52</f>
        <v>11837</v>
      </c>
      <c r="X8" s="396">
        <f>W8-V8</f>
        <v>-643.88200694271654</v>
      </c>
      <c r="Y8" s="462">
        <v>12430</v>
      </c>
      <c r="Z8" s="396">
        <f>+Y8-V8</f>
        <v>-50.882006942716544</v>
      </c>
      <c r="AA8" s="555" t="s">
        <v>193</v>
      </c>
      <c r="AC8" s="512"/>
      <c r="AD8" s="144"/>
      <c r="AE8" s="403" t="s">
        <v>497</v>
      </c>
      <c r="AF8" s="526">
        <f ca="1">+'Cash Flow'!I89-'Cash Flow'!I86</f>
        <v>22818.712605411787</v>
      </c>
      <c r="AG8" s="360"/>
      <c r="AH8" s="512"/>
      <c r="AI8" s="512"/>
    </row>
    <row r="9" spans="1:37" ht="18" customHeight="1">
      <c r="D9" s="30" t="s">
        <v>31</v>
      </c>
      <c r="E9" s="373"/>
      <c r="F9" s="373"/>
      <c r="G9" s="373">
        <f>'Income Statement'!AP25</f>
        <v>0.33972779899002342</v>
      </c>
      <c r="H9" s="373">
        <f>'Income Statement'!AQ25</f>
        <v>0.31883346124328471</v>
      </c>
      <c r="I9" s="373">
        <f>'Income Statement'!AR25</f>
        <v>0.31431865764480993</v>
      </c>
      <c r="J9" s="373">
        <f>'Income Statement'!AS25</f>
        <v>0.27535642730625165</v>
      </c>
      <c r="K9" s="373">
        <f>'Income Statement'!AT25</f>
        <v>0.32692779960707269</v>
      </c>
      <c r="L9" s="373">
        <f>'Income Statement'!AU25</f>
        <v>0.33814932606391035</v>
      </c>
      <c r="M9" s="373">
        <f>'Income Statement'!AV25</f>
        <v>0.33358061957995444</v>
      </c>
      <c r="N9" s="373">
        <f>'Income Statement'!AW25</f>
        <v>0.29145991120396969</v>
      </c>
      <c r="O9" s="373">
        <f>'Income Statement'!AX25</f>
        <v>0.32759343776982852</v>
      </c>
      <c r="P9" s="373">
        <f>'Income Statement'!AY25</f>
        <v>0.33062685093780847</v>
      </c>
      <c r="Q9" s="373">
        <f>'Income Statement'!AZ25</f>
        <v>0.33233064318904376</v>
      </c>
      <c r="R9" s="373">
        <f>'Income Statement'!BA25</f>
        <v>0.29191462919146294</v>
      </c>
      <c r="S9" s="373">
        <f>'Income Statement'!BB25</f>
        <v>0.33227486345738599</v>
      </c>
      <c r="T9" s="373">
        <f>'Income Statement'!BC25</f>
        <v>0.34106483921982078</v>
      </c>
      <c r="U9" s="379">
        <f>'Income Statement'!BD25</f>
        <v>0.3275688212160936</v>
      </c>
      <c r="V9" s="379">
        <v>0.30535236466266208</v>
      </c>
      <c r="W9" s="372">
        <f>W8/W6</f>
        <v>0.2840243785392072</v>
      </c>
      <c r="X9" s="383">
        <f>+(W9-V9)*10000</f>
        <v>-213.27986123454878</v>
      </c>
      <c r="Y9" s="463">
        <f>+Y8/Y6</f>
        <v>0.30184555609519181</v>
      </c>
      <c r="Z9" s="383">
        <f>+(Y9-V9)*10000</f>
        <v>-35.068085674702651</v>
      </c>
      <c r="AA9" s="557"/>
      <c r="AC9" s="152">
        <v>16936</v>
      </c>
      <c r="AD9" s="375" t="s">
        <v>175</v>
      </c>
      <c r="AE9" s="402" t="s">
        <v>495</v>
      </c>
      <c r="AF9" s="376">
        <f ca="1">+'Cash Flow'!I59</f>
        <v>20758.994315492349</v>
      </c>
      <c r="AG9" s="376"/>
      <c r="AH9" s="512"/>
      <c r="AI9" s="512"/>
    </row>
    <row r="10" spans="1:37" ht="18" customHeight="1">
      <c r="B10" t="s">
        <v>423</v>
      </c>
      <c r="D10" s="393" t="s">
        <v>424</v>
      </c>
      <c r="E10" s="376"/>
      <c r="F10" s="376"/>
      <c r="G10" s="376">
        <f>'Cash Flow'!AP89</f>
        <v>5771</v>
      </c>
      <c r="H10" s="376">
        <f>'Cash Flow'!AQ89</f>
        <v>5996</v>
      </c>
      <c r="I10" s="376">
        <f>'Cash Flow'!AR89</f>
        <v>5240</v>
      </c>
      <c r="J10" s="376">
        <f>'Cash Flow'!AS89</f>
        <v>4426</v>
      </c>
      <c r="K10" s="376">
        <f>'Cash Flow'!AT89</f>
        <v>3971</v>
      </c>
      <c r="L10" s="376">
        <f>'Cash Flow'!AU89</f>
        <v>4696</v>
      </c>
      <c r="M10" s="376">
        <f>'Cash Flow'!AV89</f>
        <v>5255</v>
      </c>
      <c r="N10" s="376">
        <f>'Cash Flow'!AW89</f>
        <v>6093</v>
      </c>
      <c r="O10" s="376">
        <f>'Cash Flow'!AX89</f>
        <v>4669</v>
      </c>
      <c r="P10" s="376">
        <f>'Cash Flow'!AY89</f>
        <v>5470</v>
      </c>
      <c r="Q10" s="376">
        <f>'Cash Flow'!AZ89</f>
        <v>5813</v>
      </c>
      <c r="R10" s="376">
        <f>'Cash Flow'!BA89</f>
        <v>6456</v>
      </c>
      <c r="S10" s="376">
        <f>'Cash Flow'!BB89</f>
        <v>6015</v>
      </c>
      <c r="T10" s="376">
        <f>'Cash Flow'!BC89</f>
        <v>5208</v>
      </c>
      <c r="U10" s="394">
        <f>'Cash Flow'!BD89</f>
        <v>5251</v>
      </c>
      <c r="V10" s="394">
        <v>5417.5057130132573</v>
      </c>
      <c r="W10" s="434">
        <f>4891+185</f>
        <v>5076</v>
      </c>
      <c r="X10" s="396">
        <f>+V10-W10</f>
        <v>341.50571301325726</v>
      </c>
      <c r="Y10" s="462">
        <v>5530</v>
      </c>
      <c r="Z10" s="396">
        <f>+Y10-V10</f>
        <v>112.49428698674274</v>
      </c>
      <c r="AA10" s="555" t="s">
        <v>421</v>
      </c>
      <c r="AC10" s="512"/>
      <c r="AD10" s="144" t="s">
        <v>32</v>
      </c>
      <c r="AE10" s="403"/>
      <c r="AF10" s="403">
        <f ca="1">+AF9/AC9-1</f>
        <v>0.22573183251608109</v>
      </c>
      <c r="AG10" s="362"/>
      <c r="AH10" s="512"/>
      <c r="AI10" s="512"/>
    </row>
    <row r="11" spans="1:37" ht="18" customHeight="1">
      <c r="D11" s="30" t="s">
        <v>425</v>
      </c>
      <c r="E11" s="373"/>
      <c r="F11" s="373"/>
      <c r="G11" s="373">
        <f>'Cash Flow'!AP91</f>
        <v>0.17770045572114793</v>
      </c>
      <c r="H11" s="373">
        <f>'Cash Flow'!AQ91</f>
        <v>0.18406753645433616</v>
      </c>
      <c r="I11" s="373">
        <f>'Cash Flow'!AR91</f>
        <v>0.15899505416148316</v>
      </c>
      <c r="J11" s="373">
        <f>'Cash Flow'!AS91</f>
        <v>0.12851708818490665</v>
      </c>
      <c r="K11" s="373">
        <f>'Cash Flow'!AT91</f>
        <v>0.121899557956778</v>
      </c>
      <c r="L11" s="373">
        <f>'Cash Flow'!AU91</f>
        <v>0.14223837649553234</v>
      </c>
      <c r="M11" s="373">
        <f>'Cash Flow'!AV91</f>
        <v>0.13442991993041878</v>
      </c>
      <c r="N11" s="373">
        <f>'Cash Flow'!AW91</f>
        <v>0.14466155416795271</v>
      </c>
      <c r="O11" s="373">
        <f>'Cash Flow'!AX91</f>
        <v>0.11518440853583323</v>
      </c>
      <c r="P11" s="373">
        <f>'Cash Flow'!AY91</f>
        <v>0.13499506416584403</v>
      </c>
      <c r="Q11" s="373">
        <f>'Cash Flow'!AZ91</f>
        <v>0.14216189777451699</v>
      </c>
      <c r="R11" s="373">
        <f>'Cash Flow'!BA91</f>
        <v>0.15429841542984155</v>
      </c>
      <c r="S11" s="373">
        <f>'Cash Flow'!BB91</f>
        <v>0.15280071129175662</v>
      </c>
      <c r="T11" s="373">
        <f>'Cash Flow'!BC91</f>
        <v>0.13073273589878756</v>
      </c>
      <c r="U11" s="379">
        <f>'Cash Flow'!BD91</f>
        <v>0.13237370172431179</v>
      </c>
      <c r="V11" s="379">
        <v>0.13254257023837529</v>
      </c>
      <c r="W11" s="372">
        <f>W10/W6</f>
        <v>0.1217967175352721</v>
      </c>
      <c r="X11" s="383">
        <f>+(W11-V11)*10000</f>
        <v>-107.45852703103186</v>
      </c>
      <c r="Y11" s="463">
        <f>+Y10/Y6</f>
        <v>0.13428848955803788</v>
      </c>
      <c r="Z11" s="383">
        <f>+(Y11-V11)*10000</f>
        <v>17.459193196625865</v>
      </c>
      <c r="AA11" s="557"/>
      <c r="AB11" s="444"/>
      <c r="AC11" s="512"/>
      <c r="AD11" s="446"/>
      <c r="AE11" s="446"/>
      <c r="AF11" s="446"/>
      <c r="AG11" s="391"/>
      <c r="AH11" s="391"/>
      <c r="AI11" s="391"/>
    </row>
    <row r="12" spans="1:37" ht="18" customHeight="1">
      <c r="A12" s="414"/>
      <c r="B12" s="414"/>
      <c r="C12" s="414"/>
      <c r="D12" s="393" t="s">
        <v>175</v>
      </c>
      <c r="E12" s="376"/>
      <c r="F12" s="376"/>
      <c r="G12" s="376">
        <f>'Cash Flow'!AP59</f>
        <v>3028</v>
      </c>
      <c r="H12" s="376">
        <f>'Cash Flow'!AQ59</f>
        <v>2074</v>
      </c>
      <c r="I12" s="376">
        <f>'Cash Flow'!AR59</f>
        <v>3484</v>
      </c>
      <c r="J12" s="376">
        <f>'Cash Flow'!AS59</f>
        <v>1319</v>
      </c>
      <c r="K12" s="376">
        <f>'Cash Flow'!AT59</f>
        <v>2767</v>
      </c>
      <c r="L12" s="376">
        <f>'Cash Flow'!AU59</f>
        <v>4464</v>
      </c>
      <c r="M12" s="376">
        <f>'Cash Flow'!AV59</f>
        <v>5542</v>
      </c>
      <c r="N12" s="376">
        <f>'Cash Flow'!AW59</f>
        <v>3092</v>
      </c>
      <c r="O12" s="376">
        <f>'Cash Flow'!AX59</f>
        <v>3231</v>
      </c>
      <c r="P12" s="376">
        <f>'Cash Flow'!AY59</f>
        <v>4837</v>
      </c>
      <c r="Q12" s="376">
        <f>'Cash Flow'!AZ59</f>
        <v>5182</v>
      </c>
      <c r="R12" s="376">
        <f>'Cash Flow'!BA59</f>
        <v>3686</v>
      </c>
      <c r="S12" s="376">
        <f>'Cash Flow'!BB59</f>
        <v>3203</v>
      </c>
      <c r="T12" s="376">
        <f>'Cash Flow'!BC59</f>
        <v>3734</v>
      </c>
      <c r="U12" s="394">
        <f>'Cash Flow'!BD59</f>
        <v>5863</v>
      </c>
      <c r="V12" s="394">
        <v>4936.7170578784153</v>
      </c>
      <c r="W12" s="434">
        <f>9877-W10</f>
        <v>4801</v>
      </c>
      <c r="X12" s="396">
        <f>+W12-V12</f>
        <v>-135.71705787841529</v>
      </c>
      <c r="Y12" s="462">
        <v>4400</v>
      </c>
      <c r="Z12" s="396">
        <f>+Y12-V12</f>
        <v>-536.71705787841529</v>
      </c>
      <c r="AA12" s="415" t="s">
        <v>193</v>
      </c>
      <c r="AB12" s="444"/>
      <c r="AC12" s="512"/>
      <c r="AD12" s="363"/>
      <c r="AE12" s="363"/>
      <c r="AF12" s="364"/>
      <c r="AG12" s="363"/>
      <c r="AH12" s="363"/>
      <c r="AI12" s="512"/>
    </row>
    <row r="13" spans="1:37" ht="18" customHeight="1">
      <c r="D13" s="426" t="s">
        <v>430</v>
      </c>
      <c r="E13" s="427"/>
      <c r="F13" s="427"/>
      <c r="G13" s="427"/>
      <c r="H13" s="427"/>
      <c r="I13" s="427"/>
      <c r="J13" s="427"/>
      <c r="K13" s="427"/>
      <c r="L13" s="427"/>
      <c r="M13" s="427"/>
      <c r="N13" s="427"/>
      <c r="O13" s="427"/>
      <c r="P13" s="427"/>
      <c r="Q13" s="427"/>
      <c r="R13" s="427"/>
      <c r="S13" s="427"/>
      <c r="T13" s="427"/>
      <c r="U13" s="428"/>
      <c r="V13" s="428"/>
      <c r="W13" s="427"/>
      <c r="X13" s="428"/>
      <c r="Y13" s="429"/>
      <c r="Z13" s="428"/>
      <c r="AA13" s="429"/>
      <c r="AD13" s="363"/>
      <c r="AE13" s="363"/>
      <c r="AF13" s="363"/>
      <c r="AG13" s="366"/>
      <c r="AH13" s="363"/>
      <c r="AI13" s="363"/>
    </row>
    <row r="14" spans="1:37" ht="18" customHeight="1">
      <c r="B14" t="s">
        <v>423</v>
      </c>
      <c r="D14" s="30" t="s">
        <v>111</v>
      </c>
      <c r="E14" s="370">
        <f>0+('AT&amp;T Mobility'!AN8)</f>
        <v>15460</v>
      </c>
      <c r="F14" s="370">
        <f>'AT&amp;T Mobility'!AO8</f>
        <v>15660</v>
      </c>
      <c r="G14" s="370">
        <f>'AT&amp;T Mobility'!AP8</f>
        <v>15387</v>
      </c>
      <c r="H14" s="370">
        <f>'AT&amp;T Mobility'!AQ8</f>
        <v>15148</v>
      </c>
      <c r="I14" s="370">
        <f>'AT&amp;T Mobility'!AR8</f>
        <v>15423</v>
      </c>
      <c r="J14" s="370">
        <f>'AT&amp;T Mobility'!AS8</f>
        <v>15074</v>
      </c>
      <c r="K14" s="370">
        <f>'AT&amp;T Mobility'!AT8</f>
        <v>14812</v>
      </c>
      <c r="L14" s="370">
        <f>'AT&amp;T Mobility'!AU8</f>
        <v>15115</v>
      </c>
      <c r="M14" s="370">
        <f>'AT&amp;T Mobility'!AV8</f>
        <v>15095</v>
      </c>
      <c r="N14" s="370">
        <f>'AT&amp;T Mobility'!AW8</f>
        <v>14815</v>
      </c>
      <c r="O14" s="370">
        <f>'AT&amp;T Mobility'!AX8</f>
        <v>14798</v>
      </c>
      <c r="P14" s="370">
        <f>'AT&amp;T Mobility'!AY8</f>
        <v>14912</v>
      </c>
      <c r="Q14" s="370">
        <f>'AT&amp;T Mobility'!AZ8</f>
        <v>14963</v>
      </c>
      <c r="R14" s="370">
        <f>'AT&amp;T Mobility'!BA8</f>
        <v>14713</v>
      </c>
      <c r="S14" s="370">
        <f>'AT&amp;T Mobility'!BB8</f>
        <v>14538</v>
      </c>
      <c r="T14" s="370">
        <f>'AT&amp;T Mobility'!BC8</f>
        <v>14534</v>
      </c>
      <c r="U14" s="380">
        <f>'AT&amp;T Mobility'!BD8</f>
        <v>14541</v>
      </c>
      <c r="V14" s="380">
        <v>14559.894049846034</v>
      </c>
      <c r="W14" s="371">
        <v>14342</v>
      </c>
      <c r="X14" s="384">
        <f>W14-V14</f>
        <v>-217.89404984603425</v>
      </c>
      <c r="Y14" s="464"/>
      <c r="Z14" s="384"/>
      <c r="AA14" s="554" t="s">
        <v>193</v>
      </c>
      <c r="AB14" s="414"/>
      <c r="AD14" s="430" t="s">
        <v>451</v>
      </c>
      <c r="AE14" s="430" t="s">
        <v>463</v>
      </c>
      <c r="AF14" s="430" t="s">
        <v>460</v>
      </c>
      <c r="AG14" s="430" t="s">
        <v>457</v>
      </c>
      <c r="AH14" s="430" t="s">
        <v>413</v>
      </c>
      <c r="AI14" s="430" t="s">
        <v>416</v>
      </c>
    </row>
    <row r="15" spans="1:37" ht="18" customHeight="1">
      <c r="D15" s="30" t="s">
        <v>32</v>
      </c>
      <c r="E15" s="372"/>
      <c r="F15" s="372"/>
      <c r="G15" s="372"/>
      <c r="H15" s="372"/>
      <c r="I15" s="372">
        <f t="shared" ref="I15:K15" si="0">+I14/E14-1</f>
        <v>-2.3932729624838167E-3</v>
      </c>
      <c r="J15" s="372">
        <f t="shared" si="0"/>
        <v>-3.7420178799489112E-2</v>
      </c>
      <c r="K15" s="372">
        <f t="shared" si="0"/>
        <v>-3.7369207772795177E-2</v>
      </c>
      <c r="L15" s="372">
        <f t="shared" ref="L15" si="1">+L14/H14-1</f>
        <v>-2.1785054132559267E-3</v>
      </c>
      <c r="M15" s="372">
        <f t="shared" ref="M15" si="2">+M14/I14-1</f>
        <v>-2.1266938987226869E-2</v>
      </c>
      <c r="N15" s="372">
        <f t="shared" ref="N15" si="3">+N14/J14-1</f>
        <v>-1.718190261377206E-2</v>
      </c>
      <c r="O15" s="372">
        <f t="shared" ref="O15" si="4">+O14/K14-1</f>
        <v>-9.4517958412099201E-4</v>
      </c>
      <c r="P15" s="372">
        <f t="shared" ref="P15" si="5">+P14/L14-1</f>
        <v>-1.3430367184915637E-2</v>
      </c>
      <c r="Q15" s="372">
        <f t="shared" ref="Q15" si="6">+Q14/M14-1</f>
        <v>-8.7446174229877105E-3</v>
      </c>
      <c r="R15" s="372">
        <f t="shared" ref="R15" si="7">+R14/N14-1</f>
        <v>-6.8849139385758207E-3</v>
      </c>
      <c r="S15" s="372">
        <f t="shared" ref="S15" si="8">+S14/O14-1</f>
        <v>-1.7569941884038376E-2</v>
      </c>
      <c r="T15" s="372">
        <f t="shared" ref="T15" si="9">+T14/P14-1</f>
        <v>-2.5348712446351951E-2</v>
      </c>
      <c r="U15" s="374">
        <f t="shared" ref="U15" si="10">+U14/Q14-1</f>
        <v>-2.8202900487870108E-2</v>
      </c>
      <c r="V15" s="374">
        <v>-1.040616802514549E-2</v>
      </c>
      <c r="W15" s="372">
        <f>+W14/R14-1</f>
        <v>-2.5215795554951459E-2</v>
      </c>
      <c r="X15" s="383">
        <f>+(W15-V15)*10000</f>
        <v>-148.09627529805968</v>
      </c>
      <c r="Y15" s="463"/>
      <c r="Z15" s="383"/>
      <c r="AA15" s="554"/>
      <c r="AC15" s="448">
        <v>2.8318318627477224</v>
      </c>
      <c r="AD15" s="144" t="s">
        <v>7</v>
      </c>
      <c r="AE15" s="144"/>
      <c r="AF15" s="144"/>
      <c r="AG15" s="401"/>
      <c r="AH15" s="361">
        <f>+'Income Statement'!H60</f>
        <v>3.0437507274520552</v>
      </c>
      <c r="AI15" s="411">
        <v>2.91</v>
      </c>
    </row>
    <row r="16" spans="1:37" ht="18" customHeight="1">
      <c r="B16" t="s">
        <v>423</v>
      </c>
      <c r="D16" s="393" t="s">
        <v>112</v>
      </c>
      <c r="E16" s="376">
        <f>'AT&amp;T Mobility'!AN9</f>
        <v>2020</v>
      </c>
      <c r="F16" s="376">
        <f>'AT&amp;T Mobility'!AO9</f>
        <v>2777</v>
      </c>
      <c r="G16" s="376">
        <f>'AT&amp;T Mobility'!AP9</f>
        <v>2479</v>
      </c>
      <c r="H16" s="376">
        <f>'AT&amp;T Mobility'!AQ9</f>
        <v>2782</v>
      </c>
      <c r="I16" s="376">
        <f>'AT&amp;T Mobility'!AR9</f>
        <v>2914</v>
      </c>
      <c r="J16" s="376">
        <f>'AT&amp;T Mobility'!AS9</f>
        <v>4785</v>
      </c>
      <c r="K16" s="376">
        <f>'AT&amp;T Mobility'!AT9</f>
        <v>3374</v>
      </c>
      <c r="L16" s="376">
        <f>'AT&amp;T Mobility'!AU9</f>
        <v>3189</v>
      </c>
      <c r="M16" s="376">
        <f>'AT&amp;T Mobility'!AV9</f>
        <v>3234</v>
      </c>
      <c r="N16" s="376">
        <f>'AT&amp;T Mobility'!AW9</f>
        <v>4071</v>
      </c>
      <c r="O16" s="376">
        <f>'AT&amp;T Mobility'!AX9</f>
        <v>3156</v>
      </c>
      <c r="P16" s="376">
        <f>'AT&amp;T Mobility'!AY9</f>
        <v>3013</v>
      </c>
      <c r="Q16" s="376">
        <f>'AT&amp;T Mobility'!AZ9</f>
        <v>3229</v>
      </c>
      <c r="R16" s="376">
        <f>'AT&amp;T Mobility'!BA9</f>
        <v>4037</v>
      </c>
      <c r="S16" s="376">
        <f>'AT&amp;T Mobility'!BB9</f>
        <v>2629</v>
      </c>
      <c r="T16" s="376">
        <f>'AT&amp;T Mobility'!BC9</f>
        <v>2984</v>
      </c>
      <c r="U16" s="394">
        <f>'AT&amp;T Mobility'!BD9</f>
        <v>2895</v>
      </c>
      <c r="V16" s="394">
        <v>4037.3722660370213</v>
      </c>
      <c r="W16" s="395">
        <v>4886</v>
      </c>
      <c r="X16" s="396">
        <f>W16-V16</f>
        <v>848.62773396297871</v>
      </c>
      <c r="Y16" s="462"/>
      <c r="Z16" s="396"/>
      <c r="AA16" s="555" t="s">
        <v>421</v>
      </c>
      <c r="AD16" s="413" t="s">
        <v>443</v>
      </c>
      <c r="AE16" s="401" t="s">
        <v>449</v>
      </c>
      <c r="AF16" s="401" t="s">
        <v>449</v>
      </c>
      <c r="AG16" s="401" t="s">
        <v>449</v>
      </c>
      <c r="AH16" s="403">
        <f>+AH15/$AC$15-1</f>
        <v>7.4834550557923318E-2</v>
      </c>
      <c r="AI16" s="403">
        <f>+AI15/$AC$15-1</f>
        <v>2.7603382206608629E-2</v>
      </c>
    </row>
    <row r="17" spans="1:37" ht="18" customHeight="1">
      <c r="D17" s="30" t="s">
        <v>32</v>
      </c>
      <c r="E17" s="372"/>
      <c r="F17" s="372"/>
      <c r="G17" s="372"/>
      <c r="H17" s="372"/>
      <c r="I17" s="372">
        <f t="shared" ref="I17:K17" si="11">+I16/E16-1</f>
        <v>0.44257425742574252</v>
      </c>
      <c r="J17" s="372">
        <f t="shared" si="11"/>
        <v>0.72308246308966506</v>
      </c>
      <c r="K17" s="372">
        <f t="shared" si="11"/>
        <v>0.36103267446551035</v>
      </c>
      <c r="L17" s="372">
        <f t="shared" ref="L17" si="12">+L16/H16-1</f>
        <v>0.14629762760603882</v>
      </c>
      <c r="M17" s="372">
        <f t="shared" ref="M17" si="13">+M16/I16-1</f>
        <v>0.10981468771448188</v>
      </c>
      <c r="N17" s="372">
        <f t="shared" ref="N17" si="14">+N16/J16-1</f>
        <v>-0.14921630094043892</v>
      </c>
      <c r="O17" s="372">
        <f t="shared" ref="O17" si="15">+O16/K16-1</f>
        <v>-6.4611736810906928E-2</v>
      </c>
      <c r="P17" s="372">
        <f t="shared" ref="P17" si="16">+P16/L16-1</f>
        <v>-5.5189714644089061E-2</v>
      </c>
      <c r="Q17" s="372">
        <f t="shared" ref="Q17" si="17">+Q16/M16-1</f>
        <v>-1.5460729746443747E-3</v>
      </c>
      <c r="R17" s="372">
        <f t="shared" ref="R17" si="18">+R16/N16-1</f>
        <v>-8.351756325227222E-3</v>
      </c>
      <c r="S17" s="372">
        <f t="shared" ref="S17" si="19">+S16/O16-1</f>
        <v>-0.16698352344740175</v>
      </c>
      <c r="T17" s="372">
        <f t="shared" ref="T17" si="20">+T16/P16-1</f>
        <v>-9.6249585131098492E-3</v>
      </c>
      <c r="U17" s="374">
        <f t="shared" ref="U17" si="21">+U16/Q16-1</f>
        <v>-0.10343759677918862</v>
      </c>
      <c r="V17" s="374">
        <v>9.221353406529964E-5</v>
      </c>
      <c r="W17" s="372">
        <f>+W16/R16-1</f>
        <v>0.21030468169432748</v>
      </c>
      <c r="X17" s="383">
        <f>+(W17-V17)*10000</f>
        <v>2102.1246816026219</v>
      </c>
      <c r="Y17" s="463"/>
      <c r="Z17" s="383"/>
      <c r="AA17" s="557"/>
      <c r="AC17" s="152">
        <v>163786</v>
      </c>
      <c r="AD17" s="375" t="s">
        <v>152</v>
      </c>
      <c r="AE17" s="402"/>
      <c r="AF17" s="402"/>
      <c r="AG17" s="402"/>
      <c r="AH17" s="376">
        <f>+'Income Statement'!H13</f>
        <v>160546</v>
      </c>
      <c r="AI17" s="412">
        <v>160102.15</v>
      </c>
      <c r="AJ17" s="512"/>
      <c r="AK17" s="512"/>
    </row>
    <row r="18" spans="1:37" ht="18" customHeight="1">
      <c r="B18" t="s">
        <v>423</v>
      </c>
      <c r="D18" s="393" t="s">
        <v>185</v>
      </c>
      <c r="E18" s="376">
        <f>'AT&amp;T Mobility'!AN18</f>
        <v>6499</v>
      </c>
      <c r="F18" s="376">
        <f>'AT&amp;T Mobility'!AO18</f>
        <v>5860</v>
      </c>
      <c r="G18" s="376">
        <f>'AT&amp;T Mobility'!AP18</f>
        <v>7018</v>
      </c>
      <c r="H18" s="376">
        <f>'AT&amp;T Mobility'!AQ18</f>
        <v>6553</v>
      </c>
      <c r="I18" s="376">
        <f>'AT&amp;T Mobility'!AR18</f>
        <v>6825</v>
      </c>
      <c r="J18" s="376">
        <f>'AT&amp;T Mobility'!AS18</f>
        <v>5825</v>
      </c>
      <c r="K18" s="376">
        <f>'AT&amp;T Mobility'!AT18</f>
        <v>6924</v>
      </c>
      <c r="L18" s="376">
        <f>'AT&amp;T Mobility'!AU18</f>
        <v>7908</v>
      </c>
      <c r="M18" s="376">
        <f>'AT&amp;T Mobility'!AV18</f>
        <v>7856</v>
      </c>
      <c r="N18" s="376">
        <f>'AT&amp;T Mobility'!AW18</f>
        <v>6541</v>
      </c>
      <c r="O18" s="376">
        <f>'AT&amp;T Mobility'!AX18</f>
        <v>7372</v>
      </c>
      <c r="P18" s="376">
        <f>'AT&amp;T Mobility'!AY18</f>
        <v>7456</v>
      </c>
      <c r="Q18" s="376">
        <f>'AT&amp;T Mobility'!AZ18</f>
        <v>7513</v>
      </c>
      <c r="R18" s="376">
        <f>'AT&amp;T Mobility'!BA18</f>
        <v>6687</v>
      </c>
      <c r="S18" s="376">
        <f>'AT&amp;T Mobility'!BB18</f>
        <v>7169</v>
      </c>
      <c r="T18" s="376">
        <f>'AT&amp;T Mobility'!BC18</f>
        <v>7321</v>
      </c>
      <c r="U18" s="394">
        <f>'AT&amp;T Mobility'!BD18</f>
        <v>7323</v>
      </c>
      <c r="V18" s="394">
        <v>7004.4743852141928</v>
      </c>
      <c r="W18" s="417">
        <v>6281</v>
      </c>
      <c r="X18" s="396">
        <f>W18-V18</f>
        <v>-723.47438521419281</v>
      </c>
      <c r="Y18" s="462"/>
      <c r="Z18" s="396"/>
      <c r="AA18" s="555" t="s">
        <v>193</v>
      </c>
      <c r="AD18" s="144" t="s">
        <v>32</v>
      </c>
      <c r="AE18" s="403" t="s">
        <v>182</v>
      </c>
      <c r="AF18" s="403" t="s">
        <v>182</v>
      </c>
      <c r="AG18" s="403" t="s">
        <v>453</v>
      </c>
      <c r="AH18" s="403">
        <f>+AH17/$AC17-1</f>
        <v>-1.9781910541804559E-2</v>
      </c>
      <c r="AI18" s="403">
        <f>+AI17/$AC17-1</f>
        <v>-2.2491849120193419E-2</v>
      </c>
      <c r="AJ18" s="512"/>
      <c r="AK18" s="512"/>
    </row>
    <row r="19" spans="1:37" ht="18" customHeight="1">
      <c r="D19" s="30" t="s">
        <v>426</v>
      </c>
      <c r="E19" s="373">
        <f>'AT&amp;T Mobility'!AN19</f>
        <v>0.3717963386727689</v>
      </c>
      <c r="F19" s="373">
        <f>'AT&amp;T Mobility'!AO19</f>
        <v>0.31783912784075502</v>
      </c>
      <c r="G19" s="373">
        <f>'AT&amp;T Mobility'!AP19</f>
        <v>0.39281316467032351</v>
      </c>
      <c r="H19" s="373">
        <f>'AT&amp;T Mobility'!AQ19</f>
        <v>0.36547685443390965</v>
      </c>
      <c r="I19" s="373">
        <f>'AT&amp;T Mobility'!AR19</f>
        <v>0.37219828761520424</v>
      </c>
      <c r="J19" s="373">
        <f>'AT&amp;T Mobility'!AS19</f>
        <v>0.29331789113248402</v>
      </c>
      <c r="K19" s="373">
        <f>'AT&amp;T Mobility'!AT19</f>
        <v>0.38073243154074565</v>
      </c>
      <c r="L19" s="373">
        <f>'AT&amp;T Mobility'!AU19</f>
        <v>0.43203671328671328</v>
      </c>
      <c r="M19" s="373">
        <f>'AT&amp;T Mobility'!AV19</f>
        <v>0.42861039882153962</v>
      </c>
      <c r="N19" s="373">
        <f>'AT&amp;T Mobility'!AW19</f>
        <v>0.34634120512548977</v>
      </c>
      <c r="O19" s="373">
        <f>'AT&amp;T Mobility'!AX19</f>
        <v>0.4106048791355687</v>
      </c>
      <c r="P19" s="373">
        <f>'AT&amp;T Mobility'!AY19</f>
        <v>0.41595536959553697</v>
      </c>
      <c r="Q19" s="373">
        <f>'AT&amp;T Mobility'!AZ19</f>
        <v>0.41298372911169745</v>
      </c>
      <c r="R19" s="373">
        <f>'AT&amp;T Mobility'!BA19</f>
        <v>0.35664000000000001</v>
      </c>
      <c r="S19" s="373">
        <f>'AT&amp;T Mobility'!BB19</f>
        <v>0.41760354167880237</v>
      </c>
      <c r="T19" s="373">
        <f>'AT&amp;T Mobility'!BC19</f>
        <v>0.41791300376755336</v>
      </c>
      <c r="U19" s="379">
        <f>'AT&amp;T Mobility'!BD19</f>
        <v>0.41999311768754299</v>
      </c>
      <c r="V19" s="379">
        <v>0.37663999999999997</v>
      </c>
      <c r="W19" s="372">
        <f>+W18/(W14+W16)</f>
        <v>0.32665903890160181</v>
      </c>
      <c r="X19" s="383">
        <f>+(W19-V19)*10000</f>
        <v>-499.80961098398171</v>
      </c>
      <c r="Y19" s="463"/>
      <c r="Z19" s="383"/>
      <c r="AA19" s="557"/>
      <c r="AC19" s="152">
        <v>53105</v>
      </c>
      <c r="AD19" s="375" t="s">
        <v>282</v>
      </c>
      <c r="AE19" s="402"/>
      <c r="AF19" s="402"/>
      <c r="AG19" s="402"/>
      <c r="AH19" s="376">
        <f>+'Income Statement'!H24</f>
        <v>51515</v>
      </c>
      <c r="AI19" s="412">
        <v>51857.24</v>
      </c>
    </row>
    <row r="20" spans="1:37" ht="18" customHeight="1">
      <c r="B20" t="s">
        <v>423</v>
      </c>
      <c r="D20" s="393" t="s">
        <v>118</v>
      </c>
      <c r="E20" s="376">
        <f>'AT&amp;T Mobility'!AN68</f>
        <v>363</v>
      </c>
      <c r="F20" s="376">
        <f>'AT&amp;T Mobility'!AO68</f>
        <v>566</v>
      </c>
      <c r="G20" s="376">
        <f>'AT&amp;T Mobility'!AP68</f>
        <v>625</v>
      </c>
      <c r="H20" s="376">
        <f>'AT&amp;T Mobility'!AQ68</f>
        <v>1026</v>
      </c>
      <c r="I20" s="376">
        <f>'AT&amp;T Mobility'!AR68</f>
        <v>785</v>
      </c>
      <c r="J20" s="376">
        <f>'AT&amp;T Mobility'!AS68</f>
        <v>854</v>
      </c>
      <c r="K20" s="376">
        <f>'AT&amp;T Mobility'!AT68</f>
        <v>441</v>
      </c>
      <c r="L20" s="376">
        <f>'AT&amp;T Mobility'!AU68</f>
        <v>410</v>
      </c>
      <c r="M20" s="376">
        <f>'AT&amp;T Mobility'!AV68</f>
        <v>289</v>
      </c>
      <c r="N20" s="376">
        <f>'AT&amp;T Mobility'!AW68</f>
        <v>526</v>
      </c>
      <c r="O20" s="376">
        <f>'AT&amp;T Mobility'!AX68</f>
        <v>129</v>
      </c>
      <c r="P20" s="376">
        <f>'AT&amp;T Mobility'!AY68</f>
        <v>257</v>
      </c>
      <c r="Q20" s="376">
        <f>'AT&amp;T Mobility'!AZ68</f>
        <v>212</v>
      </c>
      <c r="R20" s="376">
        <f>'AT&amp;T Mobility'!BA68</f>
        <v>520</v>
      </c>
      <c r="S20" s="376">
        <f>'AT&amp;T Mobility'!BB68</f>
        <v>-191</v>
      </c>
      <c r="T20" s="376">
        <f>'AT&amp;T Mobility'!BC68</f>
        <v>127</v>
      </c>
      <c r="U20" s="394">
        <f>'AT&amp;T Mobility'!BD68</f>
        <v>117</v>
      </c>
      <c r="V20" s="394">
        <v>344.58620811635046</v>
      </c>
      <c r="W20" s="395">
        <v>541</v>
      </c>
      <c r="X20" s="396">
        <f>W20-V20</f>
        <v>196.41379188364954</v>
      </c>
      <c r="Y20" s="462">
        <v>322</v>
      </c>
      <c r="Z20" s="396">
        <f>+Y20-V20</f>
        <v>-22.586208116350463</v>
      </c>
      <c r="AA20" s="555" t="s">
        <v>421</v>
      </c>
      <c r="AD20" s="144" t="s">
        <v>31</v>
      </c>
      <c r="AE20" s="403"/>
      <c r="AF20" s="403"/>
      <c r="AG20" s="403"/>
      <c r="AH20" s="360">
        <f>+AH19/AH17</f>
        <v>0.320873768265793</v>
      </c>
      <c r="AI20" s="360">
        <f>+AI19/AI17</f>
        <v>0.32390095948118125</v>
      </c>
      <c r="AJ20" s="359"/>
      <c r="AK20" s="359"/>
    </row>
    <row r="21" spans="1:37" ht="18" customHeight="1">
      <c r="B21" t="s">
        <v>423</v>
      </c>
      <c r="D21" s="30" t="s">
        <v>181</v>
      </c>
      <c r="E21" s="370">
        <f>'AT&amp;T Mobility'!AN99</f>
        <v>284</v>
      </c>
      <c r="F21" s="370">
        <f>'AT&amp;T Mobility'!AO99</f>
        <v>73</v>
      </c>
      <c r="G21" s="370">
        <f>'AT&amp;T Mobility'!AP99</f>
        <v>88</v>
      </c>
      <c r="H21" s="370">
        <f>'AT&amp;T Mobility'!AQ99</f>
        <v>-286</v>
      </c>
      <c r="I21" s="370">
        <f>'AT&amp;T Mobility'!AR99</f>
        <v>-46</v>
      </c>
      <c r="J21" s="370">
        <f>'AT&amp;T Mobility'!AS99</f>
        <v>-67</v>
      </c>
      <c r="K21" s="370">
        <f>'AT&amp;T Mobility'!AT99</f>
        <v>98</v>
      </c>
      <c r="L21" s="370">
        <f>'AT&amp;T Mobility'!AU99</f>
        <v>331</v>
      </c>
      <c r="M21" s="370">
        <f>'AT&amp;T Mobility'!AV99</f>
        <v>466</v>
      </c>
      <c r="N21" s="370">
        <f>'AT&amp;T Mobility'!AW99</f>
        <v>469</v>
      </c>
      <c r="O21" s="370">
        <f>'AT&amp;T Mobility'!AX99</f>
        <v>500</v>
      </c>
      <c r="P21" s="370">
        <f>'AT&amp;T Mobility'!AY99</f>
        <v>365</v>
      </c>
      <c r="Q21" s="370">
        <f>'AT&amp;T Mobility'!AZ99</f>
        <v>304</v>
      </c>
      <c r="R21" s="370">
        <f>'AT&amp;T Mobility'!BA99</f>
        <v>406</v>
      </c>
      <c r="S21" s="370">
        <f>'AT&amp;T Mobility'!BB99</f>
        <v>282</v>
      </c>
      <c r="T21" s="370">
        <f>'AT&amp;T Mobility'!BC99</f>
        <v>267</v>
      </c>
      <c r="U21" s="380">
        <f>'AT&amp;T Mobility'!BD99</f>
        <v>324</v>
      </c>
      <c r="V21" s="380">
        <v>306</v>
      </c>
      <c r="W21" s="371">
        <v>140</v>
      </c>
      <c r="X21" s="384">
        <f>W21-V21</f>
        <v>-166</v>
      </c>
      <c r="Y21" s="464">
        <v>334</v>
      </c>
      <c r="Z21" s="384">
        <f>+Y21-V21</f>
        <v>28</v>
      </c>
      <c r="AA21" s="559"/>
      <c r="AC21" s="152">
        <v>31838</v>
      </c>
      <c r="AD21" s="447" t="s">
        <v>455</v>
      </c>
      <c r="AE21" s="402" t="s">
        <v>454</v>
      </c>
      <c r="AF21" s="402" t="s">
        <v>454</v>
      </c>
      <c r="AG21" s="402" t="s">
        <v>454</v>
      </c>
      <c r="AH21" s="376">
        <f>+'Income Statement'!H36</f>
        <v>31769</v>
      </c>
      <c r="AI21" s="412">
        <v>27824.85</v>
      </c>
    </row>
    <row r="22" spans="1:37" ht="18" customHeight="1">
      <c r="A22" s="452"/>
      <c r="B22" s="452" t="s">
        <v>423</v>
      </c>
      <c r="C22" s="452"/>
      <c r="D22" s="393" t="s">
        <v>462</v>
      </c>
      <c r="E22" s="376"/>
      <c r="F22" s="376"/>
      <c r="G22" s="376">
        <f>'AT&amp;T Mobility'!AP72</f>
        <v>72</v>
      </c>
      <c r="H22" s="376">
        <f>'AT&amp;T Mobility'!AQ72</f>
        <v>560</v>
      </c>
      <c r="I22" s="376">
        <f>'AT&amp;T Mobility'!AR72</f>
        <v>279</v>
      </c>
      <c r="J22" s="376">
        <f>'AT&amp;T Mobility'!AS72</f>
        <v>-151</v>
      </c>
      <c r="K22" s="376">
        <f>'AT&amp;T Mobility'!AT72</f>
        <v>-284</v>
      </c>
      <c r="L22" s="376">
        <f>'AT&amp;T Mobility'!AU72</f>
        <v>-276</v>
      </c>
      <c r="M22" s="376">
        <f>'AT&amp;T Mobility'!AV72</f>
        <v>-383</v>
      </c>
      <c r="N22" s="376">
        <f>'AT&amp;T Mobility'!AW72</f>
        <v>-256</v>
      </c>
      <c r="O22" s="376">
        <f>'AT&amp;T Mobility'!AX72</f>
        <v>-363</v>
      </c>
      <c r="P22" s="376">
        <f>'AT&amp;T Mobility'!AY72</f>
        <v>-180</v>
      </c>
      <c r="Q22" s="376">
        <f>'AT&amp;T Mobility'!AZ72</f>
        <v>-268</v>
      </c>
      <c r="R22" s="376">
        <f>'AT&amp;T Mobility'!BA72</f>
        <v>-67</v>
      </c>
      <c r="S22" s="376">
        <f>'AT&amp;T Mobility'!BB72</f>
        <v>-348</v>
      </c>
      <c r="T22" s="376">
        <f>'AT&amp;T Mobility'!BC72</f>
        <v>-89</v>
      </c>
      <c r="U22" s="394">
        <f>'AT&amp;T Mobility'!BD72</f>
        <v>-97</v>
      </c>
      <c r="V22" s="394">
        <v>-67</v>
      </c>
      <c r="W22" s="417">
        <v>329</v>
      </c>
      <c r="X22" s="396">
        <f>W22-V22</f>
        <v>396</v>
      </c>
      <c r="Y22" s="462">
        <v>-30</v>
      </c>
      <c r="Z22" s="396">
        <f>+Y22-V22</f>
        <v>37</v>
      </c>
      <c r="AA22" s="453" t="s">
        <v>421</v>
      </c>
      <c r="AB22" s="452"/>
      <c r="AC22" s="360">
        <v>0.19400000000000001</v>
      </c>
      <c r="AD22" s="144" t="s">
        <v>31</v>
      </c>
      <c r="AE22" s="403" t="s">
        <v>472</v>
      </c>
      <c r="AF22" s="403" t="s">
        <v>472</v>
      </c>
      <c r="AG22" s="403" t="s">
        <v>472</v>
      </c>
      <c r="AH22" s="360">
        <f>+AH21/AH17</f>
        <v>0.19788098115181943</v>
      </c>
      <c r="AI22" s="360">
        <f>+AI21/AI17</f>
        <v>0.17379435566605445</v>
      </c>
    </row>
    <row r="23" spans="1:37" ht="18" customHeight="1">
      <c r="A23" s="452"/>
      <c r="B23" s="452" t="s">
        <v>423</v>
      </c>
      <c r="C23" s="452"/>
      <c r="D23" s="418" t="s">
        <v>461</v>
      </c>
      <c r="E23" s="457">
        <f>'AT&amp;T Mobility'!AN122</f>
        <v>7.2999999999999995E-2</v>
      </c>
      <c r="F23" s="457">
        <f>'AT&amp;T Mobility'!AO122</f>
        <v>8.5999999999999993E-2</v>
      </c>
      <c r="G23" s="457">
        <f>'AT&amp;T Mobility'!AP122</f>
        <v>6.5000000000000002E-2</v>
      </c>
      <c r="H23" s="457">
        <f>'AT&amp;T Mobility'!AQ122</f>
        <v>6.3E-2</v>
      </c>
      <c r="I23" s="457">
        <f>'AT&amp;T Mobility'!AR122</f>
        <v>7.0999999999999994E-2</v>
      </c>
      <c r="J23" s="457">
        <f>'AT&amp;T Mobility'!AS122</f>
        <v>0.113</v>
      </c>
      <c r="K23" s="457">
        <f>'AT&amp;T Mobility'!AT122</f>
        <v>6.6000000000000003E-2</v>
      </c>
      <c r="L23" s="457">
        <f>'AT&amp;T Mobility'!AU122</f>
        <v>5.8000000000000003E-2</v>
      </c>
      <c r="M23" s="457">
        <f>'AT&amp;T Mobility'!AV122</f>
        <v>5.7000000000000002E-2</v>
      </c>
      <c r="N23" s="457">
        <f>'AT&amp;T Mobility'!AW122</f>
        <v>7.5999999999999998E-2</v>
      </c>
      <c r="O23" s="457">
        <f>'AT&amp;T Mobility'!AX122</f>
        <v>0.05</v>
      </c>
      <c r="P23" s="457">
        <f>'AT&amp;T Mobility'!AY122</f>
        <v>4.5999999999999999E-2</v>
      </c>
      <c r="Q23" s="457">
        <f>'AT&amp;T Mobility'!AZ122</f>
        <v>5.0999999999999997E-2</v>
      </c>
      <c r="R23" s="457">
        <f>'AT&amp;T Mobility'!BA122</f>
        <v>6.3E-2</v>
      </c>
      <c r="S23" s="457">
        <f>'AT&amp;T Mobility'!BB122</f>
        <v>3.9E-2</v>
      </c>
      <c r="T23" s="457">
        <f>'AT&amp;T Mobility'!BC122</f>
        <v>4.1000000000000002E-2</v>
      </c>
      <c r="U23" s="458">
        <f>'AT&amp;T Mobility'!BD122</f>
        <v>3.9E-2</v>
      </c>
      <c r="V23" s="458">
        <v>6.0999999999999999E-2</v>
      </c>
      <c r="W23" s="472">
        <v>7.0000000000000007E-2</v>
      </c>
      <c r="X23" s="420">
        <f>W23-V23</f>
        <v>9.000000000000008E-3</v>
      </c>
      <c r="Y23" s="465"/>
      <c r="Z23" s="459"/>
      <c r="AA23" s="453" t="s">
        <v>421</v>
      </c>
      <c r="AB23" s="452"/>
      <c r="AC23" s="152">
        <v>22408</v>
      </c>
      <c r="AD23" s="375" t="s">
        <v>424</v>
      </c>
      <c r="AE23" s="402" t="s">
        <v>434</v>
      </c>
      <c r="AF23" s="402" t="s">
        <v>434</v>
      </c>
      <c r="AG23" s="402" t="s">
        <v>434</v>
      </c>
      <c r="AH23" s="376">
        <f>+'Cash Flow'!H89</f>
        <v>21550</v>
      </c>
      <c r="AI23" s="412">
        <v>21954.9</v>
      </c>
    </row>
    <row r="24" spans="1:37" ht="18" customHeight="1">
      <c r="B24" t="s">
        <v>423</v>
      </c>
      <c r="D24" s="418" t="s">
        <v>39</v>
      </c>
      <c r="E24" s="454">
        <f>'AT&amp;T Mobility'!AN84</f>
        <v>1.0699999999999999E-2</v>
      </c>
      <c r="F24" s="454">
        <f>'AT&amp;T Mobility'!AO84</f>
        <v>1.11E-2</v>
      </c>
      <c r="G24" s="454">
        <f>'AT&amp;T Mobility'!AP84</f>
        <v>1.0699999999999999E-2</v>
      </c>
      <c r="H24" s="454">
        <f>'AT&amp;T Mobility'!AQ84</f>
        <v>8.6E-3</v>
      </c>
      <c r="I24" s="454">
        <f>'AT&amp;T Mobility'!AR84</f>
        <v>9.9000000000000008E-3</v>
      </c>
      <c r="J24" s="454">
        <f>'AT&amp;T Mobility'!AS84</f>
        <v>1.2200000000000001E-2</v>
      </c>
      <c r="K24" s="454">
        <f>'AT&amp;T Mobility'!AT84</f>
        <v>1.0200000000000001E-2</v>
      </c>
      <c r="L24" s="454">
        <f>'AT&amp;T Mobility'!AU84</f>
        <v>1.01E-2</v>
      </c>
      <c r="M24" s="454">
        <f>'AT&amp;T Mobility'!AV84</f>
        <v>1.1599999999999999E-2</v>
      </c>
      <c r="N24" s="454">
        <f>'AT&amp;T Mobility'!AW84</f>
        <v>1.18E-2</v>
      </c>
      <c r="O24" s="454">
        <f>'AT&amp;T Mobility'!AX84</f>
        <v>1.0999999999999999E-2</v>
      </c>
      <c r="P24" s="454">
        <f>'AT&amp;T Mobility'!AY84</f>
        <v>9.7000000000000003E-3</v>
      </c>
      <c r="Q24" s="454">
        <f>'AT&amp;T Mobility'!AZ84</f>
        <v>1.0500000000000001E-2</v>
      </c>
      <c r="R24" s="454">
        <f>'AT&amp;T Mobility'!BA84</f>
        <v>1.1599999999999999E-2</v>
      </c>
      <c r="S24" s="454">
        <f>'AT&amp;T Mobility'!BB84</f>
        <v>1.12E-2</v>
      </c>
      <c r="T24" s="454">
        <f>'AT&amp;T Mobility'!BC84</f>
        <v>1.01E-2</v>
      </c>
      <c r="U24" s="455">
        <f>'AT&amp;T Mobility'!BD84</f>
        <v>1.0699999999999999E-2</v>
      </c>
      <c r="V24" s="455">
        <v>1.18E-2</v>
      </c>
      <c r="W24" s="419">
        <v>1.12E-2</v>
      </c>
      <c r="X24" s="420" t="str">
        <f>-ROUND((W24-V24)*10000,0)&amp;" bps"</f>
        <v>6 bps</v>
      </c>
      <c r="Y24" s="466">
        <v>1.15E-2</v>
      </c>
      <c r="Z24" s="460">
        <f>+(Y24-V24)*10000</f>
        <v>-2.9999999999999991</v>
      </c>
      <c r="AA24" s="406" t="s">
        <v>421</v>
      </c>
      <c r="AD24" s="144" t="s">
        <v>425</v>
      </c>
      <c r="AE24" s="403"/>
      <c r="AF24" s="403"/>
      <c r="AG24" s="403"/>
      <c r="AH24" s="360">
        <f>AH23/AH17</f>
        <v>0.13422944202907577</v>
      </c>
      <c r="AI24" s="360">
        <f>+AI23/AI17</f>
        <v>0.13713057569807777</v>
      </c>
    </row>
    <row r="25" spans="1:37" ht="18" customHeight="1">
      <c r="B25" t="s">
        <v>423</v>
      </c>
      <c r="D25" s="393" t="s">
        <v>40</v>
      </c>
      <c r="E25" s="397">
        <f>'AT&amp;T Mobility'!AN62</f>
        <v>66.2</v>
      </c>
      <c r="F25" s="397">
        <f>'AT&amp;T Mobility'!AO62</f>
        <v>66.349999999999994</v>
      </c>
      <c r="G25" s="397">
        <f>'AT&amp;T Mobility'!AP62</f>
        <v>64.17</v>
      </c>
      <c r="H25" s="397">
        <f>'AT&amp;T Mobility'!AQ62</f>
        <v>59.76</v>
      </c>
      <c r="I25" s="397">
        <f>'AT&amp;T Mobility'!AR62</f>
        <v>60.12</v>
      </c>
      <c r="J25" s="397">
        <f>'AT&amp;T Mobility'!AS62</f>
        <v>58.43</v>
      </c>
      <c r="K25" s="397">
        <f>'AT&amp;T Mobility'!AT62</f>
        <v>57.05</v>
      </c>
      <c r="L25" s="397">
        <f>'AT&amp;T Mobility'!AU62</f>
        <v>57.84</v>
      </c>
      <c r="M25" s="397">
        <f>'AT&amp;T Mobility'!AV62</f>
        <v>57.05</v>
      </c>
      <c r="N25" s="397">
        <f>'AT&amp;T Mobility'!AW62</f>
        <v>55.58</v>
      </c>
      <c r="O25" s="397">
        <f>'AT&amp;T Mobility'!AX62</f>
        <v>55.06</v>
      </c>
      <c r="P25" s="397">
        <f>'AT&amp;T Mobility'!AY62</f>
        <v>54.97</v>
      </c>
      <c r="Q25" s="397">
        <f>'AT&amp;T Mobility'!AZ62</f>
        <v>54.67</v>
      </c>
      <c r="R25" s="397">
        <f>'AT&amp;T Mobility'!BA62</f>
        <v>53.59</v>
      </c>
      <c r="S25" s="397">
        <f>'AT&amp;T Mobility'!BB62</f>
        <v>52.77</v>
      </c>
      <c r="T25" s="397">
        <f>'AT&amp;T Mobility'!BC62</f>
        <v>52.79</v>
      </c>
      <c r="U25" s="398">
        <f>'AT&amp;T Mobility'!BD62</f>
        <v>52.75</v>
      </c>
      <c r="V25" s="398">
        <v>52.7</v>
      </c>
      <c r="W25" s="476">
        <v>51.72</v>
      </c>
      <c r="X25" s="416">
        <f>+W25-V25</f>
        <v>-0.98000000000000398</v>
      </c>
      <c r="Y25" s="467"/>
      <c r="Z25" s="416"/>
      <c r="AA25" s="558" t="s">
        <v>193</v>
      </c>
      <c r="AC25" s="152">
        <v>16936</v>
      </c>
      <c r="AD25" s="375" t="s">
        <v>175</v>
      </c>
      <c r="AE25" s="402" t="s">
        <v>473</v>
      </c>
      <c r="AF25" s="402" t="s">
        <v>456</v>
      </c>
      <c r="AG25" s="402" t="s">
        <v>456</v>
      </c>
      <c r="AH25" s="376">
        <f>+'Cash Flow'!H59</f>
        <v>17601</v>
      </c>
      <c r="AI25" s="376"/>
    </row>
    <row r="26" spans="1:37" ht="18" customHeight="1">
      <c r="D26" s="30" t="s">
        <v>32</v>
      </c>
      <c r="E26" s="373">
        <f>'AT&amp;T Mobility'!AN63</f>
        <v>1.5337423312883347E-2</v>
      </c>
      <c r="F26" s="373">
        <f>'AT&amp;T Mobility'!AO63</f>
        <v>2.108341028008609E-2</v>
      </c>
      <c r="G26" s="373">
        <f>'AT&amp;T Mobility'!AP63</f>
        <v>-1.2921089063221092E-2</v>
      </c>
      <c r="H26" s="373">
        <f>'AT&amp;T Mobility'!AQ63</f>
        <v>-9.6188747731397517E-2</v>
      </c>
      <c r="I26" s="373">
        <f>'AT&amp;T Mobility'!AR63</f>
        <v>-9.1842900302114838E-2</v>
      </c>
      <c r="J26" s="373">
        <f>'AT&amp;T Mobility'!AS63</f>
        <v>-0.11936699321778443</v>
      </c>
      <c r="K26" s="373">
        <f>'AT&amp;T Mobility'!AT63</f>
        <v>-0.11095527505064684</v>
      </c>
      <c r="L26" s="373">
        <f>'AT&amp;T Mobility'!AU63</f>
        <v>-3.2128514056224855E-2</v>
      </c>
      <c r="M26" s="373">
        <f>'AT&amp;T Mobility'!AV63</f>
        <v>-5.1064537591483661E-2</v>
      </c>
      <c r="N26" s="373">
        <f>'AT&amp;T Mobility'!AW63</f>
        <v>-4.8776313537566396E-2</v>
      </c>
      <c r="O26" s="373">
        <f>'AT&amp;T Mobility'!AX63</f>
        <v>-3.4881682734443364E-2</v>
      </c>
      <c r="P26" s="373">
        <f>'AT&amp;T Mobility'!AY63</f>
        <v>-4.9619640387275288E-2</v>
      </c>
      <c r="Q26" s="373">
        <f>'AT&amp;T Mobility'!AZ63</f>
        <v>-4.1717791411042815E-2</v>
      </c>
      <c r="R26" s="373">
        <f>'AT&amp;T Mobility'!BA63</f>
        <v>-3.5804246131701967E-2</v>
      </c>
      <c r="S26" s="373">
        <f>'AT&amp;T Mobility'!BB63</f>
        <v>-4.1590991645477637E-2</v>
      </c>
      <c r="T26" s="373">
        <f>'AT&amp;T Mobility'!BC63</f>
        <v>-3.965799527014735E-2</v>
      </c>
      <c r="U26" s="379">
        <f>'AT&amp;T Mobility'!BD63</f>
        <v>-3.511980976769713E-2</v>
      </c>
      <c r="V26" s="379">
        <v>-1.6607576040306049E-2</v>
      </c>
      <c r="W26" s="477">
        <f>+W25/R25-1</f>
        <v>-3.4894569882440885E-2</v>
      </c>
      <c r="X26" s="383" t="str">
        <f>-ROUND((V26-W26)*10000,0)&amp;" bps"</f>
        <v>-183 bps</v>
      </c>
      <c r="Y26" s="463"/>
      <c r="Z26" s="383"/>
      <c r="AA26" s="554"/>
      <c r="AD26" s="144" t="s">
        <v>32</v>
      </c>
      <c r="AE26" s="403"/>
      <c r="AF26" s="403"/>
      <c r="AG26" s="403"/>
      <c r="AH26" s="403">
        <f>+AH25/AC25-1</f>
        <v>3.926547000472369E-2</v>
      </c>
      <c r="AI26" s="362"/>
    </row>
    <row r="27" spans="1:37" ht="18" customHeight="1">
      <c r="D27" s="426" t="s">
        <v>446</v>
      </c>
      <c r="E27" s="427"/>
      <c r="F27" s="427"/>
      <c r="G27" s="427"/>
      <c r="H27" s="427"/>
      <c r="I27" s="427"/>
      <c r="J27" s="427"/>
      <c r="K27" s="427"/>
      <c r="L27" s="427"/>
      <c r="M27" s="427"/>
      <c r="N27" s="427"/>
      <c r="O27" s="427"/>
      <c r="P27" s="427"/>
      <c r="Q27" s="427"/>
      <c r="R27" s="427"/>
      <c r="S27" s="427"/>
      <c r="T27" s="427"/>
      <c r="U27" s="428"/>
      <c r="V27" s="428"/>
      <c r="W27" s="427"/>
      <c r="X27" s="428"/>
      <c r="Y27" s="429"/>
      <c r="Z27" s="428"/>
      <c r="AA27" s="429"/>
      <c r="AD27" s="446" t="s">
        <v>452</v>
      </c>
      <c r="AE27" s="446"/>
      <c r="AF27" s="446"/>
      <c r="AG27" s="391"/>
      <c r="AH27" s="391"/>
      <c r="AI27" s="391"/>
      <c r="AJ27" s="444"/>
    </row>
    <row r="28" spans="1:37" ht="18" hidden="1" customHeight="1" outlineLevel="1">
      <c r="B28" t="s">
        <v>423</v>
      </c>
      <c r="D28" s="30" t="s">
        <v>431</v>
      </c>
      <c r="E28" s="370">
        <v>5389</v>
      </c>
      <c r="F28" s="370">
        <v>5455</v>
      </c>
      <c r="G28" s="370">
        <v>5525</v>
      </c>
      <c r="H28" s="370">
        <v>5562</v>
      </c>
      <c r="I28" s="370">
        <v>5553</v>
      </c>
      <c r="J28" s="370">
        <v>5593</v>
      </c>
      <c r="K28" s="370">
        <v>5660</v>
      </c>
      <c r="L28" s="370">
        <v>5782</v>
      </c>
      <c r="M28" s="370">
        <v>10858</v>
      </c>
      <c r="N28" s="370">
        <v>12994</v>
      </c>
      <c r="O28" s="370">
        <v>12658</v>
      </c>
      <c r="P28" s="370">
        <v>12711</v>
      </c>
      <c r="Q28" s="370">
        <v>12720</v>
      </c>
      <c r="R28" s="370">
        <v>13206</v>
      </c>
      <c r="S28" s="370">
        <v>12623</v>
      </c>
      <c r="T28" s="370">
        <v>12682</v>
      </c>
      <c r="U28" s="380">
        <v>12648</v>
      </c>
      <c r="V28" s="380">
        <v>12723.54709387516</v>
      </c>
      <c r="W28" s="371">
        <v>12682</v>
      </c>
      <c r="X28" s="384">
        <f>W28-V28</f>
        <v>-41.547093875160499</v>
      </c>
      <c r="Y28" s="464">
        <v>12730</v>
      </c>
      <c r="Z28" s="384">
        <f>+Y28-V28</f>
        <v>6.452906124839501</v>
      </c>
      <c r="AA28" s="554" t="s">
        <v>193</v>
      </c>
      <c r="AD28" s="363"/>
      <c r="AE28" s="363"/>
      <c r="AF28" s="366"/>
      <c r="AG28" s="363"/>
      <c r="AH28" s="363"/>
      <c r="AJ28" s="444"/>
    </row>
    <row r="29" spans="1:37" ht="18" hidden="1" customHeight="1" outlineLevel="1">
      <c r="D29" s="30" t="s">
        <v>32</v>
      </c>
      <c r="E29" s="372"/>
      <c r="F29" s="372"/>
      <c r="G29" s="372"/>
      <c r="H29" s="372"/>
      <c r="I29" s="372">
        <f t="shared" ref="I29:K29" si="22">+I28/E28-1</f>
        <v>3.0432362219335651E-2</v>
      </c>
      <c r="J29" s="372">
        <f t="shared" si="22"/>
        <v>2.5297891842346543E-2</v>
      </c>
      <c r="K29" s="372">
        <f t="shared" si="22"/>
        <v>2.4434389140271406E-2</v>
      </c>
      <c r="L29" s="372">
        <f t="shared" ref="L29" si="23">+L28/H28-1</f>
        <v>3.9554117224020136E-2</v>
      </c>
      <c r="M29" s="372">
        <f t="shared" ref="M29" si="24">+M28/I28-1</f>
        <v>0.95533945614982896</v>
      </c>
      <c r="N29" s="372">
        <f t="shared" ref="N29" si="25">+N28/J28-1</f>
        <v>1.3232612193813695</v>
      </c>
      <c r="O29" s="372">
        <f t="shared" ref="O29" si="26">+O28/K28-1</f>
        <v>1.2363957597173143</v>
      </c>
      <c r="P29" s="372">
        <f t="shared" ref="P29" si="27">+P28/L28-1</f>
        <v>1.1983742649602216</v>
      </c>
      <c r="Q29" s="372">
        <f t="shared" ref="Q29" si="28">+Q28/M28-1</f>
        <v>0.17148646159513725</v>
      </c>
      <c r="R29" s="372">
        <f t="shared" ref="R29" si="29">+R28/N28-1</f>
        <v>1.6315222410343333E-2</v>
      </c>
      <c r="S29" s="372">
        <f t="shared" ref="S29" si="30">+S28/O28-1</f>
        <v>-2.7650497708958666E-3</v>
      </c>
      <c r="T29" s="372">
        <f t="shared" ref="T29" si="31">+T28/P28-1</f>
        <v>-2.2814884745495645E-3</v>
      </c>
      <c r="U29" s="374">
        <f t="shared" ref="U29" si="32">+U28/Q28-1</f>
        <v>-5.6603773584905648E-3</v>
      </c>
      <c r="V29" s="374">
        <v>-3.6532856741241848E-2</v>
      </c>
      <c r="W29" s="372">
        <f>+W28/R28-1</f>
        <v>-3.9678933817961504E-2</v>
      </c>
      <c r="X29" s="383">
        <f>+(W29-V29)*10000</f>
        <v>-31.460770767196557</v>
      </c>
      <c r="Y29" s="463">
        <f>+Y28/R28-1</f>
        <v>-3.6044222323186381E-2</v>
      </c>
      <c r="Z29" s="383">
        <f>+(Y29-V29)*10000</f>
        <v>4.8863441805546692</v>
      </c>
      <c r="AA29" s="554"/>
      <c r="AD29" s="430" t="s">
        <v>442</v>
      </c>
      <c r="AE29" s="430"/>
      <c r="AF29" s="430" t="s">
        <v>413</v>
      </c>
      <c r="AG29" s="430" t="s">
        <v>416</v>
      </c>
    </row>
    <row r="30" spans="1:37" ht="18" hidden="1" customHeight="1" outlineLevel="1">
      <c r="B30" t="s">
        <v>423</v>
      </c>
      <c r="D30" s="393" t="s">
        <v>185</v>
      </c>
      <c r="E30" s="376">
        <v>863</v>
      </c>
      <c r="F30" s="376">
        <v>882</v>
      </c>
      <c r="G30" s="376">
        <v>871</v>
      </c>
      <c r="H30" s="376">
        <v>815</v>
      </c>
      <c r="I30" s="376">
        <v>772</v>
      </c>
      <c r="J30" s="376">
        <v>783</v>
      </c>
      <c r="K30" s="376">
        <v>801</v>
      </c>
      <c r="L30" s="376">
        <v>869</v>
      </c>
      <c r="M30" s="376">
        <v>2408</v>
      </c>
      <c r="N30" s="376">
        <v>2871</v>
      </c>
      <c r="O30" s="376">
        <v>3080</v>
      </c>
      <c r="P30" s="376">
        <v>3142</v>
      </c>
      <c r="Q30" s="376">
        <v>2992</v>
      </c>
      <c r="R30" s="376">
        <v>2743</v>
      </c>
      <c r="S30" s="376">
        <v>3022</v>
      </c>
      <c r="T30" s="376">
        <v>3124</v>
      </c>
      <c r="U30" s="394">
        <v>2695</v>
      </c>
      <c r="V30" s="394">
        <v>2544.7094187750317</v>
      </c>
      <c r="W30" s="417">
        <v>3124</v>
      </c>
      <c r="X30" s="396">
        <f>W30-V30</f>
        <v>579.29058122496826</v>
      </c>
      <c r="Y30" s="462">
        <v>3100</v>
      </c>
      <c r="Z30" s="396">
        <f>+Y30-V30</f>
        <v>555.29058122496826</v>
      </c>
      <c r="AA30" s="555" t="s">
        <v>193</v>
      </c>
      <c r="AD30" s="144" t="s">
        <v>7</v>
      </c>
      <c r="AE30" s="401"/>
      <c r="AF30" s="361">
        <f>+'Income Statement'!G60</f>
        <v>2.8347822586113511</v>
      </c>
      <c r="AG30" s="411">
        <v>2.85</v>
      </c>
    </row>
    <row r="31" spans="1:37" ht="18" hidden="1" customHeight="1" outlineLevel="1">
      <c r="D31" s="30" t="s">
        <v>426</v>
      </c>
      <c r="E31" s="373">
        <v>0.16014102802004082</v>
      </c>
      <c r="F31" s="373">
        <v>0.16168652612282311</v>
      </c>
      <c r="G31" s="373">
        <v>0.15764705882352942</v>
      </c>
      <c r="H31" s="373">
        <v>0.14653002517080188</v>
      </c>
      <c r="I31" s="373">
        <v>0.13902395101746803</v>
      </c>
      <c r="J31" s="373">
        <v>0.13999642410155552</v>
      </c>
      <c r="K31" s="373">
        <v>0.14151943462897526</v>
      </c>
      <c r="L31" s="373">
        <v>0.15029401591144934</v>
      </c>
      <c r="M31" s="373">
        <v>0.2217719653711549</v>
      </c>
      <c r="N31" s="373">
        <v>0.22094812990611051</v>
      </c>
      <c r="O31" s="373">
        <v>0.24332437983883709</v>
      </c>
      <c r="P31" s="373">
        <v>0.24718747541499489</v>
      </c>
      <c r="Q31" s="373">
        <v>0.23522012578616353</v>
      </c>
      <c r="R31" s="373">
        <v>0.20770861729516887</v>
      </c>
      <c r="S31" s="373">
        <v>0.23940426206131665</v>
      </c>
      <c r="T31" s="373">
        <v>0.2463333859012774</v>
      </c>
      <c r="U31" s="379">
        <v>0.21307716635041113</v>
      </c>
      <c r="V31" s="379">
        <v>0.19999999999999998</v>
      </c>
      <c r="W31" s="372">
        <f>W30/W28</f>
        <v>0.2463333859012774</v>
      </c>
      <c r="X31" s="383">
        <f>+(W31-V31)*10000</f>
        <v>463.33385901277421</v>
      </c>
      <c r="Y31" s="463">
        <f>+Y30/Y28</f>
        <v>0.24351924587588375</v>
      </c>
      <c r="Z31" s="383">
        <f>+(Y31-V31)*10000</f>
        <v>435.19245875883769</v>
      </c>
      <c r="AA31" s="557"/>
      <c r="AD31" s="413" t="s">
        <v>443</v>
      </c>
      <c r="AE31" s="401" t="s">
        <v>449</v>
      </c>
      <c r="AF31" s="362">
        <f>+'Income Statement'!G61</f>
        <v>4.7885083002711104E-2</v>
      </c>
      <c r="AG31" s="403">
        <f>+AG30/'Income Statement'!F60-1</f>
        <v>5.3510363092466484E-2</v>
      </c>
    </row>
    <row r="32" spans="1:37" ht="18" customHeight="1" collapsed="1">
      <c r="D32" s="393" t="s">
        <v>427</v>
      </c>
      <c r="E32" s="376">
        <v>-26</v>
      </c>
      <c r="F32" s="376">
        <v>32</v>
      </c>
      <c r="G32" s="376">
        <v>109</v>
      </c>
      <c r="H32" s="376">
        <v>-25</v>
      </c>
      <c r="I32" s="376">
        <v>68</v>
      </c>
      <c r="J32" s="376">
        <v>-21</v>
      </c>
      <c r="K32" s="376">
        <v>94</v>
      </c>
      <c r="L32" s="376">
        <v>-107</v>
      </c>
      <c r="M32" s="376">
        <v>-107</v>
      </c>
      <c r="N32" s="376">
        <v>-37</v>
      </c>
      <c r="O32" s="376">
        <v>5</v>
      </c>
      <c r="P32" s="376">
        <v>-110</v>
      </c>
      <c r="Q32" s="376">
        <v>-5</v>
      </c>
      <c r="R32" s="376">
        <v>3</v>
      </c>
      <c r="S32" s="376">
        <v>115</v>
      </c>
      <c r="T32" s="376">
        <v>8</v>
      </c>
      <c r="U32" s="394">
        <v>29</v>
      </c>
      <c r="V32" s="394">
        <v>28</v>
      </c>
      <c r="W32" s="395">
        <v>19</v>
      </c>
      <c r="X32" s="396">
        <f t="shared" ref="X32:X37" si="33">+W32-V32</f>
        <v>-9</v>
      </c>
      <c r="Y32" s="468">
        <f>+Y33+Y34</f>
        <v>34</v>
      </c>
      <c r="Z32" s="396">
        <f t="shared" ref="Z32:Z36" si="34">+Y32-V32</f>
        <v>6</v>
      </c>
      <c r="AA32" s="555" t="s">
        <v>421</v>
      </c>
      <c r="AD32" s="375" t="s">
        <v>152</v>
      </c>
      <c r="AE32" s="402"/>
      <c r="AF32" s="376">
        <f>+'Income Statement'!G13</f>
        <v>163786</v>
      </c>
      <c r="AG32" s="412">
        <v>164581.76999999999</v>
      </c>
    </row>
    <row r="33" spans="1:37" ht="18" customHeight="1">
      <c r="B33" t="s">
        <v>423</v>
      </c>
      <c r="D33" s="30" t="s">
        <v>428</v>
      </c>
      <c r="E33" s="370">
        <v>-681</v>
      </c>
      <c r="F33" s="370">
        <v>-506</v>
      </c>
      <c r="G33" s="370">
        <v>-447</v>
      </c>
      <c r="H33" s="370">
        <v>-448</v>
      </c>
      <c r="I33" s="370">
        <v>-479</v>
      </c>
      <c r="J33" s="370">
        <v>-394</v>
      </c>
      <c r="K33" s="370">
        <v>-319</v>
      </c>
      <c r="L33" s="370">
        <v>-324</v>
      </c>
      <c r="M33" s="370">
        <v>-279</v>
      </c>
      <c r="N33" s="370">
        <v>-208</v>
      </c>
      <c r="O33" s="370">
        <v>-181</v>
      </c>
      <c r="P33" s="370">
        <v>-164</v>
      </c>
      <c r="Q33" s="370">
        <v>-161</v>
      </c>
      <c r="R33" s="370">
        <v>-133</v>
      </c>
      <c r="S33" s="370">
        <v>-127</v>
      </c>
      <c r="T33" s="370">
        <v>-104</v>
      </c>
      <c r="U33" s="380">
        <v>-96</v>
      </c>
      <c r="V33" s="380">
        <v>-108</v>
      </c>
      <c r="W33" s="369">
        <f>+W32-W34</f>
        <v>-106</v>
      </c>
      <c r="X33" s="384">
        <f t="shared" si="33"/>
        <v>2</v>
      </c>
      <c r="Y33" s="464">
        <v>-90</v>
      </c>
      <c r="Z33" s="384">
        <f t="shared" si="34"/>
        <v>18</v>
      </c>
      <c r="AA33" s="557"/>
      <c r="AD33" s="144" t="s">
        <v>32</v>
      </c>
      <c r="AE33" s="403" t="s">
        <v>433</v>
      </c>
      <c r="AF33" s="362">
        <f>+'Income Statement'!G14</f>
        <v>0.11570084672447734</v>
      </c>
      <c r="AG33" s="403">
        <f>+AG32/'Income Statement'!F13-1</f>
        <v>0.12112158636521553</v>
      </c>
    </row>
    <row r="34" spans="1:37" ht="18" customHeight="1">
      <c r="B34" t="s">
        <v>423</v>
      </c>
      <c r="D34" s="30" t="s">
        <v>432</v>
      </c>
      <c r="E34" s="370">
        <v>655</v>
      </c>
      <c r="F34" s="370">
        <v>538</v>
      </c>
      <c r="G34" s="370">
        <v>556</v>
      </c>
      <c r="H34" s="370">
        <v>423</v>
      </c>
      <c r="I34" s="370">
        <v>547</v>
      </c>
      <c r="J34" s="370">
        <v>373</v>
      </c>
      <c r="K34" s="370">
        <v>413</v>
      </c>
      <c r="L34" s="370">
        <v>217</v>
      </c>
      <c r="M34" s="370">
        <v>172</v>
      </c>
      <c r="N34" s="370">
        <v>171</v>
      </c>
      <c r="O34" s="370">
        <v>186</v>
      </c>
      <c r="P34" s="370">
        <v>54</v>
      </c>
      <c r="Q34" s="370">
        <v>156</v>
      </c>
      <c r="R34" s="370">
        <v>136</v>
      </c>
      <c r="S34" s="370">
        <v>242</v>
      </c>
      <c r="T34" s="370">
        <v>112</v>
      </c>
      <c r="U34" s="380">
        <v>125</v>
      </c>
      <c r="V34" s="380">
        <v>136</v>
      </c>
      <c r="W34" s="371">
        <v>125</v>
      </c>
      <c r="X34" s="384">
        <f t="shared" si="33"/>
        <v>-11</v>
      </c>
      <c r="Y34" s="464">
        <v>124</v>
      </c>
      <c r="Z34" s="384">
        <f t="shared" si="34"/>
        <v>-12</v>
      </c>
      <c r="AA34" s="557"/>
      <c r="AD34" s="375" t="s">
        <v>282</v>
      </c>
      <c r="AE34" s="402"/>
      <c r="AF34" s="376">
        <f>+'Income Statement'!G24</f>
        <v>52479</v>
      </c>
      <c r="AG34" s="412">
        <v>53234.080000000002</v>
      </c>
    </row>
    <row r="35" spans="1:37" ht="18" customHeight="1">
      <c r="B35" t="s">
        <v>423</v>
      </c>
      <c r="D35" s="393" t="s">
        <v>180</v>
      </c>
      <c r="E35" s="376">
        <v>257</v>
      </c>
      <c r="F35" s="376">
        <v>187</v>
      </c>
      <c r="G35" s="376">
        <v>194</v>
      </c>
      <c r="H35" s="376">
        <v>185</v>
      </c>
      <c r="I35" s="376">
        <v>212</v>
      </c>
      <c r="J35" s="376">
        <v>72</v>
      </c>
      <c r="K35" s="376">
        <v>49</v>
      </c>
      <c r="L35" s="376">
        <v>-23</v>
      </c>
      <c r="M35" s="376">
        <v>-92</v>
      </c>
      <c r="N35" s="376">
        <v>-240</v>
      </c>
      <c r="O35" s="376">
        <v>-382</v>
      </c>
      <c r="P35" s="376">
        <v>-391</v>
      </c>
      <c r="Q35" s="376">
        <v>-326</v>
      </c>
      <c r="R35" s="376">
        <v>-262</v>
      </c>
      <c r="S35" s="376">
        <v>-233</v>
      </c>
      <c r="T35" s="376">
        <v>-195</v>
      </c>
      <c r="U35" s="394">
        <v>-134</v>
      </c>
      <c r="V35" s="394">
        <v>-109</v>
      </c>
      <c r="W35" s="395">
        <v>-60</v>
      </c>
      <c r="X35" s="396">
        <f t="shared" si="33"/>
        <v>49</v>
      </c>
      <c r="Y35" s="462">
        <v>-137</v>
      </c>
      <c r="Z35" s="396">
        <f t="shared" si="34"/>
        <v>-28</v>
      </c>
      <c r="AA35" s="555" t="s">
        <v>421</v>
      </c>
      <c r="AD35" s="144" t="s">
        <v>31</v>
      </c>
      <c r="AE35" s="403" t="s">
        <v>435</v>
      </c>
      <c r="AF35" s="360">
        <f>+AF34/AF32</f>
        <v>0.3204120010257287</v>
      </c>
      <c r="AG35" s="360">
        <f>+AG34/AG32</f>
        <v>0.32345064705526017</v>
      </c>
    </row>
    <row r="36" spans="1:37" ht="18" customHeight="1">
      <c r="B36" t="s">
        <v>423</v>
      </c>
      <c r="D36" s="30" t="s">
        <v>429</v>
      </c>
      <c r="E36" s="370">
        <v>139</v>
      </c>
      <c r="F36" s="370">
        <v>93</v>
      </c>
      <c r="G36" s="370">
        <v>12</v>
      </c>
      <c r="H36" s="370">
        <v>-34</v>
      </c>
      <c r="I36" s="370">
        <v>-28</v>
      </c>
      <c r="J36" s="370">
        <v>149</v>
      </c>
      <c r="K36" s="370">
        <v>60</v>
      </c>
      <c r="L36" s="370">
        <v>-133</v>
      </c>
      <c r="M36" s="370">
        <v>26</v>
      </c>
      <c r="N36" s="370">
        <v>214</v>
      </c>
      <c r="O36" s="370">
        <v>328</v>
      </c>
      <c r="P36" s="370">
        <v>342</v>
      </c>
      <c r="Q36" s="370">
        <v>323</v>
      </c>
      <c r="R36" s="370">
        <v>235</v>
      </c>
      <c r="S36" s="370">
        <v>0</v>
      </c>
      <c r="T36" s="370">
        <v>-156</v>
      </c>
      <c r="U36" s="380">
        <v>-251</v>
      </c>
      <c r="V36" s="380">
        <v>-180</v>
      </c>
      <c r="W36" s="371">
        <v>-147</v>
      </c>
      <c r="X36" s="384">
        <f t="shared" si="33"/>
        <v>33</v>
      </c>
      <c r="Y36" s="464">
        <v>-138</v>
      </c>
      <c r="Z36" s="384">
        <f t="shared" si="34"/>
        <v>42</v>
      </c>
      <c r="AA36" s="557"/>
      <c r="AD36" s="375" t="s">
        <v>424</v>
      </c>
      <c r="AE36" s="402" t="s">
        <v>434</v>
      </c>
      <c r="AF36" s="376">
        <f>+'Cash Flow'!G89</f>
        <v>22408</v>
      </c>
      <c r="AG36" s="412">
        <v>21608.29</v>
      </c>
    </row>
    <row r="37" spans="1:37" s="475" customFormat="1" ht="18" customHeight="1">
      <c r="D37" s="480" t="s">
        <v>474</v>
      </c>
      <c r="E37" s="370"/>
      <c r="F37" s="370"/>
      <c r="G37" s="370"/>
      <c r="H37" s="370"/>
      <c r="I37" s="370"/>
      <c r="J37" s="370"/>
      <c r="K37" s="370"/>
      <c r="L37" s="370"/>
      <c r="M37" s="370"/>
      <c r="N37" s="370"/>
      <c r="O37" s="370"/>
      <c r="P37" s="370"/>
      <c r="Q37" s="370"/>
      <c r="R37" s="370">
        <v>267</v>
      </c>
      <c r="S37" s="370">
        <v>72</v>
      </c>
      <c r="T37" s="370">
        <v>152</v>
      </c>
      <c r="U37" s="380">
        <v>296</v>
      </c>
      <c r="V37" s="380">
        <v>325</v>
      </c>
      <c r="W37" s="371">
        <v>368</v>
      </c>
      <c r="X37" s="384">
        <f t="shared" si="33"/>
        <v>43</v>
      </c>
      <c r="Y37" s="464">
        <v>327</v>
      </c>
      <c r="Z37" s="384"/>
      <c r="AA37" s="559"/>
      <c r="AC37" s="444"/>
      <c r="AD37" s="144" t="s">
        <v>425</v>
      </c>
      <c r="AE37" s="403"/>
      <c r="AF37" s="360">
        <f>AF36/AF32</f>
        <v>0.13681267019159146</v>
      </c>
      <c r="AG37" s="360">
        <f>+AG36/AG32</f>
        <v>0.13129212305834359</v>
      </c>
      <c r="AH37"/>
      <c r="AI37"/>
      <c r="AJ37"/>
      <c r="AK37"/>
    </row>
    <row r="38" spans="1:37" ht="18" customHeight="1">
      <c r="D38" s="426" t="s">
        <v>269</v>
      </c>
      <c r="E38" s="427"/>
      <c r="F38" s="427"/>
      <c r="G38" s="427"/>
      <c r="H38" s="427"/>
      <c r="I38" s="427"/>
      <c r="J38" s="427"/>
      <c r="K38" s="427"/>
      <c r="L38" s="427"/>
      <c r="M38" s="427"/>
      <c r="N38" s="427"/>
      <c r="O38" s="427"/>
      <c r="P38" s="427"/>
      <c r="Q38" s="427"/>
      <c r="R38" s="427"/>
      <c r="S38" s="427"/>
      <c r="T38" s="427"/>
      <c r="U38" s="428"/>
      <c r="V38" s="428"/>
      <c r="W38" s="427"/>
      <c r="X38" s="428"/>
      <c r="Y38" s="429"/>
      <c r="Z38" s="428"/>
      <c r="AA38" s="429"/>
      <c r="AD38" s="375" t="s">
        <v>175</v>
      </c>
      <c r="AE38" s="402"/>
      <c r="AF38" s="376">
        <f>+'Cash Flow'!G59</f>
        <v>16936</v>
      </c>
      <c r="AG38" s="376"/>
    </row>
    <row r="39" spans="1:37" ht="18" customHeight="1">
      <c r="D39" s="30" t="s">
        <v>113</v>
      </c>
      <c r="E39" s="370">
        <f>'Business Solutions'!AN27</f>
        <v>17008</v>
      </c>
      <c r="F39" s="370">
        <f>'Business Solutions'!AO27</f>
        <v>17556</v>
      </c>
      <c r="G39" s="370">
        <f>'Business Solutions'!AP27</f>
        <v>17344</v>
      </c>
      <c r="H39" s="370">
        <f>'Business Solutions'!AQ27</f>
        <v>17046</v>
      </c>
      <c r="I39" s="370">
        <f>'Business Solutions'!AR27</f>
        <v>17487</v>
      </c>
      <c r="J39" s="370">
        <f>'Business Solutions'!AS27</f>
        <v>18729</v>
      </c>
      <c r="K39" s="370">
        <f>'Business Solutions'!AT27</f>
        <v>17557</v>
      </c>
      <c r="L39" s="370">
        <f>'Business Solutions'!AU27</f>
        <v>17664</v>
      </c>
      <c r="M39" s="370">
        <f>'Business Solutions'!AV27</f>
        <v>17692</v>
      </c>
      <c r="N39" s="370">
        <f>'Business Solutions'!AW27</f>
        <v>18214</v>
      </c>
      <c r="O39" s="370">
        <f>'Business Solutions'!AX27</f>
        <v>17609</v>
      </c>
      <c r="P39" s="370">
        <f>'Business Solutions'!AY27</f>
        <v>17579</v>
      </c>
      <c r="Q39" s="370">
        <f>'Business Solutions'!AZ27</f>
        <v>17767</v>
      </c>
      <c r="R39" s="370">
        <f>'Business Solutions'!BA27</f>
        <v>18033</v>
      </c>
      <c r="S39" s="370">
        <f>'Business Solutions'!BB27</f>
        <v>16848</v>
      </c>
      <c r="T39" s="370">
        <f>'Business Solutions'!BC27</f>
        <v>17107</v>
      </c>
      <c r="U39" s="380">
        <f>'Business Solutions'!BD27</f>
        <v>17061</v>
      </c>
      <c r="V39" s="380">
        <v>17717.896543588857</v>
      </c>
      <c r="W39" s="371">
        <v>18390</v>
      </c>
      <c r="X39" s="384">
        <f>W39-V39</f>
        <v>672.10345641114327</v>
      </c>
      <c r="Y39" s="469">
        <v>17680</v>
      </c>
      <c r="Z39" s="384">
        <f>+Y39-V39</f>
        <v>-37.89654358885673</v>
      </c>
      <c r="AA39" s="554" t="s">
        <v>421</v>
      </c>
      <c r="AD39" s="144" t="s">
        <v>32</v>
      </c>
      <c r="AE39" s="403" t="s">
        <v>436</v>
      </c>
      <c r="AF39" s="362">
        <f>+'Cash Flow'!G59/'Cash Flow'!F59-1</f>
        <v>6.750709108099584E-2</v>
      </c>
      <c r="AG39" s="362"/>
    </row>
    <row r="40" spans="1:37" ht="18" customHeight="1">
      <c r="D40" s="30" t="s">
        <v>32</v>
      </c>
      <c r="E40" s="372"/>
      <c r="F40" s="372"/>
      <c r="G40" s="372"/>
      <c r="H40" s="372"/>
      <c r="I40" s="372">
        <f t="shared" ref="I40:K40" si="35">+I39/E39-1</f>
        <v>2.8163217309501443E-2</v>
      </c>
      <c r="J40" s="372">
        <f t="shared" si="35"/>
        <v>6.6814764183185327E-2</v>
      </c>
      <c r="K40" s="372">
        <f t="shared" si="35"/>
        <v>1.2280904059040587E-2</v>
      </c>
      <c r="L40" s="372">
        <f t="shared" ref="L40" si="36">+L39/H39-1</f>
        <v>3.6254839845125009E-2</v>
      </c>
      <c r="M40" s="372">
        <f t="shared" ref="M40" si="37">+M39/I39-1</f>
        <v>1.1722994224280914E-2</v>
      </c>
      <c r="N40" s="372">
        <f t="shared" ref="N40" si="38">+N39/J39-1</f>
        <v>-2.7497463826151924E-2</v>
      </c>
      <c r="O40" s="372">
        <f t="shared" ref="O40" si="39">+O39/K39-1</f>
        <v>2.9617816255624874E-3</v>
      </c>
      <c r="P40" s="372">
        <f t="shared" ref="P40" si="40">+P39/L39-1</f>
        <v>-4.8120471014492239E-3</v>
      </c>
      <c r="Q40" s="372">
        <f t="shared" ref="Q40" si="41">+Q39/M39-1</f>
        <v>4.2392041600722852E-3</v>
      </c>
      <c r="R40" s="372">
        <f t="shared" ref="R40" si="42">+R39/N39-1</f>
        <v>-9.9374107829142133E-3</v>
      </c>
      <c r="S40" s="372">
        <f t="shared" ref="S40" si="43">+S39/O39-1</f>
        <v>-4.3216536998125998E-2</v>
      </c>
      <c r="T40" s="372">
        <f t="shared" ref="T40" si="44">+T39/P39-1</f>
        <v>-2.6850219011320342E-2</v>
      </c>
      <c r="U40" s="374">
        <f t="shared" ref="U40" si="45">+U39/Q39-1</f>
        <v>-3.9736590307874131E-2</v>
      </c>
      <c r="V40" s="374">
        <v>-1.7473712438925482E-2</v>
      </c>
      <c r="W40" s="372">
        <f>+W39/R39-1</f>
        <v>1.9797038762269237E-2</v>
      </c>
      <c r="X40" s="383">
        <f>+(W40-V40)*10000</f>
        <v>372.70751201194719</v>
      </c>
      <c r="Y40" s="463">
        <f>+Y39/R39-1</f>
        <v>-1.9575223201907632E-2</v>
      </c>
      <c r="Z40" s="383">
        <f>+(Y40-V40)*10000</f>
        <v>-21.015107629821507</v>
      </c>
      <c r="AA40" s="554"/>
    </row>
    <row r="41" spans="1:37" ht="18" customHeight="1">
      <c r="D41" s="393" t="s">
        <v>185</v>
      </c>
      <c r="E41" s="376">
        <f>'Business Solutions'!AN45</f>
        <v>6227</v>
      </c>
      <c r="F41" s="376">
        <f>'Business Solutions'!AO45</f>
        <v>5919</v>
      </c>
      <c r="G41" s="376">
        <f>'Business Solutions'!AP45</f>
        <v>6630</v>
      </c>
      <c r="H41" s="376">
        <f>'Business Solutions'!AQ45</f>
        <v>6219</v>
      </c>
      <c r="I41" s="376">
        <f>'Business Solutions'!AR45</f>
        <v>6192</v>
      </c>
      <c r="J41" s="376">
        <f>'Business Solutions'!AS45</f>
        <v>5739</v>
      </c>
      <c r="K41" s="376">
        <f>'Business Solutions'!AT45</f>
        <v>6484</v>
      </c>
      <c r="L41" s="376">
        <f>'Business Solutions'!AU45</f>
        <v>6692</v>
      </c>
      <c r="M41" s="376">
        <f>'Business Solutions'!AV45</f>
        <v>6771</v>
      </c>
      <c r="N41" s="376">
        <f>'Business Solutions'!AW45</f>
        <v>6234</v>
      </c>
      <c r="O41" s="376">
        <f>'Business Solutions'!AX45</f>
        <v>6807</v>
      </c>
      <c r="P41" s="376">
        <f>'Business Solutions'!AY45</f>
        <v>6722</v>
      </c>
      <c r="Q41" s="376">
        <f>'Business Solutions'!AZ45</f>
        <v>6842</v>
      </c>
      <c r="R41" s="376">
        <f>'Business Solutions'!BA45</f>
        <v>6287</v>
      </c>
      <c r="S41" s="376">
        <f>'Business Solutions'!BB45</f>
        <v>6672</v>
      </c>
      <c r="T41" s="376">
        <f>'Business Solutions'!BC45</f>
        <v>6794</v>
      </c>
      <c r="U41" s="394">
        <f>'Business Solutions'!BD45</f>
        <v>6828</v>
      </c>
      <c r="V41" s="394">
        <v>6606.816508625252</v>
      </c>
      <c r="W41" s="417">
        <v>6183</v>
      </c>
      <c r="X41" s="396">
        <f>W41-V41</f>
        <v>-423.81650862525203</v>
      </c>
      <c r="Y41" s="462">
        <v>6530</v>
      </c>
      <c r="Z41" s="396">
        <f>+Y41-V41</f>
        <v>-76.816508625252027</v>
      </c>
      <c r="AA41" s="555" t="s">
        <v>193</v>
      </c>
    </row>
    <row r="42" spans="1:37" ht="18" customHeight="1">
      <c r="D42" s="407" t="s">
        <v>426</v>
      </c>
      <c r="E42" s="408">
        <f>'Business Solutions'!AN46</f>
        <v>0.36612182502351837</v>
      </c>
      <c r="F42" s="408">
        <f>'Business Solutions'!AO46</f>
        <v>0.33714969241285031</v>
      </c>
      <c r="G42" s="408">
        <f>'Business Solutions'!AP46</f>
        <v>0.38226476014760147</v>
      </c>
      <c r="H42" s="408">
        <f>'Business Solutions'!AQ46</f>
        <v>0.36483632523759241</v>
      </c>
      <c r="I42" s="408">
        <f>'Business Solutions'!AR46</f>
        <v>0.35409161091096242</v>
      </c>
      <c r="J42" s="408">
        <f>'Business Solutions'!AS46</f>
        <v>0.30642319397725454</v>
      </c>
      <c r="K42" s="408">
        <f>'Business Solutions'!AT46</f>
        <v>0.36931138577205674</v>
      </c>
      <c r="L42" s="408">
        <f>'Business Solutions'!AU46</f>
        <v>0.37884963768115942</v>
      </c>
      <c r="M42" s="408">
        <f>'Business Solutions'!AV46</f>
        <v>0.38271535157133169</v>
      </c>
      <c r="N42" s="408">
        <f>'Business Solutions'!AW46</f>
        <v>0.3422641923794883</v>
      </c>
      <c r="O42" s="408">
        <f>'Business Solutions'!AX46</f>
        <v>0.38656368902265886</v>
      </c>
      <c r="P42" s="408">
        <f>'Business Solutions'!AY46</f>
        <v>0.38238807668240515</v>
      </c>
      <c r="Q42" s="408">
        <f>'Business Solutions'!AZ46</f>
        <v>0.38509596442843474</v>
      </c>
      <c r="R42" s="408">
        <f>'Business Solutions'!BA46</f>
        <v>0.34863860699828092</v>
      </c>
      <c r="S42" s="408">
        <f>'Business Solutions'!BB46</f>
        <v>0.39601139601139601</v>
      </c>
      <c r="T42" s="408">
        <f>'Business Solutions'!BC46</f>
        <v>0.3971473665750862</v>
      </c>
      <c r="U42" s="400">
        <f>'Business Solutions'!BD46</f>
        <v>0.40021100756110428</v>
      </c>
      <c r="V42" s="400">
        <v>0.37288943935141666</v>
      </c>
      <c r="W42" s="409">
        <f>+W41/W39</f>
        <v>0.33621533442088092</v>
      </c>
      <c r="X42" s="410">
        <f>+(W42-V42)*10000</f>
        <v>-366.74104930535742</v>
      </c>
      <c r="Y42" s="470">
        <f>+Y41/Y39</f>
        <v>0.36934389140271495</v>
      </c>
      <c r="Z42" s="410">
        <f>+(Y42-V42)*10000</f>
        <v>-35.455479487017108</v>
      </c>
      <c r="AA42" s="556"/>
    </row>
    <row r="43" spans="1:37" ht="18" customHeight="1">
      <c r="A43" s="443"/>
      <c r="B43" s="443"/>
      <c r="C43" s="443"/>
      <c r="D43" s="426" t="s">
        <v>276</v>
      </c>
      <c r="E43" s="427"/>
      <c r="F43" s="427"/>
      <c r="G43" s="427"/>
      <c r="H43" s="427"/>
      <c r="I43" s="427"/>
      <c r="J43" s="427"/>
      <c r="K43" s="427"/>
      <c r="L43" s="427"/>
      <c r="M43" s="427"/>
      <c r="N43" s="427"/>
      <c r="O43" s="427"/>
      <c r="P43" s="427"/>
      <c r="Q43" s="427"/>
      <c r="R43" s="427"/>
      <c r="S43" s="427"/>
      <c r="T43" s="427"/>
      <c r="U43" s="428"/>
      <c r="V43" s="428"/>
      <c r="W43" s="427"/>
      <c r="X43" s="428"/>
      <c r="Y43" s="429"/>
      <c r="Z43" s="428"/>
      <c r="AA43" s="429"/>
    </row>
    <row r="44" spans="1:37" ht="18" customHeight="1">
      <c r="A44" s="443"/>
      <c r="B44" s="443" t="s">
        <v>423</v>
      </c>
      <c r="C44" s="443"/>
      <c r="D44" s="30" t="s">
        <v>431</v>
      </c>
      <c r="E44" s="370">
        <f>'Consumer Mobility'!AN12</f>
        <v>8937</v>
      </c>
      <c r="F44" s="370">
        <f>'Consumer Mobility'!AO12</f>
        <v>9346</v>
      </c>
      <c r="G44" s="370">
        <f>'Consumer Mobility'!AP12</f>
        <v>8840</v>
      </c>
      <c r="H44" s="370">
        <f>'Consumer Mobility'!AQ12</f>
        <v>9199</v>
      </c>
      <c r="I44" s="370">
        <f>'Consumer Mobility'!AR12</f>
        <v>9208</v>
      </c>
      <c r="J44" s="370">
        <f>'Consumer Mobility'!AS12</f>
        <v>9522</v>
      </c>
      <c r="K44" s="370">
        <f>'Consumer Mobility'!AT12</f>
        <v>8778</v>
      </c>
      <c r="L44" s="370">
        <f>'Consumer Mobility'!AU12</f>
        <v>8755</v>
      </c>
      <c r="M44" s="370">
        <f>'Consumer Mobility'!AV12</f>
        <v>8784</v>
      </c>
      <c r="N44" s="370">
        <f>'Consumer Mobility'!AW12</f>
        <v>8749</v>
      </c>
      <c r="O44" s="370">
        <f>'Consumer Mobility'!AX12</f>
        <v>8328</v>
      </c>
      <c r="P44" s="370">
        <f>'Consumer Mobility'!AY12</f>
        <v>8186</v>
      </c>
      <c r="Q44" s="370">
        <f>'Consumer Mobility'!AZ12</f>
        <v>8267</v>
      </c>
      <c r="R44" s="370">
        <f>'Consumer Mobility'!BA12</f>
        <v>8419</v>
      </c>
      <c r="S44" s="370">
        <f>'Consumer Mobility'!BB12</f>
        <v>7740</v>
      </c>
      <c r="T44" s="370">
        <f>'Consumer Mobility'!BC12</f>
        <v>7791</v>
      </c>
      <c r="U44" s="380">
        <f>'Consumer Mobility'!BD12</f>
        <v>7770</v>
      </c>
      <c r="V44" s="380">
        <v>8251.4736378404177</v>
      </c>
      <c r="W44" s="371">
        <v>8273</v>
      </c>
      <c r="X44" s="384">
        <f>W44-V44</f>
        <v>21.526362159582277</v>
      </c>
      <c r="Y44" s="464">
        <v>8060</v>
      </c>
      <c r="Z44" s="384">
        <f>+Y44-V44</f>
        <v>-191.47363784041772</v>
      </c>
      <c r="AA44" s="554" t="s">
        <v>422</v>
      </c>
    </row>
    <row r="45" spans="1:37" ht="18" customHeight="1">
      <c r="A45" s="443"/>
      <c r="B45" s="443"/>
      <c r="C45" s="443"/>
      <c r="D45" s="30" t="s">
        <v>32</v>
      </c>
      <c r="E45" s="372"/>
      <c r="F45" s="372"/>
      <c r="G45" s="372"/>
      <c r="H45" s="372"/>
      <c r="I45" s="372">
        <f t="shared" ref="I45" si="46">+I44/E44-1</f>
        <v>3.0323374734250841E-2</v>
      </c>
      <c r="J45" s="372">
        <f t="shared" ref="J45" si="47">+J44/F44-1</f>
        <v>1.8831585705114451E-2</v>
      </c>
      <c r="K45" s="372">
        <f t="shared" ref="K45" si="48">+K44/G44-1</f>
        <v>-7.0135746606334592E-3</v>
      </c>
      <c r="L45" s="372">
        <f t="shared" ref="L45" si="49">+L44/H44-1</f>
        <v>-4.826611588216112E-2</v>
      </c>
      <c r="M45" s="372">
        <f t="shared" ref="M45" si="50">+M44/I44-1</f>
        <v>-4.6046915725456161E-2</v>
      </c>
      <c r="N45" s="372">
        <f t="shared" ref="N45" si="51">+N44/J44-1</f>
        <v>-8.1180424280613339E-2</v>
      </c>
      <c r="O45" s="372">
        <f t="shared" ref="O45" si="52">+O44/K44-1</f>
        <v>-5.1264524948735457E-2</v>
      </c>
      <c r="P45" s="372">
        <f t="shared" ref="P45" si="53">+P44/L44-1</f>
        <v>-6.4991433466590531E-2</v>
      </c>
      <c r="Q45" s="372">
        <f t="shared" ref="Q45" si="54">+Q44/M44-1</f>
        <v>-5.8857012750455406E-2</v>
      </c>
      <c r="R45" s="372">
        <f t="shared" ref="R45" si="55">+R44/N44-1</f>
        <v>-3.7718596411018379E-2</v>
      </c>
      <c r="S45" s="372">
        <f t="shared" ref="S45" si="56">+S44/O44-1</f>
        <v>-7.0605187319884744E-2</v>
      </c>
      <c r="T45" s="372">
        <f t="shared" ref="T45" si="57">+T44/P44-1</f>
        <v>-4.8253115074517461E-2</v>
      </c>
      <c r="U45" s="374">
        <f t="shared" ref="U45" si="58">+U44/Q44-1</f>
        <v>-6.0118543607112662E-2</v>
      </c>
      <c r="V45" s="374">
        <v>-1.9898605791612067E-2</v>
      </c>
      <c r="W45" s="372">
        <f>+W44/R44-1</f>
        <v>-1.7341727045967481E-2</v>
      </c>
      <c r="X45" s="383">
        <f>+(W45-V45)*10000</f>
        <v>25.568787456445861</v>
      </c>
      <c r="Y45" s="463">
        <f>+Y44/R44-1</f>
        <v>-4.2641643900700799E-2</v>
      </c>
      <c r="Z45" s="383">
        <f>+(Y45-V45)*10000</f>
        <v>-227.43038109088732</v>
      </c>
      <c r="AA45" s="554"/>
      <c r="AB45" s="443"/>
    </row>
    <row r="46" spans="1:37" ht="18" customHeight="1">
      <c r="A46" s="443"/>
      <c r="B46" s="443" t="s">
        <v>423</v>
      </c>
      <c r="C46" s="443"/>
      <c r="D46" s="393" t="s">
        <v>185</v>
      </c>
      <c r="E46" s="376">
        <f>'Consumer Mobility'!AN20</f>
        <v>3435</v>
      </c>
      <c r="F46" s="376">
        <f>'Consumer Mobility'!AO20</f>
        <v>3016</v>
      </c>
      <c r="G46" s="376">
        <f>'Consumer Mobility'!AP20</f>
        <v>3421</v>
      </c>
      <c r="H46" s="376">
        <f>'Consumer Mobility'!AQ20</f>
        <v>3289</v>
      </c>
      <c r="I46" s="376">
        <f>'Consumer Mobility'!AR20</f>
        <v>3648</v>
      </c>
      <c r="J46" s="376">
        <f>'Consumer Mobility'!AS20</f>
        <v>3097</v>
      </c>
      <c r="K46" s="376">
        <f>'Consumer Mobility'!AT20</f>
        <v>3446</v>
      </c>
      <c r="L46" s="376">
        <f>'Consumer Mobility'!AU20</f>
        <v>4132</v>
      </c>
      <c r="M46" s="376">
        <f>'Consumer Mobility'!AV20</f>
        <v>4111</v>
      </c>
      <c r="N46" s="376">
        <f>'Consumer Mobility'!AW20</f>
        <v>3214</v>
      </c>
      <c r="O46" s="376">
        <f>'Consumer Mobility'!AX20</f>
        <v>3458</v>
      </c>
      <c r="P46" s="376">
        <f>'Consumer Mobility'!AY20</f>
        <v>3539</v>
      </c>
      <c r="Q46" s="376">
        <f>'Consumer Mobility'!AZ20</f>
        <v>3533</v>
      </c>
      <c r="R46" s="376">
        <f>'Consumer Mobility'!BA20</f>
        <v>3104</v>
      </c>
      <c r="S46" s="376">
        <f>'Consumer Mobility'!BB20</f>
        <v>3212</v>
      </c>
      <c r="T46" s="376">
        <f>'Consumer Mobility'!BC20</f>
        <v>3271</v>
      </c>
      <c r="U46" s="394">
        <f>'Consumer Mobility'!BD20</f>
        <v>3219</v>
      </c>
      <c r="V46" s="394">
        <v>3077.9900178629541</v>
      </c>
      <c r="W46" s="417">
        <v>2906</v>
      </c>
      <c r="X46" s="396">
        <f>W46-V46</f>
        <v>-171.99001786295412</v>
      </c>
      <c r="Y46" s="462">
        <v>2990</v>
      </c>
      <c r="Z46" s="396">
        <f>+Y46-V46</f>
        <v>-87.990017862954119</v>
      </c>
      <c r="AA46" s="555" t="s">
        <v>193</v>
      </c>
      <c r="AB46" s="443"/>
    </row>
    <row r="47" spans="1:37" ht="18" customHeight="1">
      <c r="A47" s="443"/>
      <c r="B47" s="443"/>
      <c r="C47" s="443"/>
      <c r="D47" s="30" t="s">
        <v>426</v>
      </c>
      <c r="E47" s="373">
        <f>'Consumer Mobility'!AN21</f>
        <v>0.38435716683450821</v>
      </c>
      <c r="F47" s="373">
        <f>'Consumer Mobility'!AO21</f>
        <v>0.3227049004921892</v>
      </c>
      <c r="G47" s="373">
        <f>'Consumer Mobility'!AP21</f>
        <v>0.38699095022624436</v>
      </c>
      <c r="H47" s="373">
        <f>'Consumer Mobility'!AQ21</f>
        <v>0.35753886291988257</v>
      </c>
      <c r="I47" s="373">
        <f>'Consumer Mobility'!AR21</f>
        <v>0.39617723718505649</v>
      </c>
      <c r="J47" s="373">
        <f>'Consumer Mobility'!AS21</f>
        <v>0.3252467968914094</v>
      </c>
      <c r="K47" s="373">
        <f>'Consumer Mobility'!AT21</f>
        <v>0.39257233994076102</v>
      </c>
      <c r="L47" s="373">
        <f>'Consumer Mobility'!AU21</f>
        <v>0.47195888063963448</v>
      </c>
      <c r="M47" s="373">
        <f>'Consumer Mobility'!AV21</f>
        <v>0.46801001821493626</v>
      </c>
      <c r="N47" s="373">
        <f>'Consumer Mobility'!AW21</f>
        <v>0.36735626928791865</v>
      </c>
      <c r="O47" s="373">
        <f>'Consumer Mobility'!AX21</f>
        <v>0.41522574447646493</v>
      </c>
      <c r="P47" s="373">
        <f>'Consumer Mobility'!AY21</f>
        <v>0.43232347911067676</v>
      </c>
      <c r="Q47" s="373">
        <f>'Consumer Mobility'!AZ21</f>
        <v>0.42736179992742229</v>
      </c>
      <c r="R47" s="373">
        <f>'Consumer Mobility'!BA21</f>
        <v>0.36868986815536287</v>
      </c>
      <c r="S47" s="373">
        <f>'Consumer Mobility'!BB21</f>
        <v>0.41498708010335916</v>
      </c>
      <c r="T47" s="373">
        <f>'Consumer Mobility'!BC21</f>
        <v>0.41984340906173789</v>
      </c>
      <c r="U47" s="379">
        <f>'Consumer Mobility'!BD21</f>
        <v>0.41428571428571431</v>
      </c>
      <c r="V47" s="379">
        <v>0.37302306872164087</v>
      </c>
      <c r="W47" s="372">
        <f>W46/W44</f>
        <v>0.35126314517103829</v>
      </c>
      <c r="X47" s="410">
        <f>+(W47-V47)*10000</f>
        <v>-217.59923550602579</v>
      </c>
      <c r="Y47" s="463">
        <f>+Y46/Y44</f>
        <v>0.37096774193548387</v>
      </c>
      <c r="Z47" s="383">
        <f>+(Y47-V47)*10000</f>
        <v>-20.553267861569967</v>
      </c>
      <c r="AA47" s="557"/>
      <c r="AB47" s="443"/>
      <c r="AC47" s="475"/>
      <c r="AD47" s="475">
        <v>6183</v>
      </c>
      <c r="AE47" s="475"/>
      <c r="AF47" s="475"/>
      <c r="AG47" s="475"/>
      <c r="AH47" s="475"/>
      <c r="AI47" s="475"/>
    </row>
    <row r="48" spans="1:37" ht="18" hidden="1" customHeight="1" outlineLevel="1">
      <c r="A48" s="443"/>
      <c r="B48" s="443"/>
      <c r="C48" s="443"/>
      <c r="D48" s="426" t="s">
        <v>115</v>
      </c>
      <c r="E48" s="427"/>
      <c r="F48" s="427"/>
      <c r="G48" s="427"/>
      <c r="H48" s="427"/>
      <c r="I48" s="427"/>
      <c r="J48" s="427"/>
      <c r="K48" s="427"/>
      <c r="L48" s="427"/>
      <c r="M48" s="427"/>
      <c r="N48" s="427"/>
      <c r="O48" s="427"/>
      <c r="P48" s="427"/>
      <c r="Q48" s="427"/>
      <c r="R48" s="427"/>
      <c r="S48" s="427"/>
      <c r="T48" s="427"/>
      <c r="U48" s="428"/>
      <c r="V48" s="428"/>
      <c r="W48" s="427"/>
      <c r="X48" s="428"/>
      <c r="Y48" s="429"/>
      <c r="Z48" s="428"/>
      <c r="AA48" s="429"/>
      <c r="AB48" s="443"/>
      <c r="AD48">
        <v>2906</v>
      </c>
    </row>
    <row r="49" spans="1:37" ht="18" hidden="1" customHeight="1" outlineLevel="1">
      <c r="A49" s="443"/>
      <c r="B49" s="443" t="s">
        <v>423</v>
      </c>
      <c r="C49" s="443"/>
      <c r="D49" s="30" t="s">
        <v>431</v>
      </c>
      <c r="E49" s="370"/>
      <c r="F49" s="370"/>
      <c r="G49" s="370"/>
      <c r="H49" s="370"/>
      <c r="I49" s="370"/>
      <c r="J49" s="370"/>
      <c r="K49" s="370">
        <v>236</v>
      </c>
      <c r="L49" s="370">
        <v>491</v>
      </c>
      <c r="M49" s="370">
        <v>1526</v>
      </c>
      <c r="N49" s="370">
        <v>1849</v>
      </c>
      <c r="O49" s="370">
        <v>1667</v>
      </c>
      <c r="P49" s="370">
        <v>1828</v>
      </c>
      <c r="Q49" s="370">
        <v>1879</v>
      </c>
      <c r="R49" s="370">
        <v>1909</v>
      </c>
      <c r="S49" s="370">
        <v>1929</v>
      </c>
      <c r="T49" s="370">
        <v>2026</v>
      </c>
      <c r="U49" s="380">
        <v>2099</v>
      </c>
      <c r="V49" s="380">
        <v>2090.7861942297413</v>
      </c>
      <c r="W49" s="371">
        <v>2026</v>
      </c>
      <c r="X49" s="384">
        <f>W49-V49</f>
        <v>-64.786194229741341</v>
      </c>
      <c r="Y49" s="464">
        <v>2030</v>
      </c>
      <c r="Z49" s="384">
        <f>+Y49-V49</f>
        <v>-60.786194229741341</v>
      </c>
      <c r="AA49" s="554" t="s">
        <v>422</v>
      </c>
      <c r="AB49" s="443"/>
      <c r="AD49">
        <v>2716</v>
      </c>
    </row>
    <row r="50" spans="1:37" ht="18" hidden="1" customHeight="1" outlineLevel="1">
      <c r="A50" s="443"/>
      <c r="B50" s="443"/>
      <c r="C50" s="443"/>
      <c r="D50" s="30" t="s">
        <v>32</v>
      </c>
      <c r="E50" s="372"/>
      <c r="F50" s="372"/>
      <c r="G50" s="372"/>
      <c r="H50" s="372"/>
      <c r="I50" s="372"/>
      <c r="J50" s="372"/>
      <c r="K50" s="372"/>
      <c r="L50" s="372"/>
      <c r="M50" s="372"/>
      <c r="N50" s="372"/>
      <c r="O50" s="372"/>
      <c r="P50" s="372"/>
      <c r="Q50" s="372"/>
      <c r="R50" s="372"/>
      <c r="S50" s="372"/>
      <c r="T50" s="372"/>
      <c r="U50" s="374"/>
      <c r="V50" s="374"/>
      <c r="W50" s="372">
        <f>+W49/R49-1</f>
        <v>6.1288632792037667E-2</v>
      </c>
      <c r="X50" s="383">
        <f>+(W50-V50)*10000</f>
        <v>612.88632792037663</v>
      </c>
      <c r="Y50" s="463">
        <f>+Y49/R49-1</f>
        <v>6.3383970665269684E-2</v>
      </c>
      <c r="Z50" s="383">
        <f>+(Y50-V50)*10000</f>
        <v>633.8397066526968</v>
      </c>
      <c r="AA50" s="554"/>
      <c r="AB50" s="443"/>
      <c r="AD50">
        <f>207-175</f>
        <v>32</v>
      </c>
    </row>
    <row r="51" spans="1:37" ht="18" hidden="1" customHeight="1" outlineLevel="1">
      <c r="A51" s="443"/>
      <c r="B51" s="443" t="s">
        <v>423</v>
      </c>
      <c r="C51" s="443"/>
      <c r="D51" s="393" t="s">
        <v>185</v>
      </c>
      <c r="E51" s="376"/>
      <c r="F51" s="376"/>
      <c r="G51" s="376"/>
      <c r="H51" s="376"/>
      <c r="I51" s="376"/>
      <c r="J51" s="376"/>
      <c r="K51" s="376">
        <v>18</v>
      </c>
      <c r="L51" s="376">
        <v>-38</v>
      </c>
      <c r="M51" s="376">
        <v>142</v>
      </c>
      <c r="N51" s="376">
        <v>50</v>
      </c>
      <c r="O51" s="376">
        <v>79</v>
      </c>
      <c r="P51" s="376">
        <v>105</v>
      </c>
      <c r="Q51" s="376">
        <v>239</v>
      </c>
      <c r="R51" s="376">
        <v>30</v>
      </c>
      <c r="S51" s="376">
        <v>170</v>
      </c>
      <c r="T51" s="376">
        <v>254</v>
      </c>
      <c r="U51" s="394">
        <v>162</v>
      </c>
      <c r="V51" s="394">
        <v>161.36606167947502</v>
      </c>
      <c r="W51" s="417">
        <v>254</v>
      </c>
      <c r="X51" s="396">
        <f>W51-V51</f>
        <v>92.633938320524976</v>
      </c>
      <c r="Y51" s="462">
        <v>241.5</v>
      </c>
      <c r="Z51" s="396">
        <f>+Y51-V51</f>
        <v>80.133938320524976</v>
      </c>
      <c r="AA51" s="555" t="s">
        <v>421</v>
      </c>
      <c r="AB51" s="443"/>
    </row>
    <row r="52" spans="1:37" ht="18" hidden="1" customHeight="1" outlineLevel="1">
      <c r="A52" s="443"/>
      <c r="B52" s="443"/>
      <c r="C52" s="443"/>
      <c r="D52" s="407" t="s">
        <v>426</v>
      </c>
      <c r="E52" s="408"/>
      <c r="F52" s="408"/>
      <c r="G52" s="408"/>
      <c r="H52" s="408"/>
      <c r="I52" s="408"/>
      <c r="J52" s="408"/>
      <c r="K52" s="408">
        <v>7.6271186440677971E-2</v>
      </c>
      <c r="L52" s="408">
        <v>-7.7393075356415472E-2</v>
      </c>
      <c r="M52" s="408">
        <v>9.3053735255570119E-2</v>
      </c>
      <c r="N52" s="408">
        <v>2.7041644131963222E-2</v>
      </c>
      <c r="O52" s="408">
        <v>4.7390521895620874E-2</v>
      </c>
      <c r="P52" s="408">
        <v>5.7439824945295405E-2</v>
      </c>
      <c r="Q52" s="408">
        <v>0.12719531665779671</v>
      </c>
      <c r="R52" s="408">
        <v>1.5715034049240441E-2</v>
      </c>
      <c r="S52" s="408">
        <v>8.8128564022809747E-2</v>
      </c>
      <c r="T52" s="408">
        <v>0.12537018756169793</v>
      </c>
      <c r="U52" s="400">
        <v>7.7179609337779898E-2</v>
      </c>
      <c r="V52" s="400">
        <v>7.7179609337779884E-2</v>
      </c>
      <c r="W52" s="409">
        <f>+W51/W49</f>
        <v>0.12537018756169793</v>
      </c>
      <c r="X52" s="410">
        <f>+(W52-V52)*10000</f>
        <v>481.9057822391805</v>
      </c>
      <c r="Y52" s="470">
        <f>+Y51/Y49</f>
        <v>0.11896551724137931</v>
      </c>
      <c r="Z52" s="410">
        <f>+(Y52-V52)*10000</f>
        <v>417.85907903599428</v>
      </c>
      <c r="AA52" s="556"/>
      <c r="AB52" s="443"/>
      <c r="AD52">
        <f>SUM(AD47:AD51)</f>
        <v>11837</v>
      </c>
    </row>
    <row r="53" spans="1:37" s="501" customFormat="1" ht="18" customHeight="1" collapsed="1">
      <c r="D53" s="426" t="s">
        <v>485</v>
      </c>
      <c r="E53" s="427"/>
      <c r="F53" s="427"/>
      <c r="G53" s="427"/>
      <c r="H53" s="427"/>
      <c r="I53" s="427"/>
      <c r="J53" s="427"/>
      <c r="K53" s="427"/>
      <c r="L53" s="427"/>
      <c r="M53" s="427"/>
      <c r="N53" s="427"/>
      <c r="O53" s="427"/>
      <c r="P53" s="427"/>
      <c r="Q53" s="427"/>
      <c r="R53" s="427"/>
      <c r="S53" s="427"/>
      <c r="T53" s="427"/>
      <c r="U53" s="428"/>
      <c r="V53" s="428"/>
      <c r="W53" s="427"/>
      <c r="X53" s="428"/>
      <c r="Y53" s="429"/>
      <c r="Z53" s="428"/>
      <c r="AA53" s="429"/>
      <c r="AC53" s="444"/>
      <c r="AD53"/>
      <c r="AE53"/>
      <c r="AF53"/>
      <c r="AG53"/>
      <c r="AH53"/>
      <c r="AI53"/>
      <c r="AJ53" s="475"/>
      <c r="AK53" s="475"/>
    </row>
    <row r="54" spans="1:37" s="501" customFormat="1" ht="18" customHeight="1">
      <c r="B54" s="501" t="s">
        <v>423</v>
      </c>
      <c r="D54" s="30" t="s">
        <v>431</v>
      </c>
      <c r="E54" s="370">
        <f>'E&amp;I + International'!AN8</f>
        <v>5389</v>
      </c>
      <c r="F54" s="370">
        <f>'E&amp;I + International'!AO8</f>
        <v>5455</v>
      </c>
      <c r="G54" s="370">
        <f>'E&amp;I + International'!AP8</f>
        <v>5525</v>
      </c>
      <c r="H54" s="370">
        <f>'E&amp;I + International'!AQ8</f>
        <v>5562</v>
      </c>
      <c r="I54" s="370">
        <f>'E&amp;I + International'!AR8</f>
        <v>5553</v>
      </c>
      <c r="J54" s="370">
        <f>'E&amp;I + International'!AS8</f>
        <v>5593</v>
      </c>
      <c r="K54" s="370">
        <f>'E&amp;I + International'!AT8</f>
        <v>5896</v>
      </c>
      <c r="L54" s="370">
        <f>'E&amp;I + International'!AU8</f>
        <v>6273</v>
      </c>
      <c r="M54" s="370">
        <f>'E&amp;I + International'!AV8</f>
        <v>12384</v>
      </c>
      <c r="N54" s="370">
        <f>'E&amp;I + International'!AW8</f>
        <v>14843</v>
      </c>
      <c r="O54" s="370">
        <f>'E&amp;I + International'!AX8</f>
        <v>14325</v>
      </c>
      <c r="P54" s="370">
        <f>'E&amp;I + International'!AY8</f>
        <v>14539</v>
      </c>
      <c r="Q54" s="370">
        <f>'E&amp;I + International'!AZ8</f>
        <v>14599</v>
      </c>
      <c r="R54" s="370">
        <f>'E&amp;I + International'!BA8</f>
        <v>15115</v>
      </c>
      <c r="S54" s="370">
        <f>'E&amp;I + International'!BB8</f>
        <v>14552</v>
      </c>
      <c r="T54" s="370">
        <f>'E&amp;I + International'!BC8</f>
        <v>14708</v>
      </c>
      <c r="U54" s="380">
        <f>'E&amp;I + International'!BD8</f>
        <v>14747</v>
      </c>
      <c r="V54" s="380">
        <v>14814.333288104903</v>
      </c>
      <c r="W54" s="371">
        <f>12745+2215</f>
        <v>14960</v>
      </c>
      <c r="X54" s="384">
        <f>W54-V54</f>
        <v>145.66671189509725</v>
      </c>
      <c r="Y54" s="464">
        <f>13100+2140</f>
        <v>15240</v>
      </c>
      <c r="Z54" s="384">
        <f>+Y54-V54</f>
        <v>425.66671189509725</v>
      </c>
      <c r="AA54" s="554" t="s">
        <v>421</v>
      </c>
      <c r="AC54" s="444"/>
      <c r="AD54"/>
      <c r="AE54"/>
      <c r="AF54"/>
      <c r="AG54"/>
      <c r="AH54"/>
      <c r="AI54"/>
      <c r="AJ54"/>
      <c r="AK54"/>
    </row>
    <row r="55" spans="1:37" s="501" customFormat="1" ht="18" customHeight="1">
      <c r="D55" s="30" t="s">
        <v>32</v>
      </c>
      <c r="E55" s="372"/>
      <c r="F55" s="372"/>
      <c r="G55" s="372"/>
      <c r="H55" s="372"/>
      <c r="I55" s="372">
        <f>+I54/E54-1</f>
        <v>3.0432362219335651E-2</v>
      </c>
      <c r="J55" s="372">
        <f t="shared" ref="J55:O55" si="59">+J54/F54-1</f>
        <v>2.5297891842346543E-2</v>
      </c>
      <c r="K55" s="372">
        <f t="shared" si="59"/>
        <v>6.7149321266968265E-2</v>
      </c>
      <c r="L55" s="372">
        <f t="shared" si="59"/>
        <v>0.12783171521035608</v>
      </c>
      <c r="M55" s="372">
        <f t="shared" si="59"/>
        <v>1.2301458670988654</v>
      </c>
      <c r="N55" s="372">
        <f t="shared" si="59"/>
        <v>1.6538530305739316</v>
      </c>
      <c r="O55" s="372">
        <f t="shared" si="59"/>
        <v>1.4296132971506106</v>
      </c>
      <c r="P55" s="372">
        <f t="shared" ref="P55" si="60">+P54/L54-1</f>
        <v>1.3177108241670652</v>
      </c>
      <c r="Q55" s="372">
        <f t="shared" ref="Q55" si="61">+Q54/M54-1</f>
        <v>0.17885981912144699</v>
      </c>
      <c r="R55" s="372">
        <f t="shared" ref="R55" si="62">+R54/N54-1</f>
        <v>1.8325136427945754E-2</v>
      </c>
      <c r="S55" s="372">
        <f t="shared" ref="S55" si="63">+S54/O54-1</f>
        <v>1.5846422338569033E-2</v>
      </c>
      <c r="T55" s="372">
        <f t="shared" ref="T55" si="64">+T54/P54-1</f>
        <v>1.1623908109223535E-2</v>
      </c>
      <c r="U55" s="374">
        <f t="shared" ref="U55" si="65">+U54/Q54-1</f>
        <v>1.013768066305909E-2</v>
      </c>
      <c r="V55" s="374">
        <v>-1.9891942566662046E-2</v>
      </c>
      <c r="W55" s="372">
        <f>+W54/R54-1</f>
        <v>-1.0254713860403553E-2</v>
      </c>
      <c r="X55" s="383">
        <f>+(W55-V55)*10000</f>
        <v>96.372287062584945</v>
      </c>
      <c r="Y55" s="463">
        <f>+Y54/R54-1</f>
        <v>8.2699305325835137E-3</v>
      </c>
      <c r="Z55" s="383">
        <f>+(Y55-V55)*10000</f>
        <v>281.6187309924556</v>
      </c>
      <c r="AA55" s="554"/>
      <c r="AC55" s="444"/>
      <c r="AD55"/>
      <c r="AE55"/>
      <c r="AF55"/>
      <c r="AG55"/>
      <c r="AH55"/>
      <c r="AI55"/>
      <c r="AJ55"/>
      <c r="AK55"/>
    </row>
    <row r="56" spans="1:37" s="501" customFormat="1" ht="18" customHeight="1">
      <c r="B56" s="501" t="s">
        <v>423</v>
      </c>
      <c r="D56" s="393" t="s">
        <v>185</v>
      </c>
      <c r="E56" s="376">
        <f>'E&amp;I + International'!AN13</f>
        <v>863</v>
      </c>
      <c r="F56" s="376">
        <f>'E&amp;I + International'!AO13</f>
        <v>882</v>
      </c>
      <c r="G56" s="376">
        <f>'E&amp;I + International'!AP13</f>
        <v>871</v>
      </c>
      <c r="H56" s="376">
        <f>'E&amp;I + International'!AQ13</f>
        <v>815</v>
      </c>
      <c r="I56" s="376">
        <f>'E&amp;I + International'!AR13</f>
        <v>772</v>
      </c>
      <c r="J56" s="376">
        <f>'E&amp;I + International'!AS13</f>
        <v>783</v>
      </c>
      <c r="K56" s="376">
        <f>'E&amp;I + International'!AT13</f>
        <v>819</v>
      </c>
      <c r="L56" s="376">
        <f>'E&amp;I + International'!AU13</f>
        <v>831</v>
      </c>
      <c r="M56" s="376">
        <f>'E&amp;I + International'!AV13</f>
        <v>2550</v>
      </c>
      <c r="N56" s="376">
        <f>'E&amp;I + International'!AW13</f>
        <v>2921</v>
      </c>
      <c r="O56" s="376">
        <f>'E&amp;I + International'!AX13</f>
        <v>3159</v>
      </c>
      <c r="P56" s="376">
        <f>'E&amp;I + International'!AY13</f>
        <v>3247</v>
      </c>
      <c r="Q56" s="376">
        <f>'E&amp;I + International'!AZ13</f>
        <v>3231</v>
      </c>
      <c r="R56" s="376">
        <f>'E&amp;I + International'!BA13</f>
        <v>2773</v>
      </c>
      <c r="S56" s="376">
        <f>'E&amp;I + International'!BB13</f>
        <v>3192</v>
      </c>
      <c r="T56" s="376">
        <f>'E&amp;I + International'!BC13</f>
        <v>3378</v>
      </c>
      <c r="U56" s="394">
        <f>'E&amp;I + International'!BD13</f>
        <v>2857</v>
      </c>
      <c r="V56" s="394">
        <v>2706.0754804545068</v>
      </c>
      <c r="W56" s="417">
        <f>2437+279</f>
        <v>2716</v>
      </c>
      <c r="X56" s="396">
        <f>W56-V56</f>
        <v>9.92451954549324</v>
      </c>
      <c r="Y56" s="462">
        <f>2670+168.2</f>
        <v>2838.2</v>
      </c>
      <c r="Z56" s="396">
        <f>+Y56-V56</f>
        <v>132.12451954549306</v>
      </c>
      <c r="AA56" s="555" t="s">
        <v>422</v>
      </c>
      <c r="AC56" s="444"/>
      <c r="AD56"/>
      <c r="AE56"/>
      <c r="AF56"/>
      <c r="AG56"/>
      <c r="AH56"/>
      <c r="AI56"/>
      <c r="AJ56"/>
      <c r="AK56"/>
    </row>
    <row r="57" spans="1:37" s="501" customFormat="1" ht="18" customHeight="1">
      <c r="D57" s="407" t="s">
        <v>426</v>
      </c>
      <c r="E57" s="408">
        <f>'E&amp;I + International'!AN14</f>
        <v>0.16014102802004082</v>
      </c>
      <c r="F57" s="408">
        <f>'E&amp;I + International'!AO14</f>
        <v>0.16168652612282311</v>
      </c>
      <c r="G57" s="408">
        <f>'E&amp;I + International'!AP14</f>
        <v>0.15764705882352942</v>
      </c>
      <c r="H57" s="408">
        <f>'E&amp;I + International'!AQ14</f>
        <v>0.14653002517080188</v>
      </c>
      <c r="I57" s="408">
        <f>'E&amp;I + International'!AR14</f>
        <v>0.13902395101746803</v>
      </c>
      <c r="J57" s="408">
        <f>'E&amp;I + International'!AS14</f>
        <v>0.13999642410155552</v>
      </c>
      <c r="K57" s="408">
        <f>'E&amp;I + International'!AT14</f>
        <v>0.13890773405698778</v>
      </c>
      <c r="L57" s="408">
        <f>'E&amp;I + International'!AU14</f>
        <v>0.1324725011956002</v>
      </c>
      <c r="M57" s="408">
        <f>'E&amp;I + International'!AV14</f>
        <v>0.2059108527131783</v>
      </c>
      <c r="N57" s="408">
        <f>'E&amp;I + International'!AW14</f>
        <v>0.19679310112510948</v>
      </c>
      <c r="O57" s="408">
        <f>'E&amp;I + International'!AX14</f>
        <v>0.2205235602094241</v>
      </c>
      <c r="P57" s="408">
        <f>'E&amp;I + International'!AY14</f>
        <v>0.22333035284407457</v>
      </c>
      <c r="Q57" s="408">
        <f>'E&amp;I + International'!AZ14</f>
        <v>0.22131652852935133</v>
      </c>
      <c r="R57" s="408">
        <f>'E&amp;I + International'!BA14</f>
        <v>0.18346013893483296</v>
      </c>
      <c r="S57" s="408">
        <f>'E&amp;I + International'!BB14</f>
        <v>0.21935129191863662</v>
      </c>
      <c r="T57" s="408">
        <f>'E&amp;I + International'!BC14</f>
        <v>0.22967092738645636</v>
      </c>
      <c r="U57" s="400">
        <f>'E&amp;I + International'!BD14</f>
        <v>0.19373431884451076</v>
      </c>
      <c r="V57" s="400">
        <v>0.18266603213438817</v>
      </c>
      <c r="W57" s="409">
        <f>+W56/W54</f>
        <v>0.18155080213903743</v>
      </c>
      <c r="X57" s="410">
        <f>+(W57-V57)*10000</f>
        <v>-11.152299953507416</v>
      </c>
      <c r="Y57" s="470">
        <f>+Y56/Y54</f>
        <v>0.18623359580052493</v>
      </c>
      <c r="Z57" s="410">
        <f>+(Y57-V57)*10000</f>
        <v>35.675636661367527</v>
      </c>
      <c r="AA57" s="556"/>
      <c r="AC57" s="444"/>
      <c r="AD57"/>
      <c r="AE57"/>
      <c r="AF57"/>
      <c r="AG57"/>
      <c r="AH57"/>
      <c r="AI57"/>
      <c r="AJ57"/>
      <c r="AK57"/>
    </row>
    <row r="58" spans="1:37" ht="18" customHeight="1">
      <c r="O58" s="501"/>
      <c r="Q58" s="512"/>
      <c r="R58" s="512"/>
      <c r="S58" s="512"/>
      <c r="T58" s="512"/>
      <c r="U58" s="512"/>
      <c r="V58" s="512"/>
    </row>
    <row r="59" spans="1:37" ht="18" customHeight="1">
      <c r="O59" s="501"/>
      <c r="Q59" s="512"/>
      <c r="R59" s="512"/>
      <c r="S59" s="512"/>
      <c r="T59" s="512"/>
      <c r="U59" s="512"/>
      <c r="V59" s="512"/>
    </row>
    <row r="60" spans="1:37" ht="18" customHeight="1">
      <c r="Q60" s="512"/>
      <c r="R60" s="512"/>
      <c r="S60" s="512"/>
      <c r="T60" s="512"/>
      <c r="U60" s="512"/>
      <c r="V60" s="512"/>
    </row>
    <row r="61" spans="1:37" ht="18" customHeight="1">
      <c r="Q61" s="512"/>
      <c r="R61" s="512"/>
      <c r="S61" s="512"/>
      <c r="T61" s="512"/>
      <c r="U61" s="512"/>
      <c r="V61" s="512"/>
    </row>
    <row r="62" spans="1:37" ht="18" customHeight="1">
      <c r="Q62" s="512"/>
      <c r="R62" s="512"/>
      <c r="S62" s="512"/>
      <c r="T62" s="512"/>
      <c r="U62" s="512"/>
      <c r="V62" s="512"/>
    </row>
    <row r="63" spans="1:37" ht="18" customHeight="1">
      <c r="Q63" s="512"/>
      <c r="R63" s="512"/>
      <c r="S63" s="512"/>
      <c r="T63" s="512"/>
      <c r="U63" s="512"/>
      <c r="V63" s="512"/>
      <c r="AC63" s="501"/>
      <c r="AD63" s="501"/>
      <c r="AE63" s="501"/>
      <c r="AF63" s="501"/>
      <c r="AG63" s="501"/>
      <c r="AH63" s="501"/>
      <c r="AI63" s="501"/>
    </row>
    <row r="64" spans="1:37" ht="18" customHeight="1">
      <c r="Q64" s="512"/>
      <c r="R64" s="512"/>
      <c r="S64" s="512"/>
      <c r="T64" s="512"/>
      <c r="U64" s="512"/>
      <c r="V64" s="512"/>
      <c r="AC64" s="501"/>
      <c r="AD64" s="501"/>
      <c r="AE64" s="501"/>
      <c r="AF64" s="501"/>
      <c r="AG64" s="501"/>
      <c r="AH64" s="501"/>
      <c r="AI64" s="501"/>
    </row>
    <row r="65" spans="17:37" ht="18" customHeight="1">
      <c r="Q65" s="512"/>
      <c r="R65" s="512"/>
      <c r="S65" s="512"/>
      <c r="T65" s="512"/>
      <c r="U65" s="512"/>
      <c r="V65" s="512"/>
      <c r="AC65" s="501"/>
      <c r="AD65" s="501"/>
      <c r="AE65" s="501"/>
      <c r="AF65" s="501"/>
      <c r="AG65" s="501"/>
      <c r="AH65" s="501"/>
      <c r="AI65" s="501"/>
    </row>
    <row r="66" spans="17:37" ht="18" customHeight="1">
      <c r="Q66" s="512"/>
      <c r="R66" s="512"/>
      <c r="S66" s="512"/>
      <c r="T66" s="512"/>
      <c r="U66" s="512"/>
      <c r="V66" s="512"/>
      <c r="AC66" s="501"/>
      <c r="AD66" s="501"/>
      <c r="AE66" s="501"/>
      <c r="AF66" s="501"/>
      <c r="AG66" s="501"/>
      <c r="AH66" s="501"/>
      <c r="AI66" s="501"/>
    </row>
    <row r="67" spans="17:37" ht="18" customHeight="1">
      <c r="Q67" s="512"/>
      <c r="R67" s="512"/>
      <c r="S67" s="512"/>
      <c r="T67" s="512"/>
      <c r="U67" s="512"/>
      <c r="V67" s="512"/>
      <c r="AC67" s="501"/>
      <c r="AD67" s="501"/>
      <c r="AE67" s="501"/>
      <c r="AF67" s="501"/>
      <c r="AG67" s="501"/>
      <c r="AH67" s="501"/>
      <c r="AI67" s="501"/>
    </row>
    <row r="68" spans="17:37" ht="18" customHeight="1">
      <c r="Q68" s="512"/>
      <c r="R68" s="512"/>
      <c r="S68" s="512"/>
      <c r="T68" s="512"/>
      <c r="U68" s="512"/>
      <c r="V68" s="512"/>
    </row>
    <row r="69" spans="17:37" ht="18" customHeight="1">
      <c r="Q69" s="512"/>
      <c r="R69" s="512"/>
      <c r="S69" s="512"/>
      <c r="T69" s="512"/>
      <c r="U69" s="512"/>
      <c r="V69" s="512"/>
      <c r="AJ69" s="501"/>
      <c r="AK69" s="501"/>
    </row>
    <row r="70" spans="17:37" ht="18" customHeight="1">
      <c r="AJ70" s="501"/>
      <c r="AK70" s="501"/>
    </row>
    <row r="71" spans="17:37" ht="18" customHeight="1">
      <c r="AJ71" s="501"/>
      <c r="AK71" s="501"/>
    </row>
    <row r="72" spans="17:37" ht="18" customHeight="1">
      <c r="AJ72" s="501"/>
      <c r="AK72" s="501"/>
    </row>
    <row r="73" spans="17:37" ht="18" customHeight="1">
      <c r="AJ73" s="501"/>
      <c r="AK73" s="501"/>
    </row>
  </sheetData>
  <mergeCells count="20">
    <mergeCell ref="AA18:AA19"/>
    <mergeCell ref="AA39:AA40"/>
    <mergeCell ref="AA41:AA42"/>
    <mergeCell ref="AA25:AA26"/>
    <mergeCell ref="AA28:AA29"/>
    <mergeCell ref="AA30:AA31"/>
    <mergeCell ref="AA32:AA34"/>
    <mergeCell ref="AA20:AA21"/>
    <mergeCell ref="AA35:AA37"/>
    <mergeCell ref="AA6:AA7"/>
    <mergeCell ref="AA8:AA9"/>
    <mergeCell ref="AA10:AA11"/>
    <mergeCell ref="AA14:AA15"/>
    <mergeCell ref="AA16:AA17"/>
    <mergeCell ref="AA54:AA55"/>
    <mergeCell ref="AA56:AA57"/>
    <mergeCell ref="AA44:AA45"/>
    <mergeCell ref="AA46:AA47"/>
    <mergeCell ref="AA51:AA52"/>
    <mergeCell ref="AA49:AA50"/>
  </mergeCells>
  <pageMargins left="0" right="0" top="0" bottom="0" header="0" footer="0"/>
  <pageSetup scale="89" orientation="landscape"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402"/>
  <sheetViews>
    <sheetView showGridLines="0" tabSelected="1" workbookViewId="0">
      <selection activeCell="F7" sqref="F7"/>
    </sheetView>
  </sheetViews>
  <sheetFormatPr defaultRowHeight="12.75"/>
  <cols>
    <col min="1" max="1" width="66.109375" style="531" customWidth="1"/>
    <col min="2" max="5" width="8.88671875" style="531"/>
    <col min="6" max="6" width="18.77734375" style="531" customWidth="1"/>
    <col min="7" max="256" width="8.88671875" style="531"/>
    <col min="257" max="257" width="78.33203125" style="531" customWidth="1"/>
    <col min="258" max="512" width="8.88671875" style="531"/>
    <col min="513" max="513" width="78.33203125" style="531" customWidth="1"/>
    <col min="514" max="768" width="8.88671875" style="531"/>
    <col min="769" max="769" width="78.33203125" style="531" customWidth="1"/>
    <col min="770" max="1024" width="8.88671875" style="531"/>
    <col min="1025" max="1025" width="78.33203125" style="531" customWidth="1"/>
    <col min="1026" max="1280" width="8.88671875" style="531"/>
    <col min="1281" max="1281" width="78.33203125" style="531" customWidth="1"/>
    <col min="1282" max="1536" width="8.88671875" style="531"/>
    <col min="1537" max="1537" width="78.33203125" style="531" customWidth="1"/>
    <col min="1538" max="1792" width="8.88671875" style="531"/>
    <col min="1793" max="1793" width="78.33203125" style="531" customWidth="1"/>
    <col min="1794" max="2048" width="8.88671875" style="531"/>
    <col min="2049" max="2049" width="78.33203125" style="531" customWidth="1"/>
    <col min="2050" max="2304" width="8.88671875" style="531"/>
    <col min="2305" max="2305" width="78.33203125" style="531" customWidth="1"/>
    <col min="2306" max="2560" width="8.88671875" style="531"/>
    <col min="2561" max="2561" width="78.33203125" style="531" customWidth="1"/>
    <col min="2562" max="2816" width="8.88671875" style="531"/>
    <col min="2817" max="2817" width="78.33203125" style="531" customWidth="1"/>
    <col min="2818" max="3072" width="8.88671875" style="531"/>
    <col min="3073" max="3073" width="78.33203125" style="531" customWidth="1"/>
    <col min="3074" max="3328" width="8.88671875" style="531"/>
    <col min="3329" max="3329" width="78.33203125" style="531" customWidth="1"/>
    <col min="3330" max="3584" width="8.88671875" style="531"/>
    <col min="3585" max="3585" width="78.33203125" style="531" customWidth="1"/>
    <col min="3586" max="3840" width="8.88671875" style="531"/>
    <col min="3841" max="3841" width="78.33203125" style="531" customWidth="1"/>
    <col min="3842" max="4096" width="8.88671875" style="531"/>
    <col min="4097" max="4097" width="78.33203125" style="531" customWidth="1"/>
    <col min="4098" max="4352" width="8.88671875" style="531"/>
    <col min="4353" max="4353" width="78.33203125" style="531" customWidth="1"/>
    <col min="4354" max="4608" width="8.88671875" style="531"/>
    <col min="4609" max="4609" width="78.33203125" style="531" customWidth="1"/>
    <col min="4610" max="4864" width="8.88671875" style="531"/>
    <col min="4865" max="4865" width="78.33203125" style="531" customWidth="1"/>
    <col min="4866" max="5120" width="8.88671875" style="531"/>
    <col min="5121" max="5121" width="78.33203125" style="531" customWidth="1"/>
    <col min="5122" max="5376" width="8.88671875" style="531"/>
    <col min="5377" max="5377" width="78.33203125" style="531" customWidth="1"/>
    <col min="5378" max="5632" width="8.88671875" style="531"/>
    <col min="5633" max="5633" width="78.33203125" style="531" customWidth="1"/>
    <col min="5634" max="5888" width="8.88671875" style="531"/>
    <col min="5889" max="5889" width="78.33203125" style="531" customWidth="1"/>
    <col min="5890" max="6144" width="8.88671875" style="531"/>
    <col min="6145" max="6145" width="78.33203125" style="531" customWidth="1"/>
    <col min="6146" max="6400" width="8.88671875" style="531"/>
    <col min="6401" max="6401" width="78.33203125" style="531" customWidth="1"/>
    <col min="6402" max="6656" width="8.88671875" style="531"/>
    <col min="6657" max="6657" width="78.33203125" style="531" customWidth="1"/>
    <col min="6658" max="6912" width="8.88671875" style="531"/>
    <col min="6913" max="6913" width="78.33203125" style="531" customWidth="1"/>
    <col min="6914" max="7168" width="8.88671875" style="531"/>
    <col min="7169" max="7169" width="78.33203125" style="531" customWidth="1"/>
    <col min="7170" max="7424" width="8.88671875" style="531"/>
    <col min="7425" max="7425" width="78.33203125" style="531" customWidth="1"/>
    <col min="7426" max="7680" width="8.88671875" style="531"/>
    <col min="7681" max="7681" width="78.33203125" style="531" customWidth="1"/>
    <col min="7682" max="7936" width="8.88671875" style="531"/>
    <col min="7937" max="7937" width="78.33203125" style="531" customWidth="1"/>
    <col min="7938" max="8192" width="8.88671875" style="531"/>
    <col min="8193" max="8193" width="78.33203125" style="531" customWidth="1"/>
    <col min="8194" max="8448" width="8.88671875" style="531"/>
    <col min="8449" max="8449" width="78.33203125" style="531" customWidth="1"/>
    <col min="8450" max="8704" width="8.88671875" style="531"/>
    <col min="8705" max="8705" width="78.33203125" style="531" customWidth="1"/>
    <col min="8706" max="8960" width="8.88671875" style="531"/>
    <col min="8961" max="8961" width="78.33203125" style="531" customWidth="1"/>
    <col min="8962" max="9216" width="8.88671875" style="531"/>
    <col min="9217" max="9217" width="78.33203125" style="531" customWidth="1"/>
    <col min="9218" max="9472" width="8.88671875" style="531"/>
    <col min="9473" max="9473" width="78.33203125" style="531" customWidth="1"/>
    <col min="9474" max="9728" width="8.88671875" style="531"/>
    <col min="9729" max="9729" width="78.33203125" style="531" customWidth="1"/>
    <col min="9730" max="9984" width="8.88671875" style="531"/>
    <col min="9985" max="9985" width="78.33203125" style="531" customWidth="1"/>
    <col min="9986" max="10240" width="8.88671875" style="531"/>
    <col min="10241" max="10241" width="78.33203125" style="531" customWidth="1"/>
    <col min="10242" max="10496" width="8.88671875" style="531"/>
    <col min="10497" max="10497" width="78.33203125" style="531" customWidth="1"/>
    <col min="10498" max="10752" width="8.88671875" style="531"/>
    <col min="10753" max="10753" width="78.33203125" style="531" customWidth="1"/>
    <col min="10754" max="11008" width="8.88671875" style="531"/>
    <col min="11009" max="11009" width="78.33203125" style="531" customWidth="1"/>
    <col min="11010" max="11264" width="8.88671875" style="531"/>
    <col min="11265" max="11265" width="78.33203125" style="531" customWidth="1"/>
    <col min="11266" max="11520" width="8.88671875" style="531"/>
    <col min="11521" max="11521" width="78.33203125" style="531" customWidth="1"/>
    <col min="11522" max="11776" width="8.88671875" style="531"/>
    <col min="11777" max="11777" width="78.33203125" style="531" customWidth="1"/>
    <col min="11778" max="12032" width="8.88671875" style="531"/>
    <col min="12033" max="12033" width="78.33203125" style="531" customWidth="1"/>
    <col min="12034" max="12288" width="8.88671875" style="531"/>
    <col min="12289" max="12289" width="78.33203125" style="531" customWidth="1"/>
    <col min="12290" max="12544" width="8.88671875" style="531"/>
    <col min="12545" max="12545" width="78.33203125" style="531" customWidth="1"/>
    <col min="12546" max="12800" width="8.88671875" style="531"/>
    <col min="12801" max="12801" width="78.33203125" style="531" customWidth="1"/>
    <col min="12802" max="13056" width="8.88671875" style="531"/>
    <col min="13057" max="13057" width="78.33203125" style="531" customWidth="1"/>
    <col min="13058" max="13312" width="8.88671875" style="531"/>
    <col min="13313" max="13313" width="78.33203125" style="531" customWidth="1"/>
    <col min="13314" max="13568" width="8.88671875" style="531"/>
    <col min="13569" max="13569" width="78.33203125" style="531" customWidth="1"/>
    <col min="13570" max="13824" width="8.88671875" style="531"/>
    <col min="13825" max="13825" width="78.33203125" style="531" customWidth="1"/>
    <col min="13826" max="14080" width="8.88671875" style="531"/>
    <col min="14081" max="14081" width="78.33203125" style="531" customWidth="1"/>
    <col min="14082" max="14336" width="8.88671875" style="531"/>
    <col min="14337" max="14337" width="78.33203125" style="531" customWidth="1"/>
    <col min="14338" max="14592" width="8.88671875" style="531"/>
    <col min="14593" max="14593" width="78.33203125" style="531" customWidth="1"/>
    <col min="14594" max="14848" width="8.88671875" style="531"/>
    <col min="14849" max="14849" width="78.33203125" style="531" customWidth="1"/>
    <col min="14850" max="15104" width="8.88671875" style="531"/>
    <col min="15105" max="15105" width="78.33203125" style="531" customWidth="1"/>
    <col min="15106" max="15360" width="8.88671875" style="531"/>
    <col min="15361" max="15361" width="78.33203125" style="531" customWidth="1"/>
    <col min="15362" max="15616" width="8.88671875" style="531"/>
    <col min="15617" max="15617" width="78.33203125" style="531" customWidth="1"/>
    <col min="15618" max="15872" width="8.88671875" style="531"/>
    <col min="15873" max="15873" width="78.33203125" style="531" customWidth="1"/>
    <col min="15874" max="16128" width="8.88671875" style="531"/>
    <col min="16129" max="16129" width="78.33203125" style="531" customWidth="1"/>
    <col min="16130" max="16384" width="8.88671875" style="531"/>
  </cols>
  <sheetData>
    <row r="1" spans="1:8" ht="30" customHeight="1">
      <c r="A1" s="529"/>
      <c r="B1" s="530"/>
      <c r="C1" s="530"/>
      <c r="D1" s="530"/>
      <c r="E1" s="530"/>
      <c r="F1" s="530"/>
      <c r="G1" s="530"/>
      <c r="H1" s="530"/>
    </row>
    <row r="2" spans="1:8" ht="14.25">
      <c r="A2" s="532" t="s">
        <v>514</v>
      </c>
      <c r="B2" s="530"/>
      <c r="C2" s="530"/>
      <c r="D2" s="530"/>
      <c r="E2" s="530"/>
      <c r="F2" s="530"/>
      <c r="G2" s="530"/>
      <c r="H2" s="530"/>
    </row>
    <row r="3" spans="1:8" ht="14.25">
      <c r="A3" s="532" t="s">
        <v>515</v>
      </c>
      <c r="B3" s="530"/>
      <c r="C3" s="530"/>
      <c r="D3" s="530"/>
      <c r="E3" s="530"/>
      <c r="F3" s="530"/>
      <c r="G3" s="530"/>
      <c r="H3" s="530"/>
    </row>
    <row r="4" spans="1:8" ht="14.25">
      <c r="A4" s="532" t="s">
        <v>516</v>
      </c>
      <c r="B4" s="530"/>
      <c r="C4" s="530"/>
      <c r="D4" s="530"/>
      <c r="E4" s="530"/>
      <c r="F4" s="530"/>
      <c r="G4" s="530"/>
      <c r="H4" s="530"/>
    </row>
    <row r="5" spans="1:8" ht="14.25">
      <c r="A5" s="532" t="s">
        <v>517</v>
      </c>
      <c r="B5" s="530"/>
      <c r="C5" s="530"/>
      <c r="D5" s="530"/>
      <c r="E5" s="530"/>
      <c r="F5" s="530"/>
      <c r="G5" s="530"/>
      <c r="H5" s="530"/>
    </row>
    <row r="6" spans="1:8" ht="14.25">
      <c r="A6" s="532"/>
      <c r="B6" s="530"/>
      <c r="C6" s="530"/>
      <c r="D6" s="530"/>
      <c r="E6" s="530"/>
      <c r="F6" s="530"/>
      <c r="G6" s="530"/>
      <c r="H6" s="530"/>
    </row>
    <row r="7" spans="1:8">
      <c r="A7" s="529" t="s">
        <v>518</v>
      </c>
      <c r="B7" s="530"/>
      <c r="C7" s="530"/>
      <c r="D7" s="530"/>
      <c r="E7" s="530"/>
      <c r="F7" s="530"/>
      <c r="G7" s="530"/>
      <c r="H7" s="530"/>
    </row>
    <row r="8" spans="1:8">
      <c r="A8" s="529" t="s">
        <v>519</v>
      </c>
      <c r="B8" s="530"/>
      <c r="C8" s="530"/>
      <c r="D8" s="530"/>
      <c r="E8" s="530"/>
      <c r="F8" s="530"/>
      <c r="G8" s="530"/>
      <c r="H8" s="530"/>
    </row>
    <row r="9" spans="1:8">
      <c r="A9" s="529"/>
      <c r="B9" s="530"/>
      <c r="C9" s="530"/>
      <c r="D9" s="530"/>
      <c r="E9" s="530"/>
      <c r="F9" s="530"/>
      <c r="G9" s="530"/>
      <c r="H9" s="530"/>
    </row>
    <row r="10" spans="1:8">
      <c r="A10" s="533" t="s">
        <v>520</v>
      </c>
      <c r="B10" s="530"/>
      <c r="C10" s="530"/>
      <c r="D10" s="530"/>
      <c r="E10" s="530"/>
      <c r="F10" s="530"/>
      <c r="G10" s="530"/>
      <c r="H10" s="530"/>
    </row>
    <row r="11" spans="1:8">
      <c r="A11" s="533" t="s">
        <v>521</v>
      </c>
      <c r="B11" s="530"/>
      <c r="C11" s="530"/>
      <c r="D11" s="530"/>
      <c r="E11" s="530"/>
      <c r="F11" s="530"/>
      <c r="G11" s="530"/>
      <c r="H11" s="530"/>
    </row>
    <row r="12" spans="1:8">
      <c r="A12" s="533" t="s">
        <v>522</v>
      </c>
      <c r="B12" s="530"/>
      <c r="C12" s="530"/>
      <c r="D12" s="530"/>
      <c r="E12" s="530"/>
      <c r="F12" s="530"/>
      <c r="G12" s="530"/>
      <c r="H12" s="530"/>
    </row>
    <row r="13" spans="1:8">
      <c r="A13" s="533" t="s">
        <v>523</v>
      </c>
      <c r="B13" s="530"/>
      <c r="C13" s="530"/>
      <c r="D13" s="530"/>
      <c r="E13" s="530"/>
      <c r="F13" s="530"/>
      <c r="G13" s="530"/>
      <c r="H13" s="530"/>
    </row>
    <row r="14" spans="1:8">
      <c r="A14" s="533" t="s">
        <v>524</v>
      </c>
      <c r="B14" s="530"/>
      <c r="C14" s="530"/>
      <c r="D14" s="530"/>
      <c r="E14" s="530"/>
      <c r="F14" s="530"/>
      <c r="G14" s="530"/>
      <c r="H14" s="530"/>
    </row>
    <row r="15" spans="1:8">
      <c r="A15" s="533" t="s">
        <v>525</v>
      </c>
      <c r="B15" s="530"/>
      <c r="C15" s="530"/>
      <c r="D15" s="530"/>
      <c r="E15" s="530"/>
      <c r="F15" s="530"/>
      <c r="G15" s="530"/>
      <c r="H15" s="530"/>
    </row>
    <row r="16" spans="1:8">
      <c r="A16" s="533"/>
      <c r="B16" s="530"/>
      <c r="C16" s="530"/>
      <c r="D16" s="530"/>
      <c r="E16" s="530"/>
      <c r="F16" s="530"/>
      <c r="G16" s="530"/>
      <c r="H16" s="530"/>
    </row>
    <row r="17" spans="1:8" s="552" customFormat="1" ht="102">
      <c r="A17" s="553" t="s">
        <v>904</v>
      </c>
      <c r="B17" s="551"/>
      <c r="C17" s="551"/>
      <c r="D17" s="551"/>
      <c r="E17" s="551"/>
      <c r="F17" s="551"/>
      <c r="G17" s="551"/>
      <c r="H17" s="551"/>
    </row>
    <row r="18" spans="1:8">
      <c r="A18" s="533"/>
      <c r="B18" s="530"/>
      <c r="C18" s="530"/>
      <c r="D18" s="530"/>
      <c r="E18" s="530"/>
      <c r="F18" s="530"/>
      <c r="G18" s="530"/>
      <c r="H18" s="530"/>
    </row>
    <row r="19" spans="1:8">
      <c r="A19" s="533" t="s">
        <v>511</v>
      </c>
      <c r="B19" s="530"/>
      <c r="C19" s="530"/>
      <c r="D19" s="530"/>
      <c r="E19" s="530"/>
      <c r="F19" s="530"/>
      <c r="G19" s="530"/>
      <c r="H19" s="530"/>
    </row>
    <row r="20" spans="1:8">
      <c r="A20" s="533"/>
      <c r="B20" s="530"/>
      <c r="C20" s="530"/>
      <c r="D20" s="530"/>
      <c r="E20" s="530"/>
      <c r="F20" s="530"/>
      <c r="G20" s="530"/>
      <c r="H20" s="530"/>
    </row>
    <row r="21" spans="1:8">
      <c r="A21" s="533" t="s">
        <v>512</v>
      </c>
      <c r="B21" s="530"/>
      <c r="C21" s="530"/>
      <c r="D21" s="530"/>
      <c r="E21" s="530"/>
      <c r="F21" s="530"/>
      <c r="G21" s="530"/>
      <c r="H21" s="530"/>
    </row>
    <row r="22" spans="1:8">
      <c r="A22" s="529"/>
      <c r="B22" s="530"/>
      <c r="C22" s="530"/>
      <c r="D22" s="530"/>
      <c r="E22" s="530"/>
      <c r="F22" s="530"/>
      <c r="G22" s="530"/>
      <c r="H22" s="530"/>
    </row>
    <row r="23" spans="1:8">
      <c r="A23" s="534" t="s">
        <v>513</v>
      </c>
      <c r="B23" s="530"/>
      <c r="C23" s="530"/>
      <c r="D23" s="530"/>
      <c r="E23" s="530"/>
      <c r="F23" s="530"/>
      <c r="G23" s="530"/>
      <c r="H23" s="530"/>
    </row>
    <row r="24" spans="1:8" ht="15">
      <c r="A24" s="535"/>
      <c r="B24" s="535"/>
      <c r="C24" s="535"/>
      <c r="D24" s="535"/>
      <c r="E24" s="535"/>
      <c r="F24" s="535"/>
      <c r="G24" s="535"/>
      <c r="H24" s="535"/>
    </row>
    <row r="25" spans="1:8" ht="15">
      <c r="A25" s="536" t="s">
        <v>810</v>
      </c>
      <c r="B25" s="535"/>
      <c r="C25" s="535"/>
      <c r="D25" s="535"/>
      <c r="E25" s="535"/>
      <c r="F25" s="535"/>
      <c r="G25" s="535"/>
      <c r="H25" s="535"/>
    </row>
    <row r="26" spans="1:8" ht="15">
      <c r="A26" s="536" t="s">
        <v>811</v>
      </c>
      <c r="B26" s="535"/>
      <c r="C26" s="535"/>
      <c r="D26" s="535"/>
      <c r="E26" s="535"/>
      <c r="F26" s="535"/>
      <c r="G26" s="535"/>
      <c r="H26" s="535"/>
    </row>
    <row r="27" spans="1:8" ht="15">
      <c r="A27" s="536" t="s">
        <v>812</v>
      </c>
      <c r="B27" s="535"/>
      <c r="C27" s="535"/>
      <c r="D27" s="535"/>
      <c r="E27" s="535"/>
      <c r="F27" s="535"/>
      <c r="G27" s="535"/>
      <c r="H27" s="535"/>
    </row>
    <row r="28" spans="1:8" ht="15">
      <c r="A28" s="536" t="s">
        <v>813</v>
      </c>
      <c r="B28" s="535"/>
      <c r="C28" s="535"/>
      <c r="D28" s="535"/>
      <c r="E28" s="535"/>
      <c r="F28" s="535"/>
      <c r="G28" s="535"/>
      <c r="H28" s="535"/>
    </row>
    <row r="29" spans="1:8" ht="15">
      <c r="A29" s="535"/>
      <c r="B29" s="535"/>
      <c r="C29" s="535"/>
      <c r="D29" s="535"/>
      <c r="E29" s="535"/>
      <c r="F29" s="535"/>
      <c r="G29" s="535"/>
      <c r="H29" s="535"/>
    </row>
    <row r="30" spans="1:8" ht="15">
      <c r="A30" s="535"/>
      <c r="B30" s="535"/>
      <c r="C30" s="535"/>
      <c r="D30" s="535"/>
      <c r="E30" s="535"/>
      <c r="F30" s="535"/>
      <c r="G30" s="535"/>
      <c r="H30" s="535"/>
    </row>
    <row r="31" spans="1:8" ht="15">
      <c r="A31" s="536" t="s">
        <v>805</v>
      </c>
      <c r="B31" s="535"/>
      <c r="C31" s="535"/>
      <c r="D31" s="535"/>
      <c r="E31" s="535"/>
      <c r="F31" s="535"/>
      <c r="G31" s="535"/>
      <c r="H31" s="535"/>
    </row>
    <row r="32" spans="1:8" ht="15">
      <c r="A32" s="536" t="s">
        <v>806</v>
      </c>
      <c r="B32" s="535"/>
      <c r="C32" s="535"/>
      <c r="D32" s="535"/>
      <c r="E32" s="535"/>
      <c r="F32" s="535"/>
      <c r="G32" s="535"/>
      <c r="H32" s="535"/>
    </row>
    <row r="33" spans="1:8" ht="15">
      <c r="A33" s="536" t="s">
        <v>807</v>
      </c>
      <c r="B33" s="535"/>
      <c r="C33" s="535"/>
      <c r="D33" s="535"/>
      <c r="E33" s="535"/>
      <c r="F33" s="535"/>
      <c r="G33" s="535"/>
      <c r="H33" s="535"/>
    </row>
    <row r="34" spans="1:8" ht="15">
      <c r="A34" s="536" t="s">
        <v>808</v>
      </c>
      <c r="B34" s="535"/>
      <c r="C34" s="535"/>
      <c r="D34" s="535"/>
      <c r="E34" s="535"/>
      <c r="F34" s="535"/>
      <c r="G34" s="535"/>
      <c r="H34" s="535"/>
    </row>
    <row r="35" spans="1:8" ht="15">
      <c r="A35" s="536" t="s">
        <v>809</v>
      </c>
      <c r="B35" s="535"/>
      <c r="C35" s="535"/>
      <c r="D35" s="535"/>
      <c r="E35" s="535"/>
      <c r="F35" s="535"/>
      <c r="G35" s="535"/>
      <c r="H35" s="535"/>
    </row>
    <row r="36" spans="1:8" ht="15">
      <c r="A36" s="535"/>
      <c r="B36" s="535"/>
      <c r="C36" s="535"/>
      <c r="D36" s="535"/>
      <c r="E36" s="535"/>
      <c r="F36" s="535"/>
      <c r="G36" s="535"/>
      <c r="H36" s="535"/>
    </row>
    <row r="37" spans="1:8" ht="15">
      <c r="A37" s="536" t="s">
        <v>801</v>
      </c>
      <c r="B37" s="535"/>
      <c r="C37" s="535"/>
      <c r="D37" s="535"/>
      <c r="E37" s="535"/>
      <c r="F37" s="535"/>
      <c r="G37" s="535"/>
      <c r="H37" s="535"/>
    </row>
    <row r="38" spans="1:8" ht="15">
      <c r="A38" s="536" t="s">
        <v>802</v>
      </c>
      <c r="B38" s="535"/>
      <c r="C38" s="535"/>
      <c r="D38" s="535"/>
      <c r="E38" s="535"/>
      <c r="F38" s="535"/>
      <c r="G38" s="535"/>
      <c r="H38" s="535"/>
    </row>
    <row r="39" spans="1:8" ht="15">
      <c r="A39" s="536" t="s">
        <v>803</v>
      </c>
      <c r="B39" s="535"/>
      <c r="C39" s="535"/>
      <c r="D39" s="535"/>
      <c r="E39" s="535"/>
      <c r="F39" s="535"/>
      <c r="G39" s="535"/>
      <c r="H39" s="535"/>
    </row>
    <row r="40" spans="1:8" ht="15">
      <c r="A40" s="536" t="s">
        <v>804</v>
      </c>
      <c r="B40" s="535"/>
      <c r="C40" s="535"/>
      <c r="D40" s="535"/>
      <c r="E40" s="535"/>
      <c r="F40" s="535"/>
      <c r="G40" s="535"/>
      <c r="H40" s="535"/>
    </row>
    <row r="41" spans="1:8" ht="15">
      <c r="A41" s="535"/>
      <c r="B41" s="535"/>
      <c r="C41" s="535"/>
      <c r="D41" s="535"/>
      <c r="E41" s="535"/>
      <c r="F41" s="535"/>
      <c r="G41" s="535"/>
      <c r="H41" s="535"/>
    </row>
    <row r="42" spans="1:8" ht="15">
      <c r="A42" s="536" t="s">
        <v>795</v>
      </c>
      <c r="B42" s="535"/>
      <c r="C42" s="535"/>
      <c r="D42" s="535"/>
      <c r="E42" s="535"/>
      <c r="F42" s="535"/>
      <c r="G42" s="535"/>
      <c r="H42" s="535"/>
    </row>
    <row r="43" spans="1:8" ht="15">
      <c r="A43" s="536" t="s">
        <v>796</v>
      </c>
      <c r="B43" s="535"/>
      <c r="C43" s="535"/>
      <c r="D43" s="535"/>
      <c r="E43" s="535"/>
      <c r="F43" s="535"/>
      <c r="G43" s="535"/>
      <c r="H43" s="535"/>
    </row>
    <row r="44" spans="1:8" ht="15">
      <c r="A44" s="536" t="s">
        <v>797</v>
      </c>
      <c r="B44" s="535"/>
      <c r="C44" s="535"/>
      <c r="D44" s="535"/>
      <c r="E44" s="535"/>
      <c r="F44" s="535"/>
      <c r="G44" s="535"/>
      <c r="H44" s="535"/>
    </row>
    <row r="45" spans="1:8" ht="15">
      <c r="A45" s="536" t="s">
        <v>798</v>
      </c>
      <c r="B45" s="535"/>
      <c r="C45" s="535"/>
      <c r="D45" s="535"/>
      <c r="E45" s="535"/>
      <c r="F45" s="535"/>
      <c r="G45" s="535"/>
      <c r="H45" s="535"/>
    </row>
    <row r="46" spans="1:8" ht="15">
      <c r="A46" s="536" t="s">
        <v>799</v>
      </c>
      <c r="B46" s="535"/>
      <c r="C46" s="535"/>
      <c r="D46" s="535"/>
      <c r="E46" s="535"/>
      <c r="F46" s="535"/>
      <c r="G46" s="535"/>
      <c r="H46" s="535"/>
    </row>
    <row r="47" spans="1:8" ht="15">
      <c r="A47" s="536" t="s">
        <v>800</v>
      </c>
      <c r="B47" s="535"/>
      <c r="C47" s="535"/>
      <c r="D47" s="535"/>
      <c r="E47" s="535"/>
      <c r="F47" s="535"/>
      <c r="G47" s="535"/>
      <c r="H47" s="535"/>
    </row>
    <row r="48" spans="1:8" ht="15">
      <c r="A48" s="535"/>
      <c r="B48" s="535"/>
      <c r="C48" s="535"/>
      <c r="D48" s="535"/>
      <c r="E48" s="535"/>
      <c r="F48" s="535"/>
      <c r="G48" s="535"/>
      <c r="H48" s="535"/>
    </row>
    <row r="49" spans="1:8" ht="15.75">
      <c r="A49" s="537" t="s">
        <v>526</v>
      </c>
      <c r="B49" s="535"/>
      <c r="C49" s="535"/>
      <c r="D49" s="535"/>
      <c r="E49" s="535"/>
      <c r="F49" s="535"/>
      <c r="G49" s="535"/>
      <c r="H49" s="535"/>
    </row>
    <row r="50" spans="1:8" ht="15">
      <c r="A50" s="535"/>
      <c r="B50" s="535"/>
      <c r="C50" s="535"/>
      <c r="D50" s="535"/>
      <c r="E50" s="535"/>
      <c r="F50" s="535"/>
      <c r="G50" s="535"/>
      <c r="H50" s="535"/>
    </row>
    <row r="51" spans="1:8" ht="15">
      <c r="A51" s="536" t="s">
        <v>791</v>
      </c>
      <c r="B51" s="535"/>
      <c r="C51" s="535"/>
      <c r="D51" s="535"/>
      <c r="E51" s="535"/>
      <c r="F51" s="535"/>
      <c r="G51" s="535"/>
      <c r="H51" s="535"/>
    </row>
    <row r="52" spans="1:8" ht="15">
      <c r="A52" s="536" t="s">
        <v>792</v>
      </c>
      <c r="B52" s="535"/>
      <c r="C52" s="535"/>
      <c r="D52" s="535"/>
      <c r="E52" s="535"/>
      <c r="F52" s="535"/>
      <c r="G52" s="535"/>
      <c r="H52" s="535"/>
    </row>
    <row r="53" spans="1:8" ht="15">
      <c r="A53" s="536" t="s">
        <v>793</v>
      </c>
      <c r="B53" s="535"/>
      <c r="C53" s="535"/>
      <c r="D53" s="535"/>
      <c r="E53" s="535"/>
      <c r="F53" s="535"/>
      <c r="G53" s="535"/>
      <c r="H53" s="535"/>
    </row>
    <row r="54" spans="1:8" ht="15">
      <c r="A54" s="536" t="s">
        <v>794</v>
      </c>
      <c r="B54" s="535"/>
      <c r="C54" s="535"/>
      <c r="D54" s="535"/>
      <c r="E54" s="535"/>
      <c r="F54" s="535"/>
      <c r="G54" s="535"/>
      <c r="H54" s="535"/>
    </row>
    <row r="55" spans="1:8" ht="15">
      <c r="A55" s="535"/>
      <c r="B55" s="535"/>
      <c r="C55" s="535"/>
      <c r="D55" s="535"/>
      <c r="E55" s="535"/>
      <c r="F55" s="535"/>
      <c r="G55" s="535"/>
      <c r="H55" s="535"/>
    </row>
    <row r="56" spans="1:8" ht="15">
      <c r="A56" s="536" t="s">
        <v>527</v>
      </c>
      <c r="B56" s="535"/>
      <c r="C56" s="535"/>
      <c r="D56" s="535"/>
      <c r="E56" s="535"/>
      <c r="F56" s="535"/>
      <c r="G56" s="535"/>
      <c r="H56" s="535"/>
    </row>
    <row r="57" spans="1:8" ht="15">
      <c r="A57" s="535"/>
      <c r="B57" s="535"/>
      <c r="C57" s="535"/>
      <c r="D57" s="535"/>
      <c r="E57" s="535"/>
      <c r="F57" s="535"/>
      <c r="G57" s="535"/>
      <c r="H57" s="535"/>
    </row>
    <row r="58" spans="1:8" ht="15.75">
      <c r="A58" s="537" t="s">
        <v>528</v>
      </c>
      <c r="B58" s="535"/>
      <c r="C58" s="535"/>
      <c r="D58" s="535"/>
      <c r="E58" s="535"/>
      <c r="F58" s="535"/>
      <c r="G58" s="535"/>
      <c r="H58" s="535"/>
    </row>
    <row r="59" spans="1:8" ht="15">
      <c r="A59" s="535"/>
      <c r="B59" s="535"/>
      <c r="C59" s="535"/>
      <c r="D59" s="535"/>
      <c r="E59" s="535"/>
      <c r="F59" s="535"/>
      <c r="G59" s="535"/>
      <c r="H59" s="535"/>
    </row>
    <row r="60" spans="1:8" ht="15">
      <c r="A60" s="536" t="s">
        <v>789</v>
      </c>
      <c r="B60" s="535"/>
      <c r="C60" s="535"/>
      <c r="D60" s="535"/>
      <c r="E60" s="535"/>
      <c r="F60" s="535"/>
      <c r="G60" s="535"/>
      <c r="H60" s="535"/>
    </row>
    <row r="61" spans="1:8" ht="15">
      <c r="A61" s="536" t="s">
        <v>790</v>
      </c>
      <c r="B61" s="535"/>
      <c r="C61" s="535"/>
      <c r="D61" s="535"/>
      <c r="E61" s="535"/>
      <c r="F61" s="535"/>
      <c r="G61" s="535"/>
      <c r="H61" s="535"/>
    </row>
    <row r="62" spans="1:8" ht="15">
      <c r="A62" s="535"/>
      <c r="B62" s="535"/>
      <c r="C62" s="535"/>
      <c r="D62" s="535"/>
      <c r="E62" s="535"/>
      <c r="F62" s="535"/>
      <c r="G62" s="535"/>
      <c r="H62" s="535"/>
    </row>
    <row r="63" spans="1:8" ht="15.75">
      <c r="A63" s="537" t="s">
        <v>529</v>
      </c>
      <c r="B63" s="535"/>
      <c r="C63" s="535"/>
      <c r="D63" s="535"/>
      <c r="E63" s="535"/>
      <c r="F63" s="535"/>
      <c r="G63" s="535"/>
      <c r="H63" s="535"/>
    </row>
    <row r="64" spans="1:8" ht="15">
      <c r="A64" s="535"/>
      <c r="B64" s="535"/>
      <c r="C64" s="535"/>
      <c r="D64" s="535"/>
      <c r="E64" s="535"/>
      <c r="F64" s="535"/>
      <c r="G64" s="535"/>
      <c r="H64" s="535"/>
    </row>
    <row r="65" spans="1:8" ht="15">
      <c r="A65" s="536" t="s">
        <v>787</v>
      </c>
      <c r="B65" s="535"/>
      <c r="C65" s="535"/>
      <c r="D65" s="535"/>
      <c r="E65" s="535"/>
      <c r="F65" s="535"/>
      <c r="G65" s="535"/>
      <c r="H65" s="535"/>
    </row>
    <row r="66" spans="1:8" ht="15">
      <c r="A66" s="536" t="s">
        <v>788</v>
      </c>
      <c r="B66" s="535"/>
      <c r="C66" s="535"/>
      <c r="D66" s="535"/>
      <c r="E66" s="535"/>
      <c r="F66" s="535"/>
      <c r="G66" s="535"/>
      <c r="H66" s="535"/>
    </row>
    <row r="67" spans="1:8" ht="15">
      <c r="A67" s="535"/>
      <c r="B67" s="535"/>
      <c r="C67" s="535"/>
      <c r="D67" s="535"/>
      <c r="E67" s="535"/>
      <c r="F67" s="535"/>
      <c r="G67" s="535"/>
      <c r="H67" s="535"/>
    </row>
    <row r="68" spans="1:8" ht="15">
      <c r="A68" s="536" t="s">
        <v>785</v>
      </c>
      <c r="B68" s="535"/>
      <c r="C68" s="535"/>
      <c r="D68" s="535"/>
      <c r="E68" s="535"/>
      <c r="F68" s="535"/>
      <c r="G68" s="535"/>
      <c r="H68" s="535"/>
    </row>
    <row r="69" spans="1:8" ht="15">
      <c r="A69" s="536" t="s">
        <v>786</v>
      </c>
      <c r="B69" s="535"/>
      <c r="C69" s="535"/>
      <c r="D69" s="535"/>
      <c r="E69" s="535"/>
      <c r="F69" s="535"/>
      <c r="G69" s="535"/>
      <c r="H69" s="535"/>
    </row>
    <row r="70" spans="1:8" ht="15">
      <c r="A70" s="535"/>
      <c r="B70" s="535"/>
      <c r="C70" s="535"/>
      <c r="D70" s="535"/>
      <c r="E70" s="535"/>
      <c r="F70" s="535"/>
      <c r="G70" s="535"/>
      <c r="H70" s="535"/>
    </row>
    <row r="71" spans="1:8" ht="15">
      <c r="A71" s="536" t="s">
        <v>783</v>
      </c>
      <c r="B71" s="535"/>
      <c r="C71" s="535"/>
      <c r="D71" s="535"/>
      <c r="E71" s="535"/>
      <c r="F71" s="535"/>
      <c r="G71" s="535"/>
      <c r="H71" s="535"/>
    </row>
    <row r="72" spans="1:8" ht="15">
      <c r="A72" s="536" t="s">
        <v>784</v>
      </c>
      <c r="B72" s="535"/>
      <c r="C72" s="535"/>
      <c r="D72" s="535"/>
      <c r="E72" s="535"/>
      <c r="F72" s="535"/>
      <c r="G72" s="535"/>
      <c r="H72" s="535"/>
    </row>
    <row r="73" spans="1:8" ht="15">
      <c r="A73" s="535"/>
      <c r="B73" s="535"/>
      <c r="C73" s="535"/>
      <c r="D73" s="535"/>
      <c r="E73" s="535"/>
      <c r="F73" s="535"/>
      <c r="G73" s="535"/>
      <c r="H73" s="535"/>
    </row>
    <row r="74" spans="1:8" ht="15">
      <c r="A74" s="536" t="s">
        <v>781</v>
      </c>
      <c r="B74" s="535"/>
      <c r="C74" s="535"/>
      <c r="D74" s="535"/>
      <c r="E74" s="535"/>
      <c r="F74" s="535"/>
      <c r="G74" s="535"/>
      <c r="H74" s="535"/>
    </row>
    <row r="75" spans="1:8" ht="15">
      <c r="A75" s="536" t="s">
        <v>782</v>
      </c>
      <c r="B75" s="535"/>
      <c r="C75" s="535"/>
      <c r="D75" s="535"/>
      <c r="E75" s="535"/>
      <c r="F75" s="535"/>
      <c r="G75" s="535"/>
      <c r="H75" s="535"/>
    </row>
    <row r="76" spans="1:8" ht="15">
      <c r="A76" s="535"/>
      <c r="B76" s="535"/>
      <c r="C76" s="535"/>
      <c r="D76" s="535"/>
      <c r="E76" s="535"/>
      <c r="F76" s="535"/>
      <c r="G76" s="535"/>
      <c r="H76" s="535"/>
    </row>
    <row r="77" spans="1:8" ht="15">
      <c r="A77" s="536" t="s">
        <v>779</v>
      </c>
      <c r="B77" s="535"/>
      <c r="C77" s="535"/>
      <c r="D77" s="535"/>
      <c r="E77" s="535"/>
      <c r="F77" s="535"/>
      <c r="G77" s="535"/>
      <c r="H77" s="535"/>
    </row>
    <row r="78" spans="1:8" ht="15">
      <c r="A78" s="536" t="s">
        <v>780</v>
      </c>
      <c r="B78" s="535"/>
      <c r="C78" s="535"/>
      <c r="D78" s="535"/>
      <c r="E78" s="535"/>
      <c r="F78" s="535"/>
      <c r="G78" s="535"/>
      <c r="H78" s="535"/>
    </row>
    <row r="79" spans="1:8" ht="15">
      <c r="A79" s="535"/>
      <c r="B79" s="535"/>
      <c r="C79" s="535"/>
      <c r="D79" s="535"/>
      <c r="E79" s="535"/>
      <c r="F79" s="535"/>
      <c r="G79" s="535"/>
      <c r="H79" s="535"/>
    </row>
    <row r="80" spans="1:8" ht="15">
      <c r="A80" s="536" t="s">
        <v>777</v>
      </c>
      <c r="B80" s="535"/>
      <c r="C80" s="535"/>
      <c r="D80" s="535"/>
      <c r="E80" s="535"/>
      <c r="F80" s="535"/>
      <c r="G80" s="535"/>
      <c r="H80" s="535"/>
    </row>
    <row r="81" spans="1:8" ht="15">
      <c r="A81" s="536" t="s">
        <v>778</v>
      </c>
      <c r="B81" s="535"/>
      <c r="C81" s="535"/>
      <c r="D81" s="535"/>
      <c r="E81" s="535"/>
      <c r="F81" s="535"/>
      <c r="G81" s="535"/>
      <c r="H81" s="535"/>
    </row>
    <row r="82" spans="1:8" ht="15">
      <c r="A82" s="535"/>
      <c r="B82" s="535"/>
      <c r="C82" s="535"/>
      <c r="D82" s="535"/>
      <c r="E82" s="535"/>
      <c r="F82" s="535"/>
      <c r="G82" s="535"/>
      <c r="H82" s="535"/>
    </row>
    <row r="83" spans="1:8" ht="15">
      <c r="A83" s="536" t="s">
        <v>774</v>
      </c>
      <c r="B83" s="535"/>
      <c r="C83" s="535"/>
      <c r="D83" s="535"/>
      <c r="E83" s="535"/>
      <c r="F83" s="535"/>
      <c r="G83" s="535"/>
      <c r="H83" s="535"/>
    </row>
    <row r="84" spans="1:8" ht="15">
      <c r="A84" s="536" t="s">
        <v>775</v>
      </c>
      <c r="B84" s="535"/>
      <c r="C84" s="535"/>
      <c r="D84" s="535"/>
      <c r="E84" s="535"/>
      <c r="F84" s="535"/>
      <c r="G84" s="535"/>
      <c r="H84" s="535"/>
    </row>
    <row r="85" spans="1:8" ht="15">
      <c r="A85" s="536" t="s">
        <v>776</v>
      </c>
      <c r="B85" s="535"/>
      <c r="C85" s="535"/>
      <c r="D85" s="535"/>
      <c r="E85" s="535"/>
      <c r="F85" s="535"/>
      <c r="G85" s="535"/>
      <c r="H85" s="535"/>
    </row>
    <row r="86" spans="1:8" ht="15">
      <c r="A86" s="535"/>
      <c r="B86" s="535"/>
      <c r="C86" s="535"/>
      <c r="D86" s="535"/>
      <c r="E86" s="535"/>
      <c r="F86" s="535"/>
      <c r="G86" s="535"/>
      <c r="H86" s="535"/>
    </row>
    <row r="87" spans="1:8" ht="15">
      <c r="A87" s="536" t="s">
        <v>530</v>
      </c>
      <c r="B87" s="535"/>
      <c r="C87" s="535"/>
      <c r="D87" s="535"/>
      <c r="E87" s="535"/>
      <c r="F87" s="535"/>
      <c r="G87" s="535"/>
      <c r="H87" s="535"/>
    </row>
    <row r="88" spans="1:8" ht="15">
      <c r="A88" s="535"/>
      <c r="B88" s="535"/>
      <c r="C88" s="535"/>
      <c r="D88" s="535"/>
      <c r="E88" s="535"/>
      <c r="F88" s="535"/>
      <c r="G88" s="535"/>
      <c r="H88" s="535"/>
    </row>
    <row r="89" spans="1:8" ht="15">
      <c r="A89" s="536" t="s">
        <v>769</v>
      </c>
      <c r="B89" s="535"/>
      <c r="C89" s="535"/>
      <c r="D89" s="535"/>
      <c r="E89" s="535"/>
      <c r="F89" s="535"/>
      <c r="G89" s="535"/>
      <c r="H89" s="535"/>
    </row>
    <row r="90" spans="1:8" ht="15">
      <c r="A90" s="536" t="s">
        <v>770</v>
      </c>
      <c r="B90" s="535"/>
      <c r="C90" s="535"/>
      <c r="D90" s="535"/>
      <c r="E90" s="535"/>
      <c r="F90" s="535"/>
      <c r="G90" s="535"/>
      <c r="H90" s="535"/>
    </row>
    <row r="91" spans="1:8" ht="15">
      <c r="A91" s="536" t="s">
        <v>771</v>
      </c>
      <c r="B91" s="535"/>
      <c r="C91" s="535"/>
      <c r="D91" s="535"/>
      <c r="E91" s="535"/>
      <c r="F91" s="535"/>
      <c r="G91" s="535"/>
      <c r="H91" s="535"/>
    </row>
    <row r="92" spans="1:8" ht="15">
      <c r="A92" s="536" t="s">
        <v>772</v>
      </c>
      <c r="B92" s="535"/>
      <c r="C92" s="535"/>
      <c r="D92" s="535"/>
      <c r="E92" s="535"/>
      <c r="F92" s="535"/>
      <c r="G92" s="535"/>
      <c r="H92" s="535"/>
    </row>
    <row r="93" spans="1:8" ht="15">
      <c r="A93" s="536" t="s">
        <v>773</v>
      </c>
      <c r="B93" s="535"/>
      <c r="C93" s="535"/>
      <c r="D93" s="535"/>
      <c r="E93" s="535"/>
      <c r="F93" s="535"/>
      <c r="G93" s="535"/>
      <c r="H93" s="535"/>
    </row>
    <row r="94" spans="1:8" ht="15">
      <c r="A94" s="536" t="s">
        <v>656</v>
      </c>
      <c r="B94" s="535"/>
      <c r="C94" s="535"/>
      <c r="D94" s="535"/>
      <c r="E94" s="535"/>
      <c r="F94" s="535"/>
      <c r="G94" s="535"/>
      <c r="H94" s="535"/>
    </row>
    <row r="95" spans="1:8" ht="15">
      <c r="A95" s="535"/>
      <c r="B95" s="535"/>
      <c r="C95" s="535"/>
      <c r="D95" s="535"/>
      <c r="E95" s="535"/>
      <c r="F95" s="535"/>
      <c r="G95" s="535"/>
      <c r="H95" s="535"/>
    </row>
    <row r="96" spans="1:8" ht="15">
      <c r="A96" s="536" t="s">
        <v>762</v>
      </c>
      <c r="B96" s="535"/>
      <c r="C96" s="535"/>
      <c r="D96" s="535"/>
      <c r="E96" s="535"/>
      <c r="F96" s="535"/>
      <c r="G96" s="535"/>
      <c r="H96" s="535"/>
    </row>
    <row r="97" spans="1:8" ht="15">
      <c r="A97" s="536" t="s">
        <v>763</v>
      </c>
      <c r="B97" s="535"/>
      <c r="C97" s="535"/>
      <c r="D97" s="535"/>
      <c r="E97" s="535"/>
      <c r="F97" s="535"/>
      <c r="G97" s="535"/>
      <c r="H97" s="535"/>
    </row>
    <row r="98" spans="1:8" ht="15">
      <c r="A98" s="536" t="s">
        <v>764</v>
      </c>
      <c r="B98" s="535"/>
      <c r="C98" s="535"/>
      <c r="D98" s="535"/>
      <c r="E98" s="535"/>
      <c r="F98" s="535"/>
      <c r="G98" s="535"/>
      <c r="H98" s="535"/>
    </row>
    <row r="99" spans="1:8" ht="15">
      <c r="A99" s="536" t="s">
        <v>765</v>
      </c>
      <c r="B99" s="535"/>
      <c r="C99" s="535"/>
      <c r="D99" s="535"/>
      <c r="E99" s="535"/>
      <c r="F99" s="535"/>
      <c r="G99" s="535"/>
      <c r="H99" s="535"/>
    </row>
    <row r="100" spans="1:8" ht="15">
      <c r="A100" s="536" t="s">
        <v>766</v>
      </c>
      <c r="B100" s="535"/>
      <c r="C100" s="535"/>
      <c r="D100" s="535"/>
      <c r="E100" s="535"/>
      <c r="F100" s="535"/>
      <c r="G100" s="535"/>
      <c r="H100" s="535"/>
    </row>
    <row r="101" spans="1:8" ht="15">
      <c r="A101" s="536" t="s">
        <v>767</v>
      </c>
      <c r="B101" s="535"/>
      <c r="C101" s="535"/>
      <c r="D101" s="535"/>
      <c r="E101" s="535"/>
      <c r="F101" s="535"/>
      <c r="G101" s="535"/>
      <c r="H101" s="535"/>
    </row>
    <row r="102" spans="1:8" ht="15">
      <c r="A102" s="536" t="s">
        <v>768</v>
      </c>
      <c r="B102" s="535"/>
      <c r="C102" s="535"/>
      <c r="D102" s="535"/>
      <c r="E102" s="535"/>
      <c r="F102" s="535"/>
      <c r="G102" s="535"/>
      <c r="H102" s="535"/>
    </row>
    <row r="103" spans="1:8" ht="15">
      <c r="A103" s="535"/>
      <c r="B103" s="535"/>
      <c r="C103" s="535"/>
      <c r="D103" s="535"/>
      <c r="E103" s="535"/>
      <c r="F103" s="535"/>
      <c r="G103" s="535"/>
      <c r="H103" s="535"/>
    </row>
    <row r="104" spans="1:8" ht="15">
      <c r="A104" s="536" t="s">
        <v>760</v>
      </c>
      <c r="B104" s="535"/>
      <c r="C104" s="535"/>
      <c r="D104" s="535"/>
      <c r="E104" s="535"/>
      <c r="F104" s="535"/>
      <c r="G104" s="535"/>
      <c r="H104" s="535"/>
    </row>
    <row r="105" spans="1:8" ht="15">
      <c r="A105" s="536" t="s">
        <v>761</v>
      </c>
      <c r="B105" s="535"/>
      <c r="C105" s="535"/>
      <c r="D105" s="535"/>
      <c r="E105" s="535"/>
      <c r="F105" s="535"/>
      <c r="G105" s="535"/>
      <c r="H105" s="535"/>
    </row>
    <row r="106" spans="1:8" ht="15">
      <c r="A106" s="535"/>
      <c r="B106" s="535"/>
      <c r="C106" s="535"/>
      <c r="D106" s="535"/>
      <c r="E106" s="535"/>
      <c r="F106" s="535"/>
      <c r="G106" s="535"/>
      <c r="H106" s="535"/>
    </row>
    <row r="107" spans="1:8" ht="15.75">
      <c r="A107" s="537" t="s">
        <v>531</v>
      </c>
      <c r="B107" s="535"/>
      <c r="C107" s="535"/>
      <c r="D107" s="535"/>
      <c r="E107" s="535"/>
      <c r="F107" s="535"/>
      <c r="G107" s="535"/>
      <c r="H107" s="535"/>
    </row>
    <row r="108" spans="1:8" ht="15">
      <c r="A108" s="535"/>
      <c r="B108" s="535"/>
      <c r="C108" s="535"/>
      <c r="D108" s="535"/>
      <c r="E108" s="535"/>
      <c r="F108" s="535"/>
      <c r="G108" s="535"/>
      <c r="H108" s="535"/>
    </row>
    <row r="109" spans="1:8" ht="15">
      <c r="A109" s="536" t="s">
        <v>751</v>
      </c>
      <c r="B109" s="535"/>
      <c r="C109" s="535"/>
      <c r="D109" s="535"/>
      <c r="E109" s="535"/>
      <c r="F109" s="535"/>
      <c r="G109" s="535"/>
      <c r="H109" s="535"/>
    </row>
    <row r="110" spans="1:8" ht="15">
      <c r="A110" s="536" t="s">
        <v>752</v>
      </c>
      <c r="B110" s="535"/>
      <c r="C110" s="535"/>
      <c r="D110" s="535"/>
      <c r="E110" s="535"/>
      <c r="F110" s="535"/>
      <c r="G110" s="535"/>
      <c r="H110" s="535"/>
    </row>
    <row r="111" spans="1:8" ht="15">
      <c r="A111" s="536" t="s">
        <v>753</v>
      </c>
      <c r="B111" s="535"/>
      <c r="C111" s="535"/>
      <c r="D111" s="535"/>
      <c r="E111" s="535"/>
      <c r="F111" s="535"/>
      <c r="G111" s="535"/>
      <c r="H111" s="535"/>
    </row>
    <row r="112" spans="1:8" ht="15">
      <c r="A112" s="536" t="s">
        <v>754</v>
      </c>
      <c r="B112" s="535"/>
      <c r="C112" s="535"/>
      <c r="D112" s="535"/>
      <c r="E112" s="535"/>
      <c r="F112" s="535"/>
      <c r="G112" s="535"/>
      <c r="H112" s="535"/>
    </row>
    <row r="113" spans="1:8" ht="15">
      <c r="A113" s="536" t="s">
        <v>755</v>
      </c>
      <c r="B113" s="535"/>
      <c r="C113" s="535"/>
      <c r="D113" s="535"/>
      <c r="E113" s="535"/>
      <c r="F113" s="535"/>
      <c r="G113" s="535"/>
      <c r="H113" s="535"/>
    </row>
    <row r="114" spans="1:8" ht="15">
      <c r="A114" s="536" t="s">
        <v>756</v>
      </c>
      <c r="B114" s="535"/>
      <c r="C114" s="535"/>
      <c r="D114" s="535"/>
      <c r="E114" s="535"/>
      <c r="F114" s="535"/>
      <c r="G114" s="535"/>
      <c r="H114" s="535"/>
    </row>
    <row r="115" spans="1:8" ht="15">
      <c r="A115" s="536" t="s">
        <v>757</v>
      </c>
      <c r="B115" s="535"/>
      <c r="C115" s="535"/>
      <c r="D115" s="535"/>
      <c r="E115" s="535"/>
      <c r="F115" s="535"/>
      <c r="G115" s="535"/>
      <c r="H115" s="535"/>
    </row>
    <row r="116" spans="1:8" ht="15">
      <c r="A116" s="536" t="s">
        <v>758</v>
      </c>
      <c r="B116" s="535"/>
      <c r="C116" s="535"/>
      <c r="D116" s="535"/>
      <c r="E116" s="535"/>
      <c r="F116" s="535"/>
      <c r="G116" s="535"/>
      <c r="H116" s="535"/>
    </row>
    <row r="117" spans="1:8" ht="15">
      <c r="A117" s="536" t="s">
        <v>759</v>
      </c>
      <c r="B117" s="535"/>
      <c r="C117" s="535"/>
      <c r="D117" s="535"/>
      <c r="E117" s="535"/>
      <c r="F117" s="535"/>
      <c r="G117" s="535"/>
      <c r="H117" s="535"/>
    </row>
    <row r="118" spans="1:8" ht="15">
      <c r="A118" s="535"/>
      <c r="B118" s="535"/>
      <c r="C118" s="535"/>
      <c r="D118" s="535"/>
      <c r="E118" s="535"/>
      <c r="F118" s="535"/>
      <c r="G118" s="535"/>
      <c r="H118" s="535"/>
    </row>
    <row r="119" spans="1:8" ht="15.75">
      <c r="A119" s="562" t="s">
        <v>532</v>
      </c>
      <c r="B119" s="562"/>
      <c r="C119" s="562"/>
      <c r="D119" s="562"/>
      <c r="E119" s="562"/>
      <c r="F119" s="562"/>
      <c r="G119" s="562"/>
      <c r="H119" s="562"/>
    </row>
    <row r="120" spans="1:8">
      <c r="A120" s="560" t="s">
        <v>533</v>
      </c>
      <c r="B120" s="560"/>
      <c r="C120" s="560"/>
      <c r="D120" s="560"/>
      <c r="E120" s="560"/>
      <c r="F120" s="560"/>
      <c r="G120" s="560"/>
      <c r="H120" s="560"/>
    </row>
    <row r="121" spans="1:8" ht="15">
      <c r="A121" s="563"/>
      <c r="B121" s="563"/>
      <c r="C121" s="563"/>
      <c r="D121" s="563"/>
      <c r="E121" s="563"/>
      <c r="F121" s="563"/>
      <c r="G121" s="563"/>
      <c r="H121" s="563"/>
    </row>
    <row r="122" spans="1:8">
      <c r="A122" s="560" t="s">
        <v>749</v>
      </c>
      <c r="B122" s="560"/>
      <c r="C122" s="560"/>
      <c r="D122" s="560"/>
      <c r="E122" s="560"/>
      <c r="F122" s="560"/>
      <c r="G122" s="560"/>
      <c r="H122" s="560"/>
    </row>
    <row r="123" spans="1:8">
      <c r="A123" s="536" t="s">
        <v>750</v>
      </c>
      <c r="B123" s="536"/>
      <c r="C123" s="536"/>
      <c r="D123" s="536"/>
      <c r="E123" s="536"/>
      <c r="F123" s="536"/>
      <c r="G123" s="536"/>
      <c r="H123" s="536"/>
    </row>
    <row r="124" spans="1:8" ht="15">
      <c r="A124" s="563"/>
      <c r="B124" s="563"/>
      <c r="C124" s="563"/>
      <c r="D124" s="563"/>
      <c r="E124" s="563"/>
      <c r="F124" s="563"/>
      <c r="G124" s="563"/>
      <c r="H124" s="563"/>
    </row>
    <row r="125" spans="1:8">
      <c r="A125" s="560" t="s">
        <v>742</v>
      </c>
      <c r="B125" s="560"/>
      <c r="C125" s="560"/>
      <c r="D125" s="560"/>
      <c r="E125" s="560"/>
      <c r="F125" s="560"/>
      <c r="G125" s="560"/>
      <c r="H125" s="560"/>
    </row>
    <row r="126" spans="1:8">
      <c r="A126" s="536" t="s">
        <v>743</v>
      </c>
      <c r="B126" s="536"/>
      <c r="C126" s="536"/>
      <c r="D126" s="536"/>
      <c r="E126" s="536"/>
      <c r="F126" s="536"/>
      <c r="G126" s="536"/>
      <c r="H126" s="536"/>
    </row>
    <row r="127" spans="1:8">
      <c r="A127" s="536" t="s">
        <v>744</v>
      </c>
      <c r="B127" s="536"/>
      <c r="C127" s="536"/>
      <c r="D127" s="536"/>
      <c r="E127" s="536"/>
      <c r="F127" s="536"/>
      <c r="G127" s="536"/>
      <c r="H127" s="536"/>
    </row>
    <row r="128" spans="1:8">
      <c r="A128" s="536" t="s">
        <v>745</v>
      </c>
      <c r="B128" s="536"/>
      <c r="C128" s="536"/>
      <c r="D128" s="536"/>
      <c r="E128" s="536"/>
      <c r="F128" s="536"/>
      <c r="G128" s="536"/>
      <c r="H128" s="536"/>
    </row>
    <row r="129" spans="1:8">
      <c r="A129" s="536" t="s">
        <v>746</v>
      </c>
      <c r="B129" s="536"/>
      <c r="C129" s="536"/>
      <c r="D129" s="536"/>
      <c r="E129" s="536"/>
      <c r="F129" s="536"/>
      <c r="G129" s="536"/>
      <c r="H129" s="536"/>
    </row>
    <row r="130" spans="1:8">
      <c r="A130" s="536" t="s">
        <v>747</v>
      </c>
      <c r="B130" s="536"/>
      <c r="C130" s="536"/>
      <c r="D130" s="536"/>
      <c r="E130" s="536"/>
      <c r="F130" s="536"/>
      <c r="G130" s="536"/>
      <c r="H130" s="536"/>
    </row>
    <row r="131" spans="1:8">
      <c r="A131" s="536" t="s">
        <v>748</v>
      </c>
      <c r="B131" s="536"/>
      <c r="C131" s="536"/>
      <c r="D131" s="536"/>
      <c r="E131" s="536"/>
      <c r="F131" s="536"/>
      <c r="G131" s="536"/>
      <c r="H131" s="536"/>
    </row>
    <row r="132" spans="1:8" ht="15">
      <c r="A132" s="561"/>
      <c r="B132" s="561"/>
      <c r="C132" s="561"/>
      <c r="D132" s="561"/>
      <c r="E132" s="561"/>
      <c r="F132" s="561"/>
      <c r="G132" s="561"/>
      <c r="H132" s="561"/>
    </row>
    <row r="133" spans="1:8">
      <c r="A133" s="538"/>
      <c r="B133" s="565" t="s">
        <v>534</v>
      </c>
      <c r="C133" s="566"/>
      <c r="D133" s="565" t="s">
        <v>535</v>
      </c>
      <c r="E133" s="567"/>
      <c r="F133" s="566"/>
      <c r="G133" s="565" t="s">
        <v>536</v>
      </c>
      <c r="H133" s="566"/>
    </row>
    <row r="134" spans="1:8">
      <c r="A134" s="538" t="s">
        <v>537</v>
      </c>
      <c r="B134" s="538" t="s">
        <v>196</v>
      </c>
      <c r="C134" s="538" t="s">
        <v>538</v>
      </c>
      <c r="D134" s="538" t="s">
        <v>196</v>
      </c>
      <c r="E134" s="538" t="s">
        <v>539</v>
      </c>
      <c r="F134" s="538" t="s">
        <v>540</v>
      </c>
      <c r="G134" s="538" t="s">
        <v>196</v>
      </c>
      <c r="H134" s="538" t="s">
        <v>541</v>
      </c>
    </row>
    <row r="135" spans="1:8">
      <c r="A135" s="538" t="s">
        <v>542</v>
      </c>
      <c r="B135" s="538">
        <v>1189</v>
      </c>
      <c r="C135" s="539">
        <v>0.38</v>
      </c>
      <c r="D135" s="538">
        <v>315</v>
      </c>
      <c r="E135" s="539">
        <v>0.41</v>
      </c>
      <c r="F135" s="539">
        <v>0.26</v>
      </c>
      <c r="G135" s="538">
        <v>555</v>
      </c>
      <c r="H135" s="539">
        <v>0.39</v>
      </c>
    </row>
    <row r="136" spans="1:8">
      <c r="A136" s="538" t="s">
        <v>543</v>
      </c>
      <c r="B136" s="538">
        <v>1355</v>
      </c>
      <c r="C136" s="539">
        <v>0.43</v>
      </c>
      <c r="D136" s="538">
        <v>364</v>
      </c>
      <c r="E136" s="539">
        <v>0.47</v>
      </c>
      <c r="F136" s="539">
        <v>0.27</v>
      </c>
      <c r="G136" s="538">
        <v>644</v>
      </c>
      <c r="H136" s="539">
        <v>0.45</v>
      </c>
    </row>
    <row r="137" spans="1:8">
      <c r="A137" s="538" t="s">
        <v>544</v>
      </c>
      <c r="B137" s="538">
        <v>53</v>
      </c>
      <c r="C137" s="539">
        <v>0.02</v>
      </c>
      <c r="D137" s="538">
        <v>4</v>
      </c>
      <c r="E137" s="539">
        <v>0.01</v>
      </c>
      <c r="F137" s="539">
        <v>0.08</v>
      </c>
      <c r="G137" s="538">
        <v>7</v>
      </c>
      <c r="H137" s="539">
        <v>0</v>
      </c>
    </row>
    <row r="138" spans="1:8">
      <c r="A138" s="538" t="s">
        <v>545</v>
      </c>
      <c r="B138" s="538">
        <v>545</v>
      </c>
      <c r="C138" s="539">
        <v>0.17</v>
      </c>
      <c r="D138" s="538">
        <v>84</v>
      </c>
      <c r="E138" s="539">
        <v>0.11</v>
      </c>
      <c r="F138" s="539">
        <v>0.15</v>
      </c>
      <c r="G138" s="538">
        <v>214</v>
      </c>
      <c r="H138" s="539">
        <v>0.15</v>
      </c>
    </row>
    <row r="139" spans="1:8">
      <c r="A139" s="538" t="s">
        <v>20</v>
      </c>
      <c r="B139" s="540">
        <v>3142</v>
      </c>
      <c r="C139" s="538"/>
      <c r="D139" s="538">
        <v>767</v>
      </c>
      <c r="E139" s="538"/>
      <c r="F139" s="538"/>
      <c r="G139" s="538">
        <v>1420</v>
      </c>
      <c r="H139" s="538"/>
    </row>
    <row r="140" spans="1:8" ht="15">
      <c r="A140" s="564"/>
      <c r="B140" s="564"/>
      <c r="C140" s="564"/>
      <c r="D140" s="564"/>
      <c r="E140" s="564"/>
      <c r="F140" s="564"/>
      <c r="G140" s="564"/>
      <c r="H140" s="564"/>
    </row>
    <row r="141" spans="1:8">
      <c r="A141" s="560" t="s">
        <v>738</v>
      </c>
      <c r="B141" s="560"/>
      <c r="C141" s="560"/>
      <c r="D141" s="560"/>
      <c r="E141" s="560"/>
      <c r="F141" s="560"/>
      <c r="G141" s="560"/>
      <c r="H141" s="560"/>
    </row>
    <row r="142" spans="1:8">
      <c r="A142" s="536" t="s">
        <v>739</v>
      </c>
      <c r="B142" s="536"/>
      <c r="C142" s="536"/>
      <c r="D142" s="536"/>
      <c r="E142" s="536"/>
      <c r="F142" s="536"/>
      <c r="G142" s="536"/>
      <c r="H142" s="536"/>
    </row>
    <row r="143" spans="1:8">
      <c r="A143" s="536" t="s">
        <v>740</v>
      </c>
      <c r="B143" s="536"/>
      <c r="C143" s="536"/>
      <c r="D143" s="536"/>
      <c r="E143" s="536"/>
      <c r="F143" s="536"/>
      <c r="G143" s="536"/>
      <c r="H143" s="536"/>
    </row>
    <row r="144" spans="1:8">
      <c r="A144" s="536" t="s">
        <v>741</v>
      </c>
      <c r="B144" s="536"/>
      <c r="C144" s="536"/>
      <c r="D144" s="536"/>
      <c r="E144" s="536"/>
      <c r="F144" s="536"/>
      <c r="G144" s="536"/>
      <c r="H144" s="536"/>
    </row>
    <row r="145" spans="1:8" ht="15">
      <c r="A145" s="535"/>
      <c r="B145" s="535"/>
      <c r="C145" s="535"/>
      <c r="D145" s="535"/>
      <c r="E145" s="535"/>
      <c r="F145" s="535"/>
      <c r="G145" s="535"/>
      <c r="H145" s="535"/>
    </row>
    <row r="146" spans="1:8" ht="15.75">
      <c r="A146" s="537" t="s">
        <v>546</v>
      </c>
      <c r="B146" s="535"/>
      <c r="C146" s="535"/>
      <c r="D146" s="535"/>
      <c r="E146" s="535"/>
      <c r="F146" s="535"/>
      <c r="G146" s="535"/>
      <c r="H146" s="535"/>
    </row>
    <row r="147" spans="1:8" ht="15">
      <c r="A147" s="535"/>
      <c r="B147" s="535"/>
      <c r="C147" s="535"/>
      <c r="D147" s="535"/>
      <c r="E147" s="535"/>
      <c r="F147" s="535"/>
      <c r="G147" s="535"/>
      <c r="H147" s="535"/>
    </row>
    <row r="148" spans="1:8" ht="15">
      <c r="A148" s="536" t="s">
        <v>736</v>
      </c>
      <c r="B148" s="535"/>
      <c r="C148" s="535"/>
      <c r="D148" s="535"/>
      <c r="E148" s="535"/>
      <c r="F148" s="535"/>
      <c r="G148" s="535"/>
      <c r="H148" s="535"/>
    </row>
    <row r="149" spans="1:8" ht="15">
      <c r="A149" s="536" t="s">
        <v>737</v>
      </c>
      <c r="B149" s="535"/>
      <c r="C149" s="535"/>
      <c r="D149" s="535"/>
      <c r="E149" s="535"/>
      <c r="F149" s="535"/>
      <c r="G149" s="535"/>
      <c r="H149" s="535"/>
    </row>
    <row r="150" spans="1:8" ht="15">
      <c r="A150" s="535"/>
      <c r="B150" s="535"/>
      <c r="C150" s="535"/>
      <c r="D150" s="535"/>
      <c r="E150" s="535"/>
      <c r="F150" s="535"/>
      <c r="G150" s="535"/>
      <c r="H150" s="535"/>
    </row>
    <row r="151" spans="1:8" ht="15">
      <c r="A151" s="536" t="s">
        <v>733</v>
      </c>
      <c r="B151" s="535"/>
      <c r="C151" s="535"/>
      <c r="D151" s="535"/>
      <c r="E151" s="535"/>
      <c r="F151" s="535"/>
      <c r="G151" s="535"/>
      <c r="H151" s="535"/>
    </row>
    <row r="152" spans="1:8" ht="15">
      <c r="A152" s="536" t="s">
        <v>734</v>
      </c>
      <c r="B152" s="535"/>
      <c r="C152" s="535"/>
      <c r="D152" s="535"/>
      <c r="E152" s="535"/>
      <c r="F152" s="535"/>
      <c r="G152" s="535"/>
      <c r="H152" s="535"/>
    </row>
    <row r="153" spans="1:8" ht="15">
      <c r="A153" s="536" t="s">
        <v>735</v>
      </c>
      <c r="B153" s="535"/>
      <c r="C153" s="535"/>
      <c r="D153" s="535"/>
      <c r="E153" s="535"/>
      <c r="F153" s="535"/>
      <c r="G153" s="535"/>
      <c r="H153" s="535"/>
    </row>
    <row r="154" spans="1:8" ht="15">
      <c r="A154" s="535"/>
      <c r="B154" s="535"/>
      <c r="C154" s="535"/>
      <c r="D154" s="535"/>
      <c r="E154" s="535"/>
      <c r="F154" s="535"/>
      <c r="G154" s="535"/>
      <c r="H154" s="535"/>
    </row>
    <row r="155" spans="1:8" ht="15">
      <c r="A155" s="536" t="s">
        <v>730</v>
      </c>
      <c r="B155" s="535"/>
      <c r="C155" s="535"/>
      <c r="D155" s="535"/>
      <c r="E155" s="535"/>
      <c r="F155" s="535"/>
      <c r="G155" s="535"/>
      <c r="H155" s="535"/>
    </row>
    <row r="156" spans="1:8" ht="15">
      <c r="A156" s="536" t="s">
        <v>731</v>
      </c>
      <c r="B156" s="535"/>
      <c r="C156" s="535"/>
      <c r="D156" s="535"/>
      <c r="E156" s="535"/>
      <c r="F156" s="535"/>
      <c r="G156" s="535"/>
      <c r="H156" s="535"/>
    </row>
    <row r="157" spans="1:8" ht="15">
      <c r="A157" s="536" t="s">
        <v>732</v>
      </c>
      <c r="B157" s="535"/>
      <c r="C157" s="535"/>
      <c r="D157" s="535"/>
      <c r="E157" s="535"/>
      <c r="F157" s="535"/>
      <c r="G157" s="535"/>
      <c r="H157" s="535"/>
    </row>
    <row r="158" spans="1:8" ht="15">
      <c r="A158" s="535"/>
      <c r="B158" s="535"/>
      <c r="C158" s="535"/>
      <c r="D158" s="535"/>
      <c r="E158" s="535"/>
      <c r="F158" s="535"/>
      <c r="G158" s="535"/>
      <c r="H158" s="535"/>
    </row>
    <row r="159" spans="1:8" ht="15">
      <c r="A159" s="536" t="s">
        <v>727</v>
      </c>
      <c r="B159" s="535"/>
      <c r="C159" s="535"/>
      <c r="D159" s="535"/>
      <c r="E159" s="535"/>
      <c r="F159" s="535"/>
      <c r="G159" s="535"/>
      <c r="H159" s="535"/>
    </row>
    <row r="160" spans="1:8" ht="15">
      <c r="A160" s="536" t="s">
        <v>728</v>
      </c>
      <c r="B160" s="535"/>
      <c r="C160" s="535"/>
      <c r="D160" s="535"/>
      <c r="E160" s="535"/>
      <c r="F160" s="535"/>
      <c r="G160" s="535"/>
      <c r="H160" s="535"/>
    </row>
    <row r="161" spans="1:8" ht="15">
      <c r="A161" s="536" t="s">
        <v>729</v>
      </c>
      <c r="B161" s="535"/>
      <c r="C161" s="535"/>
      <c r="D161" s="535"/>
      <c r="E161" s="535"/>
      <c r="F161" s="535"/>
      <c r="G161" s="535"/>
      <c r="H161" s="535"/>
    </row>
    <row r="162" spans="1:8" ht="15">
      <c r="A162" s="535"/>
      <c r="B162" s="535"/>
      <c r="C162" s="535"/>
      <c r="D162" s="535"/>
      <c r="E162" s="535"/>
      <c r="F162" s="535"/>
      <c r="G162" s="535"/>
      <c r="H162" s="535"/>
    </row>
    <row r="163" spans="1:8" ht="15">
      <c r="A163" s="536" t="s">
        <v>725</v>
      </c>
      <c r="B163" s="535"/>
      <c r="C163" s="535"/>
      <c r="D163" s="535"/>
      <c r="E163" s="535"/>
      <c r="F163" s="535"/>
      <c r="G163" s="535"/>
      <c r="H163" s="535"/>
    </row>
    <row r="164" spans="1:8" ht="15">
      <c r="A164" s="536" t="s">
        <v>726</v>
      </c>
      <c r="B164" s="535"/>
      <c r="C164" s="535"/>
      <c r="D164" s="535"/>
      <c r="E164" s="535"/>
      <c r="F164" s="535"/>
      <c r="G164" s="535"/>
      <c r="H164" s="535"/>
    </row>
    <row r="165" spans="1:8" ht="15">
      <c r="A165" s="535"/>
      <c r="B165" s="535"/>
      <c r="C165" s="535"/>
      <c r="D165" s="535"/>
      <c r="E165" s="535"/>
      <c r="F165" s="535"/>
      <c r="G165" s="535"/>
      <c r="H165" s="535"/>
    </row>
    <row r="166" spans="1:8" ht="15.75">
      <c r="A166" s="537" t="s">
        <v>547</v>
      </c>
      <c r="B166" s="535"/>
      <c r="C166" s="535"/>
      <c r="D166" s="535"/>
      <c r="E166" s="535"/>
      <c r="F166" s="535"/>
      <c r="G166" s="535"/>
      <c r="H166" s="535"/>
    </row>
    <row r="167" spans="1:8" ht="15">
      <c r="A167" s="535"/>
      <c r="B167" s="535"/>
      <c r="C167" s="535"/>
      <c r="D167" s="535"/>
      <c r="E167" s="535"/>
      <c r="F167" s="535"/>
      <c r="G167" s="535"/>
      <c r="H167" s="535"/>
    </row>
    <row r="168" spans="1:8" ht="15">
      <c r="A168" s="536" t="s">
        <v>723</v>
      </c>
      <c r="B168" s="535"/>
      <c r="C168" s="535"/>
      <c r="D168" s="535"/>
      <c r="E168" s="535"/>
      <c r="F168" s="535"/>
      <c r="G168" s="535"/>
      <c r="H168" s="535"/>
    </row>
    <row r="169" spans="1:8" ht="15">
      <c r="A169" s="536" t="s">
        <v>724</v>
      </c>
      <c r="B169" s="535"/>
      <c r="C169" s="535"/>
      <c r="D169" s="535"/>
      <c r="E169" s="535"/>
      <c r="F169" s="535"/>
      <c r="G169" s="535"/>
      <c r="H169" s="535"/>
    </row>
    <row r="170" spans="1:8" ht="15">
      <c r="A170" s="535"/>
      <c r="B170" s="535"/>
      <c r="C170" s="535"/>
      <c r="D170" s="535"/>
      <c r="E170" s="535"/>
      <c r="F170" s="535"/>
      <c r="G170" s="535"/>
      <c r="H170" s="535"/>
    </row>
    <row r="171" spans="1:8" ht="15">
      <c r="A171" s="536" t="s">
        <v>721</v>
      </c>
      <c r="B171" s="535"/>
      <c r="C171" s="535"/>
      <c r="D171" s="535"/>
      <c r="E171" s="535"/>
      <c r="F171" s="535"/>
      <c r="G171" s="535"/>
      <c r="H171" s="535"/>
    </row>
    <row r="172" spans="1:8" ht="15">
      <c r="A172" s="536" t="s">
        <v>722</v>
      </c>
      <c r="B172" s="535"/>
      <c r="C172" s="535"/>
      <c r="D172" s="535"/>
      <c r="E172" s="535"/>
      <c r="F172" s="535"/>
      <c r="G172" s="535"/>
      <c r="H172" s="535"/>
    </row>
    <row r="173" spans="1:8" ht="15">
      <c r="A173" s="535"/>
      <c r="B173" s="535"/>
      <c r="C173" s="535"/>
      <c r="D173" s="535"/>
      <c r="E173" s="535"/>
      <c r="F173" s="535"/>
      <c r="G173" s="535"/>
      <c r="H173" s="535"/>
    </row>
    <row r="174" spans="1:8" ht="15">
      <c r="A174" s="536" t="s">
        <v>719</v>
      </c>
      <c r="B174" s="535"/>
      <c r="C174" s="535"/>
      <c r="D174" s="535"/>
      <c r="E174" s="535"/>
      <c r="F174" s="535"/>
      <c r="G174" s="535"/>
      <c r="H174" s="535"/>
    </row>
    <row r="175" spans="1:8" ht="15">
      <c r="A175" s="536" t="s">
        <v>720</v>
      </c>
      <c r="B175" s="535"/>
      <c r="C175" s="535"/>
      <c r="D175" s="535"/>
      <c r="E175" s="535"/>
      <c r="F175" s="535"/>
      <c r="G175" s="535"/>
      <c r="H175" s="535"/>
    </row>
    <row r="176" spans="1:8" ht="15">
      <c r="A176" s="535"/>
      <c r="B176" s="535"/>
      <c r="C176" s="535"/>
      <c r="D176" s="535"/>
      <c r="E176" s="535"/>
      <c r="F176" s="535"/>
      <c r="G176" s="535"/>
      <c r="H176" s="535"/>
    </row>
    <row r="177" spans="1:8" ht="15">
      <c r="A177" s="536" t="s">
        <v>716</v>
      </c>
      <c r="B177" s="535"/>
      <c r="C177" s="535"/>
      <c r="D177" s="535"/>
      <c r="E177" s="535"/>
      <c r="F177" s="535"/>
      <c r="G177" s="535"/>
      <c r="H177" s="535"/>
    </row>
    <row r="178" spans="1:8" ht="15">
      <c r="A178" s="536" t="s">
        <v>717</v>
      </c>
      <c r="B178" s="535"/>
      <c r="C178" s="535"/>
      <c r="D178" s="535"/>
      <c r="E178" s="535"/>
      <c r="F178" s="535"/>
      <c r="G178" s="535"/>
      <c r="H178" s="535"/>
    </row>
    <row r="179" spans="1:8" ht="15">
      <c r="A179" s="536" t="s">
        <v>718</v>
      </c>
      <c r="B179" s="535"/>
      <c r="C179" s="535"/>
      <c r="D179" s="535"/>
      <c r="E179" s="535"/>
      <c r="F179" s="535"/>
      <c r="G179" s="535"/>
      <c r="H179" s="535"/>
    </row>
    <row r="180" spans="1:8" ht="15">
      <c r="A180" s="535"/>
      <c r="B180" s="535"/>
      <c r="C180" s="535"/>
      <c r="D180" s="535"/>
      <c r="E180" s="535"/>
      <c r="F180" s="535"/>
      <c r="G180" s="535"/>
      <c r="H180" s="535"/>
    </row>
    <row r="181" spans="1:8" ht="15">
      <c r="A181" s="535"/>
      <c r="B181" s="535"/>
      <c r="C181" s="535"/>
      <c r="D181" s="535"/>
      <c r="E181" s="535"/>
      <c r="F181" s="535"/>
      <c r="G181" s="535"/>
      <c r="H181" s="535"/>
    </row>
    <row r="182" spans="1:8" ht="15">
      <c r="A182" s="536" t="s">
        <v>548</v>
      </c>
      <c r="B182" s="535"/>
      <c r="C182" s="535"/>
      <c r="D182" s="535"/>
      <c r="E182" s="535"/>
      <c r="F182" s="535"/>
      <c r="G182" s="535"/>
      <c r="H182" s="535"/>
    </row>
    <row r="183" spans="1:8" ht="15">
      <c r="A183" s="535"/>
      <c r="B183" s="535"/>
      <c r="C183" s="535"/>
      <c r="D183" s="535"/>
      <c r="E183" s="535"/>
      <c r="F183" s="535"/>
      <c r="G183" s="535"/>
      <c r="H183" s="535"/>
    </row>
    <row r="184" spans="1:8" ht="15.75">
      <c r="A184" s="537" t="s">
        <v>549</v>
      </c>
      <c r="B184" s="535"/>
      <c r="C184" s="535"/>
      <c r="D184" s="535"/>
      <c r="E184" s="535"/>
      <c r="F184" s="535"/>
      <c r="G184" s="535"/>
      <c r="H184" s="535"/>
    </row>
    <row r="185" spans="1:8" ht="15">
      <c r="A185" s="535"/>
      <c r="B185" s="535"/>
      <c r="C185" s="535"/>
      <c r="D185" s="535"/>
      <c r="E185" s="535"/>
      <c r="F185" s="535"/>
      <c r="G185" s="535"/>
      <c r="H185" s="535"/>
    </row>
    <row r="186" spans="1:8" ht="15">
      <c r="A186" s="535"/>
      <c r="B186" s="535"/>
      <c r="C186" s="535"/>
      <c r="D186" s="535"/>
      <c r="E186" s="535"/>
      <c r="F186" s="535"/>
      <c r="G186" s="535"/>
      <c r="H186" s="535"/>
    </row>
    <row r="187" spans="1:8" ht="15">
      <c r="A187" s="535"/>
      <c r="B187" s="535"/>
      <c r="C187" s="535"/>
      <c r="D187" s="535"/>
      <c r="E187" s="535"/>
      <c r="F187" s="535"/>
      <c r="G187" s="535"/>
      <c r="H187" s="535"/>
    </row>
    <row r="188" spans="1:8" ht="15">
      <c r="A188" s="535"/>
      <c r="B188" s="535"/>
      <c r="C188" s="535"/>
      <c r="D188" s="535"/>
      <c r="E188" s="535"/>
      <c r="F188" s="535"/>
      <c r="G188" s="535"/>
      <c r="H188" s="535"/>
    </row>
    <row r="189" spans="1:8" ht="15">
      <c r="A189" s="535"/>
      <c r="B189" s="535"/>
      <c r="C189" s="535"/>
      <c r="D189" s="535"/>
      <c r="E189" s="535"/>
      <c r="F189" s="535"/>
      <c r="G189" s="535"/>
      <c r="H189" s="535"/>
    </row>
    <row r="190" spans="1:8" ht="15">
      <c r="A190" s="535"/>
      <c r="B190" s="535"/>
      <c r="C190" s="535"/>
      <c r="D190" s="535"/>
      <c r="E190" s="535"/>
      <c r="F190" s="535"/>
      <c r="G190" s="535"/>
      <c r="H190" s="535"/>
    </row>
    <row r="191" spans="1:8" ht="15">
      <c r="A191" s="535"/>
      <c r="B191" s="535"/>
      <c r="C191" s="535"/>
      <c r="D191" s="535"/>
      <c r="E191" s="535"/>
      <c r="F191" s="535"/>
      <c r="G191" s="535"/>
      <c r="H191" s="535"/>
    </row>
    <row r="192" spans="1:8" ht="15">
      <c r="A192" s="535"/>
      <c r="B192" s="535"/>
      <c r="C192" s="535"/>
      <c r="D192" s="535"/>
      <c r="E192" s="535"/>
      <c r="F192" s="535"/>
      <c r="G192" s="535"/>
      <c r="H192" s="535"/>
    </row>
    <row r="193" spans="1:8" ht="15">
      <c r="A193" s="535"/>
      <c r="B193" s="535"/>
      <c r="C193" s="535"/>
      <c r="D193" s="535"/>
      <c r="E193" s="535"/>
      <c r="F193" s="535"/>
      <c r="G193" s="535"/>
      <c r="H193" s="535"/>
    </row>
    <row r="194" spans="1:8" ht="15">
      <c r="A194" s="535"/>
      <c r="B194" s="535"/>
      <c r="C194" s="535"/>
      <c r="D194" s="535"/>
      <c r="E194" s="535"/>
      <c r="F194" s="535"/>
      <c r="G194" s="535"/>
      <c r="H194" s="535"/>
    </row>
    <row r="195" spans="1:8" ht="15">
      <c r="A195" s="535"/>
      <c r="B195" s="535"/>
      <c r="C195" s="535"/>
      <c r="D195" s="535"/>
      <c r="E195" s="535"/>
      <c r="F195" s="535"/>
      <c r="G195" s="535"/>
      <c r="H195" s="535"/>
    </row>
    <row r="196" spans="1:8" ht="15">
      <c r="A196" s="535"/>
      <c r="B196" s="535"/>
      <c r="C196" s="535"/>
      <c r="D196" s="535"/>
      <c r="E196" s="535"/>
      <c r="F196" s="535"/>
      <c r="G196" s="535"/>
      <c r="H196" s="535"/>
    </row>
    <row r="197" spans="1:8" ht="15">
      <c r="A197" s="535"/>
      <c r="B197" s="535"/>
      <c r="C197" s="535"/>
      <c r="D197" s="535"/>
      <c r="E197" s="535"/>
      <c r="F197" s="535"/>
      <c r="G197" s="535"/>
      <c r="H197" s="535"/>
    </row>
    <row r="198" spans="1:8" ht="15">
      <c r="A198" s="535"/>
      <c r="B198" s="535"/>
      <c r="C198" s="535"/>
      <c r="D198" s="535"/>
      <c r="E198" s="535"/>
      <c r="F198" s="535"/>
      <c r="G198" s="535"/>
      <c r="H198" s="535"/>
    </row>
    <row r="199" spans="1:8" ht="15">
      <c r="A199" s="535"/>
      <c r="B199" s="535"/>
      <c r="C199" s="535"/>
      <c r="D199" s="535"/>
      <c r="E199" s="535"/>
      <c r="F199" s="535"/>
      <c r="G199" s="535"/>
      <c r="H199" s="535"/>
    </row>
    <row r="200" spans="1:8" ht="15">
      <c r="A200" s="535"/>
      <c r="B200" s="535"/>
      <c r="C200" s="535"/>
      <c r="D200" s="535"/>
      <c r="E200" s="535"/>
      <c r="F200" s="535"/>
      <c r="G200" s="535"/>
      <c r="H200" s="535"/>
    </row>
    <row r="201" spans="1:8" ht="15">
      <c r="A201" s="535"/>
      <c r="B201" s="535"/>
      <c r="C201" s="535"/>
      <c r="D201" s="535"/>
      <c r="E201" s="535"/>
      <c r="F201" s="535"/>
      <c r="G201" s="535"/>
      <c r="H201" s="535"/>
    </row>
    <row r="202" spans="1:8" ht="15">
      <c r="A202" s="535"/>
      <c r="B202" s="535"/>
      <c r="C202" s="535"/>
      <c r="D202" s="535"/>
      <c r="E202" s="535"/>
      <c r="F202" s="535"/>
      <c r="G202" s="535"/>
      <c r="H202" s="535"/>
    </row>
    <row r="203" spans="1:8" ht="15">
      <c r="A203" s="535"/>
      <c r="B203" s="535"/>
      <c r="C203" s="535"/>
      <c r="D203" s="535"/>
      <c r="E203" s="535"/>
      <c r="F203" s="535"/>
      <c r="G203" s="535"/>
      <c r="H203" s="535"/>
    </row>
    <row r="204" spans="1:8" ht="15">
      <c r="A204" s="535"/>
      <c r="B204" s="535"/>
      <c r="C204" s="535"/>
      <c r="D204" s="535"/>
      <c r="E204" s="535"/>
      <c r="F204" s="535"/>
      <c r="G204" s="535"/>
      <c r="H204" s="535"/>
    </row>
    <row r="205" spans="1:8" ht="15">
      <c r="A205" s="535"/>
      <c r="B205" s="535"/>
      <c r="C205" s="535"/>
      <c r="D205" s="535"/>
      <c r="E205" s="535"/>
      <c r="F205" s="535"/>
      <c r="G205" s="535"/>
      <c r="H205" s="535"/>
    </row>
    <row r="206" spans="1:8" ht="15">
      <c r="A206" s="535"/>
      <c r="B206" s="535"/>
      <c r="C206" s="535"/>
      <c r="D206" s="535"/>
      <c r="E206" s="535"/>
      <c r="F206" s="535"/>
      <c r="G206" s="535"/>
      <c r="H206" s="535"/>
    </row>
    <row r="207" spans="1:8" ht="15">
      <c r="A207" s="535"/>
      <c r="B207" s="535"/>
      <c r="C207" s="535"/>
      <c r="D207" s="535"/>
      <c r="E207" s="535"/>
      <c r="F207" s="535"/>
      <c r="G207" s="535"/>
      <c r="H207" s="535"/>
    </row>
    <row r="208" spans="1:8" ht="15">
      <c r="A208" s="535"/>
      <c r="B208" s="535"/>
      <c r="C208" s="535"/>
      <c r="D208" s="535"/>
      <c r="E208" s="535"/>
      <c r="F208" s="535"/>
      <c r="G208" s="535"/>
      <c r="H208" s="535"/>
    </row>
    <row r="209" spans="1:8" ht="15">
      <c r="A209" s="535"/>
      <c r="B209" s="535"/>
      <c r="C209" s="535"/>
      <c r="D209" s="535"/>
      <c r="E209" s="535"/>
      <c r="F209" s="535"/>
      <c r="G209" s="535"/>
      <c r="H209" s="535"/>
    </row>
    <row r="210" spans="1:8" ht="15">
      <c r="A210" s="535"/>
      <c r="B210" s="535"/>
      <c r="C210" s="535"/>
      <c r="D210" s="535"/>
      <c r="E210" s="535"/>
      <c r="F210" s="535"/>
      <c r="G210" s="535"/>
      <c r="H210" s="535"/>
    </row>
    <row r="211" spans="1:8" ht="15.75">
      <c r="A211" s="537" t="s">
        <v>550</v>
      </c>
      <c r="B211" s="535"/>
      <c r="C211" s="535"/>
      <c r="D211" s="535"/>
      <c r="E211" s="535"/>
      <c r="F211" s="535"/>
      <c r="G211" s="535"/>
      <c r="H211" s="535"/>
    </row>
    <row r="212" spans="1:8" ht="15">
      <c r="A212" s="535"/>
      <c r="B212" s="535"/>
      <c r="C212" s="535"/>
      <c r="D212" s="535"/>
      <c r="E212" s="535"/>
      <c r="F212" s="535"/>
      <c r="G212" s="535"/>
      <c r="H212" s="535"/>
    </row>
    <row r="213" spans="1:8" ht="15">
      <c r="A213" s="536" t="s">
        <v>711</v>
      </c>
      <c r="B213" s="535"/>
      <c r="C213" s="535"/>
      <c r="D213" s="535"/>
      <c r="E213" s="535"/>
      <c r="F213" s="535"/>
      <c r="G213" s="535"/>
      <c r="H213" s="535"/>
    </row>
    <row r="214" spans="1:8" ht="15">
      <c r="A214" s="536" t="s">
        <v>712</v>
      </c>
      <c r="B214" s="535"/>
      <c r="C214" s="535"/>
      <c r="D214" s="535"/>
      <c r="E214" s="535"/>
      <c r="F214" s="535"/>
      <c r="G214" s="535"/>
      <c r="H214" s="535"/>
    </row>
    <row r="215" spans="1:8" ht="15">
      <c r="A215" s="536" t="s">
        <v>713</v>
      </c>
      <c r="B215" s="535"/>
      <c r="C215" s="535"/>
      <c r="D215" s="535"/>
      <c r="E215" s="535"/>
      <c r="F215" s="535"/>
      <c r="G215" s="535"/>
      <c r="H215" s="535"/>
    </row>
    <row r="216" spans="1:8" ht="15">
      <c r="A216" s="536" t="s">
        <v>714</v>
      </c>
      <c r="B216" s="535"/>
      <c r="C216" s="535"/>
      <c r="D216" s="535"/>
      <c r="E216" s="535"/>
      <c r="F216" s="535"/>
      <c r="G216" s="535"/>
      <c r="H216" s="535"/>
    </row>
    <row r="217" spans="1:8" ht="15">
      <c r="A217" s="536" t="s">
        <v>715</v>
      </c>
      <c r="B217" s="535"/>
      <c r="C217" s="535"/>
      <c r="D217" s="535"/>
      <c r="E217" s="535"/>
      <c r="F217" s="535"/>
      <c r="G217" s="535"/>
      <c r="H217" s="535"/>
    </row>
    <row r="218" spans="1:8" ht="15">
      <c r="A218" s="535"/>
      <c r="B218" s="535"/>
      <c r="C218" s="535"/>
      <c r="D218" s="535"/>
      <c r="E218" s="535"/>
      <c r="F218" s="535"/>
      <c r="G218" s="535"/>
      <c r="H218" s="535"/>
    </row>
    <row r="219" spans="1:8" ht="15">
      <c r="A219" s="536" t="s">
        <v>708</v>
      </c>
      <c r="B219" s="535"/>
      <c r="C219" s="535"/>
      <c r="D219" s="535"/>
      <c r="E219" s="535"/>
      <c r="F219" s="535"/>
      <c r="G219" s="535"/>
      <c r="H219" s="535"/>
    </row>
    <row r="220" spans="1:8" ht="15">
      <c r="A220" s="536" t="s">
        <v>709</v>
      </c>
      <c r="B220" s="535"/>
      <c r="C220" s="535"/>
      <c r="D220" s="535"/>
      <c r="E220" s="535"/>
      <c r="F220" s="535"/>
      <c r="G220" s="535"/>
      <c r="H220" s="535"/>
    </row>
    <row r="221" spans="1:8" ht="15">
      <c r="A221" s="536" t="s">
        <v>710</v>
      </c>
      <c r="B221" s="535"/>
      <c r="C221" s="535"/>
      <c r="D221" s="535"/>
      <c r="E221" s="535"/>
      <c r="F221" s="535"/>
      <c r="G221" s="535"/>
      <c r="H221" s="535"/>
    </row>
    <row r="222" spans="1:8" ht="15.75">
      <c r="A222" s="537" t="s">
        <v>551</v>
      </c>
      <c r="B222" s="535"/>
      <c r="C222" s="535"/>
      <c r="D222" s="535"/>
      <c r="E222" s="535"/>
      <c r="F222" s="535"/>
      <c r="G222" s="535"/>
      <c r="H222" s="535"/>
    </row>
    <row r="223" spans="1:8" ht="15">
      <c r="A223" s="535"/>
      <c r="B223" s="535"/>
      <c r="C223" s="535"/>
      <c r="D223" s="535"/>
      <c r="E223" s="535"/>
      <c r="F223" s="535"/>
      <c r="G223" s="535"/>
      <c r="H223" s="535"/>
    </row>
    <row r="224" spans="1:8" ht="15">
      <c r="A224" s="536" t="s">
        <v>706</v>
      </c>
      <c r="B224" s="535"/>
      <c r="C224" s="535"/>
      <c r="D224" s="535"/>
      <c r="E224" s="535"/>
      <c r="F224" s="535"/>
      <c r="G224" s="535"/>
      <c r="H224" s="535"/>
    </row>
    <row r="225" spans="1:8" ht="15">
      <c r="A225" s="536" t="s">
        <v>707</v>
      </c>
      <c r="B225" s="535"/>
      <c r="C225" s="535"/>
      <c r="D225" s="535"/>
      <c r="E225" s="535"/>
      <c r="F225" s="535"/>
      <c r="G225" s="535"/>
      <c r="H225" s="535"/>
    </row>
    <row r="226" spans="1:8" ht="15">
      <c r="A226" s="535"/>
      <c r="B226" s="535"/>
      <c r="C226" s="535"/>
      <c r="D226" s="535"/>
      <c r="E226" s="535"/>
      <c r="F226" s="535"/>
      <c r="G226" s="535"/>
      <c r="H226" s="535"/>
    </row>
    <row r="227" spans="1:8" ht="15">
      <c r="A227" s="536" t="s">
        <v>699</v>
      </c>
      <c r="B227" s="535"/>
      <c r="C227" s="535"/>
      <c r="D227" s="535"/>
      <c r="E227" s="535"/>
      <c r="F227" s="535"/>
      <c r="G227" s="535"/>
      <c r="H227" s="535"/>
    </row>
    <row r="228" spans="1:8" ht="15">
      <c r="A228" s="536" t="s">
        <v>700</v>
      </c>
      <c r="B228" s="535"/>
      <c r="C228" s="535"/>
      <c r="D228" s="535"/>
      <c r="E228" s="535"/>
      <c r="F228" s="535"/>
      <c r="G228" s="535"/>
      <c r="H228" s="535"/>
    </row>
    <row r="229" spans="1:8" ht="15">
      <c r="A229" s="536" t="s">
        <v>701</v>
      </c>
      <c r="B229" s="535"/>
      <c r="C229" s="535"/>
      <c r="D229" s="535"/>
      <c r="E229" s="535"/>
      <c r="F229" s="535"/>
      <c r="G229" s="535"/>
      <c r="H229" s="535"/>
    </row>
    <row r="230" spans="1:8" ht="15">
      <c r="A230" s="536" t="s">
        <v>702</v>
      </c>
      <c r="B230" s="535"/>
      <c r="C230" s="535"/>
      <c r="D230" s="535"/>
      <c r="E230" s="535"/>
      <c r="F230" s="535"/>
      <c r="G230" s="535"/>
      <c r="H230" s="535"/>
    </row>
    <row r="231" spans="1:8" ht="15">
      <c r="A231" s="536" t="s">
        <v>703</v>
      </c>
      <c r="B231" s="535"/>
      <c r="C231" s="535"/>
      <c r="D231" s="535"/>
      <c r="E231" s="535"/>
      <c r="F231" s="535"/>
      <c r="G231" s="535"/>
      <c r="H231" s="535"/>
    </row>
    <row r="232" spans="1:8" ht="15">
      <c r="A232" s="536" t="s">
        <v>704</v>
      </c>
      <c r="B232" s="535"/>
      <c r="C232" s="535"/>
      <c r="D232" s="535"/>
      <c r="E232" s="535"/>
      <c r="F232" s="535"/>
      <c r="G232" s="535"/>
      <c r="H232" s="535"/>
    </row>
    <row r="233" spans="1:8" ht="15">
      <c r="A233" s="536" t="s">
        <v>705</v>
      </c>
      <c r="B233" s="535"/>
      <c r="C233" s="535"/>
      <c r="D233" s="535"/>
      <c r="E233" s="535"/>
      <c r="F233" s="535"/>
      <c r="G233" s="535"/>
      <c r="H233" s="535"/>
    </row>
    <row r="234" spans="1:8" ht="15">
      <c r="A234" s="535"/>
      <c r="B234" s="535"/>
      <c r="C234" s="535"/>
      <c r="D234" s="535"/>
      <c r="E234" s="535"/>
      <c r="F234" s="535"/>
      <c r="G234" s="535"/>
      <c r="H234" s="535"/>
    </row>
    <row r="235" spans="1:8" ht="15">
      <c r="A235" s="536" t="s">
        <v>696</v>
      </c>
      <c r="B235" s="535"/>
      <c r="C235" s="535"/>
      <c r="D235" s="535"/>
      <c r="E235" s="535"/>
      <c r="F235" s="535"/>
      <c r="G235" s="535"/>
      <c r="H235" s="535"/>
    </row>
    <row r="236" spans="1:8" ht="15">
      <c r="A236" s="536" t="s">
        <v>697</v>
      </c>
      <c r="B236" s="535"/>
      <c r="C236" s="535"/>
      <c r="D236" s="535"/>
      <c r="E236" s="535"/>
      <c r="F236" s="535"/>
      <c r="G236" s="535"/>
      <c r="H236" s="535"/>
    </row>
    <row r="237" spans="1:8" ht="15">
      <c r="A237" s="536" t="s">
        <v>698</v>
      </c>
      <c r="B237" s="535"/>
      <c r="C237" s="535"/>
      <c r="D237" s="535"/>
      <c r="E237" s="535"/>
      <c r="F237" s="535"/>
      <c r="G237" s="535"/>
      <c r="H237" s="535"/>
    </row>
    <row r="238" spans="1:8" ht="15">
      <c r="A238" s="535"/>
      <c r="B238" s="535"/>
      <c r="C238" s="535"/>
      <c r="D238" s="535"/>
      <c r="E238" s="535"/>
      <c r="F238" s="535"/>
      <c r="G238" s="535"/>
      <c r="H238" s="535"/>
    </row>
    <row r="239" spans="1:8" ht="15">
      <c r="A239" s="536" t="s">
        <v>691</v>
      </c>
      <c r="B239" s="535"/>
      <c r="C239" s="535"/>
      <c r="D239" s="535"/>
      <c r="E239" s="535"/>
      <c r="F239" s="535"/>
      <c r="G239" s="535"/>
      <c r="H239" s="535"/>
    </row>
    <row r="240" spans="1:8" ht="15">
      <c r="A240" s="536" t="s">
        <v>692</v>
      </c>
      <c r="B240" s="535"/>
      <c r="C240" s="535"/>
      <c r="D240" s="535"/>
      <c r="E240" s="535"/>
      <c r="F240" s="535"/>
      <c r="G240" s="535"/>
      <c r="H240" s="535"/>
    </row>
    <row r="241" spans="1:8" ht="15">
      <c r="A241" s="536" t="s">
        <v>693</v>
      </c>
      <c r="B241" s="535"/>
      <c r="C241" s="535"/>
      <c r="D241" s="535"/>
      <c r="E241" s="535"/>
      <c r="F241" s="535"/>
      <c r="G241" s="535"/>
      <c r="H241" s="535"/>
    </row>
    <row r="242" spans="1:8" ht="15">
      <c r="A242" s="536" t="s">
        <v>694</v>
      </c>
      <c r="B242" s="535"/>
      <c r="C242" s="535"/>
      <c r="D242" s="535"/>
      <c r="E242" s="535"/>
      <c r="F242" s="535"/>
      <c r="G242" s="535"/>
      <c r="H242" s="535"/>
    </row>
    <row r="243" spans="1:8" ht="15">
      <c r="A243" s="536" t="s">
        <v>695</v>
      </c>
      <c r="B243" s="535"/>
      <c r="C243" s="535"/>
      <c r="D243" s="535"/>
      <c r="E243" s="535"/>
      <c r="F243" s="535"/>
      <c r="G243" s="535"/>
      <c r="H243" s="535"/>
    </row>
    <row r="244" spans="1:8" ht="15">
      <c r="A244" s="535"/>
      <c r="B244" s="535"/>
      <c r="C244" s="535"/>
      <c r="D244" s="535"/>
      <c r="E244" s="535"/>
      <c r="F244" s="535"/>
      <c r="G244" s="535"/>
      <c r="H244" s="535"/>
    </row>
    <row r="245" spans="1:8" ht="15">
      <c r="A245" s="536" t="s">
        <v>685</v>
      </c>
      <c r="B245" s="535"/>
      <c r="C245" s="535"/>
      <c r="D245" s="535"/>
      <c r="E245" s="535"/>
      <c r="F245" s="535"/>
      <c r="G245" s="535"/>
      <c r="H245" s="535"/>
    </row>
    <row r="246" spans="1:8" ht="15">
      <c r="A246" s="536" t="s">
        <v>686</v>
      </c>
      <c r="B246" s="535"/>
      <c r="C246" s="535"/>
      <c r="D246" s="535"/>
      <c r="E246" s="535"/>
      <c r="F246" s="535"/>
      <c r="G246" s="535"/>
      <c r="H246" s="535"/>
    </row>
    <row r="247" spans="1:8" ht="15">
      <c r="A247" s="536" t="s">
        <v>687</v>
      </c>
      <c r="B247" s="535"/>
      <c r="C247" s="535"/>
      <c r="D247" s="535"/>
      <c r="E247" s="535"/>
      <c r="F247" s="535"/>
      <c r="G247" s="535"/>
      <c r="H247" s="535"/>
    </row>
    <row r="248" spans="1:8" ht="15">
      <c r="A248" s="536" t="s">
        <v>688</v>
      </c>
      <c r="B248" s="535"/>
      <c r="C248" s="535"/>
      <c r="D248" s="535"/>
      <c r="E248" s="535"/>
      <c r="F248" s="535"/>
      <c r="G248" s="535"/>
      <c r="H248" s="535"/>
    </row>
    <row r="249" spans="1:8" ht="15">
      <c r="A249" s="536" t="s">
        <v>689</v>
      </c>
      <c r="B249" s="535"/>
      <c r="C249" s="535"/>
      <c r="D249" s="535"/>
      <c r="E249" s="535"/>
      <c r="F249" s="535"/>
      <c r="G249" s="535"/>
      <c r="H249" s="535"/>
    </row>
    <row r="250" spans="1:8" ht="15">
      <c r="A250" s="536" t="s">
        <v>690</v>
      </c>
      <c r="B250" s="535"/>
      <c r="C250" s="535"/>
      <c r="D250" s="535"/>
      <c r="E250" s="535"/>
      <c r="F250" s="535"/>
      <c r="G250" s="535"/>
      <c r="H250" s="535"/>
    </row>
    <row r="251" spans="1:8" ht="15">
      <c r="A251" s="535"/>
      <c r="B251" s="535"/>
      <c r="C251" s="535"/>
      <c r="D251" s="535"/>
      <c r="E251" s="535"/>
      <c r="F251" s="535"/>
      <c r="G251" s="535"/>
      <c r="H251" s="535"/>
    </row>
    <row r="252" spans="1:8" ht="15">
      <c r="A252" s="536" t="s">
        <v>675</v>
      </c>
      <c r="B252" s="535"/>
      <c r="C252" s="535"/>
      <c r="D252" s="535"/>
      <c r="E252" s="535"/>
      <c r="F252" s="535"/>
      <c r="G252" s="535"/>
      <c r="H252" s="535"/>
    </row>
    <row r="253" spans="1:8" ht="15">
      <c r="A253" s="536" t="s">
        <v>676</v>
      </c>
      <c r="B253" s="535"/>
      <c r="C253" s="535"/>
      <c r="D253" s="535"/>
      <c r="E253" s="535"/>
      <c r="F253" s="535"/>
      <c r="G253" s="535"/>
      <c r="H253" s="535"/>
    </row>
    <row r="254" spans="1:8" ht="15">
      <c r="A254" s="536" t="s">
        <v>677</v>
      </c>
      <c r="B254" s="535"/>
      <c r="C254" s="535"/>
      <c r="D254" s="535"/>
      <c r="E254" s="535"/>
      <c r="F254" s="535"/>
      <c r="G254" s="535"/>
      <c r="H254" s="535"/>
    </row>
    <row r="255" spans="1:8" ht="15">
      <c r="A255" s="536" t="s">
        <v>678</v>
      </c>
      <c r="B255" s="535"/>
      <c r="C255" s="535"/>
      <c r="D255" s="535"/>
      <c r="E255" s="535"/>
      <c r="F255" s="535"/>
      <c r="G255" s="535"/>
      <c r="H255" s="535"/>
    </row>
    <row r="256" spans="1:8" ht="15">
      <c r="A256" s="536" t="s">
        <v>679</v>
      </c>
      <c r="B256" s="535"/>
      <c r="C256" s="535"/>
      <c r="D256" s="535"/>
      <c r="E256" s="535"/>
      <c r="F256" s="535"/>
      <c r="G256" s="535"/>
      <c r="H256" s="535"/>
    </row>
    <row r="257" spans="1:8" ht="15">
      <c r="A257" s="536" t="s">
        <v>680</v>
      </c>
      <c r="B257" s="535"/>
      <c r="C257" s="535"/>
      <c r="D257" s="535"/>
      <c r="E257" s="535"/>
      <c r="F257" s="535"/>
      <c r="G257" s="535"/>
      <c r="H257" s="535"/>
    </row>
    <row r="258" spans="1:8" ht="15">
      <c r="A258" s="536" t="s">
        <v>681</v>
      </c>
      <c r="B258" s="535"/>
      <c r="C258" s="535"/>
      <c r="D258" s="535"/>
      <c r="E258" s="535"/>
      <c r="F258" s="535"/>
      <c r="G258" s="535"/>
      <c r="H258" s="535"/>
    </row>
    <row r="259" spans="1:8" ht="15">
      <c r="A259" s="536" t="s">
        <v>682</v>
      </c>
      <c r="B259" s="535"/>
      <c r="C259" s="535"/>
      <c r="D259" s="535"/>
      <c r="E259" s="535"/>
      <c r="F259" s="535"/>
      <c r="G259" s="535"/>
      <c r="H259" s="535"/>
    </row>
    <row r="260" spans="1:8" ht="15">
      <c r="A260" s="536" t="s">
        <v>683</v>
      </c>
      <c r="B260" s="535"/>
      <c r="C260" s="535"/>
      <c r="D260" s="535"/>
      <c r="E260" s="535"/>
      <c r="F260" s="535"/>
      <c r="G260" s="535"/>
      <c r="H260" s="535"/>
    </row>
    <row r="261" spans="1:8" ht="15">
      <c r="A261" s="536" t="s">
        <v>684</v>
      </c>
      <c r="B261" s="535"/>
      <c r="C261" s="535"/>
      <c r="D261" s="535"/>
      <c r="E261" s="535"/>
      <c r="F261" s="535"/>
      <c r="G261" s="535"/>
      <c r="H261" s="535"/>
    </row>
    <row r="262" spans="1:8" ht="15">
      <c r="A262" s="535"/>
      <c r="B262" s="535"/>
      <c r="C262" s="535"/>
      <c r="D262" s="535"/>
      <c r="E262" s="535"/>
      <c r="F262" s="535"/>
      <c r="G262" s="535"/>
      <c r="H262" s="535"/>
    </row>
    <row r="263" spans="1:8" ht="15">
      <c r="A263" s="536" t="s">
        <v>673</v>
      </c>
      <c r="B263" s="535"/>
      <c r="C263" s="535"/>
      <c r="D263" s="535"/>
      <c r="E263" s="535"/>
      <c r="F263" s="535"/>
      <c r="G263" s="535"/>
      <c r="H263" s="535"/>
    </row>
    <row r="264" spans="1:8" ht="15">
      <c r="A264" s="536" t="s">
        <v>674</v>
      </c>
      <c r="B264" s="535"/>
      <c r="C264" s="535"/>
      <c r="D264" s="535"/>
      <c r="E264" s="535"/>
      <c r="F264" s="535"/>
      <c r="G264" s="535"/>
      <c r="H264" s="535"/>
    </row>
    <row r="265" spans="1:8" ht="15">
      <c r="A265" s="535"/>
      <c r="B265" s="535"/>
      <c r="C265" s="535"/>
      <c r="D265" s="535"/>
      <c r="E265" s="535"/>
      <c r="F265" s="535"/>
      <c r="G265" s="535"/>
      <c r="H265" s="535"/>
    </row>
    <row r="266" spans="1:8" ht="15">
      <c r="A266" s="536" t="s">
        <v>657</v>
      </c>
      <c r="B266" s="535"/>
      <c r="C266" s="535"/>
      <c r="D266" s="535"/>
      <c r="E266" s="535"/>
      <c r="F266" s="535"/>
      <c r="G266" s="535"/>
      <c r="H266" s="535"/>
    </row>
    <row r="267" spans="1:8" ht="15">
      <c r="A267" s="536" t="s">
        <v>658</v>
      </c>
      <c r="B267" s="535"/>
      <c r="C267" s="535"/>
      <c r="D267" s="535"/>
      <c r="E267" s="535"/>
      <c r="F267" s="535"/>
      <c r="G267" s="535"/>
      <c r="H267" s="535"/>
    </row>
    <row r="268" spans="1:8" ht="15">
      <c r="A268" s="536" t="s">
        <v>659</v>
      </c>
      <c r="B268" s="535"/>
      <c r="C268" s="535"/>
      <c r="D268" s="535"/>
      <c r="E268" s="535"/>
      <c r="F268" s="535"/>
      <c r="G268" s="535"/>
      <c r="H268" s="535"/>
    </row>
    <row r="269" spans="1:8" ht="15">
      <c r="A269" s="536" t="s">
        <v>660</v>
      </c>
      <c r="B269" s="535"/>
      <c r="C269" s="535"/>
      <c r="D269" s="535"/>
      <c r="E269" s="535"/>
      <c r="F269" s="535"/>
      <c r="G269" s="535"/>
      <c r="H269" s="535"/>
    </row>
    <row r="270" spans="1:8" ht="15">
      <c r="A270" s="536" t="s">
        <v>661</v>
      </c>
      <c r="B270" s="535"/>
      <c r="C270" s="535"/>
      <c r="D270" s="535"/>
      <c r="E270" s="535"/>
      <c r="F270" s="535"/>
      <c r="G270" s="535"/>
      <c r="H270" s="535"/>
    </row>
    <row r="271" spans="1:8" ht="15">
      <c r="A271" s="536" t="s">
        <v>662</v>
      </c>
      <c r="B271" s="535"/>
      <c r="C271" s="535"/>
      <c r="D271" s="535"/>
      <c r="E271" s="535"/>
      <c r="F271" s="535"/>
      <c r="G271" s="535"/>
      <c r="H271" s="535"/>
    </row>
    <row r="272" spans="1:8" ht="15">
      <c r="A272" s="536" t="s">
        <v>663</v>
      </c>
      <c r="B272" s="535"/>
      <c r="C272" s="535"/>
      <c r="D272" s="535"/>
      <c r="E272" s="535"/>
      <c r="F272" s="535"/>
      <c r="G272" s="535"/>
      <c r="H272" s="535"/>
    </row>
    <row r="273" spans="1:8" ht="15">
      <c r="A273" s="536" t="s">
        <v>664</v>
      </c>
      <c r="B273" s="535"/>
      <c r="C273" s="535"/>
      <c r="D273" s="535"/>
      <c r="E273" s="535"/>
      <c r="F273" s="535"/>
      <c r="G273" s="535"/>
      <c r="H273" s="535"/>
    </row>
    <row r="274" spans="1:8" ht="15">
      <c r="A274" s="536" t="s">
        <v>665</v>
      </c>
      <c r="B274" s="535"/>
      <c r="C274" s="535"/>
      <c r="D274" s="535"/>
      <c r="E274" s="535"/>
      <c r="F274" s="535"/>
      <c r="G274" s="535"/>
      <c r="H274" s="535"/>
    </row>
    <row r="275" spans="1:8" ht="15">
      <c r="A275" s="536" t="s">
        <v>666</v>
      </c>
      <c r="B275" s="535"/>
      <c r="C275" s="535"/>
      <c r="D275" s="535"/>
      <c r="E275" s="535"/>
      <c r="F275" s="535"/>
      <c r="G275" s="535"/>
      <c r="H275" s="535"/>
    </row>
    <row r="276" spans="1:8" ht="15">
      <c r="A276" s="536" t="s">
        <v>667</v>
      </c>
      <c r="B276" s="535"/>
      <c r="C276" s="535"/>
      <c r="D276" s="535"/>
      <c r="E276" s="535"/>
      <c r="F276" s="535"/>
      <c r="G276" s="535"/>
      <c r="H276" s="535"/>
    </row>
    <row r="277" spans="1:8" ht="15">
      <c r="A277" s="536" t="s">
        <v>668</v>
      </c>
      <c r="B277" s="535"/>
      <c r="C277" s="535"/>
      <c r="D277" s="535"/>
      <c r="E277" s="535"/>
      <c r="F277" s="535"/>
      <c r="G277" s="535"/>
      <c r="H277" s="535"/>
    </row>
    <row r="278" spans="1:8" ht="15">
      <c r="A278" s="536" t="s">
        <v>669</v>
      </c>
      <c r="B278" s="535"/>
      <c r="C278" s="535"/>
      <c r="D278" s="535"/>
      <c r="E278" s="535"/>
      <c r="F278" s="535"/>
      <c r="G278" s="535"/>
      <c r="H278" s="535"/>
    </row>
    <row r="279" spans="1:8" ht="15">
      <c r="A279" s="536" t="s">
        <v>670</v>
      </c>
      <c r="B279" s="535"/>
      <c r="C279" s="535"/>
      <c r="D279" s="535"/>
      <c r="E279" s="535"/>
      <c r="F279" s="535"/>
      <c r="G279" s="535"/>
      <c r="H279" s="535"/>
    </row>
    <row r="280" spans="1:8" ht="15">
      <c r="A280" s="536" t="s">
        <v>671</v>
      </c>
      <c r="B280" s="535"/>
      <c r="C280" s="535"/>
      <c r="D280" s="535"/>
      <c r="E280" s="535"/>
      <c r="F280" s="535"/>
      <c r="G280" s="535"/>
      <c r="H280" s="535"/>
    </row>
    <row r="281" spans="1:8" ht="15">
      <c r="A281" s="536" t="s">
        <v>672</v>
      </c>
      <c r="B281" s="535"/>
      <c r="C281" s="535"/>
      <c r="D281" s="535"/>
      <c r="E281" s="535"/>
      <c r="F281" s="535"/>
      <c r="G281" s="535"/>
      <c r="H281" s="535"/>
    </row>
    <row r="282" spans="1:8" ht="15">
      <c r="A282" s="535"/>
      <c r="B282" s="535"/>
      <c r="C282" s="535"/>
      <c r="D282" s="535"/>
      <c r="E282" s="535"/>
      <c r="F282" s="535"/>
      <c r="G282" s="535"/>
      <c r="H282" s="535"/>
    </row>
    <row r="283" spans="1:8" ht="15">
      <c r="A283" s="536" t="s">
        <v>650</v>
      </c>
      <c r="B283" s="535"/>
      <c r="C283" s="535"/>
      <c r="D283" s="535"/>
      <c r="E283" s="535"/>
      <c r="F283" s="535"/>
      <c r="G283" s="535"/>
      <c r="H283" s="535"/>
    </row>
    <row r="284" spans="1:8" ht="15">
      <c r="A284" s="536" t="s">
        <v>651</v>
      </c>
      <c r="B284" s="535"/>
      <c r="C284" s="535"/>
      <c r="D284" s="535"/>
      <c r="E284" s="535"/>
      <c r="F284" s="535"/>
      <c r="G284" s="535"/>
      <c r="H284" s="535"/>
    </row>
    <row r="285" spans="1:8" ht="15">
      <c r="A285" s="536" t="s">
        <v>652</v>
      </c>
      <c r="B285" s="535"/>
      <c r="C285" s="535"/>
      <c r="D285" s="535"/>
      <c r="E285" s="535"/>
      <c r="F285" s="535"/>
      <c r="G285" s="535"/>
      <c r="H285" s="535"/>
    </row>
    <row r="286" spans="1:8" ht="15">
      <c r="A286" s="536" t="s">
        <v>653</v>
      </c>
      <c r="B286" s="535"/>
      <c r="C286" s="535"/>
      <c r="D286" s="535"/>
      <c r="E286" s="535"/>
      <c r="F286" s="535"/>
      <c r="G286" s="535"/>
      <c r="H286" s="535"/>
    </row>
    <row r="287" spans="1:8" ht="15">
      <c r="A287" s="536" t="s">
        <v>654</v>
      </c>
      <c r="B287" s="535"/>
      <c r="C287" s="535"/>
      <c r="D287" s="535"/>
      <c r="E287" s="535"/>
      <c r="F287" s="535"/>
      <c r="G287" s="535"/>
      <c r="H287" s="535"/>
    </row>
    <row r="288" spans="1:8" ht="15">
      <c r="A288" s="536" t="s">
        <v>655</v>
      </c>
      <c r="B288" s="535"/>
      <c r="C288" s="535"/>
      <c r="D288" s="535"/>
      <c r="E288" s="535"/>
      <c r="F288" s="535"/>
      <c r="G288" s="535"/>
      <c r="H288" s="535"/>
    </row>
    <row r="289" spans="1:8" ht="15">
      <c r="A289" s="536" t="s">
        <v>656</v>
      </c>
      <c r="B289" s="535"/>
      <c r="C289" s="535"/>
      <c r="D289" s="535"/>
      <c r="E289" s="535"/>
      <c r="F289" s="535"/>
      <c r="G289" s="535"/>
      <c r="H289" s="535"/>
    </row>
    <row r="290" spans="1:8" ht="15">
      <c r="A290" s="535"/>
      <c r="B290" s="535"/>
      <c r="C290" s="535"/>
      <c r="D290" s="535"/>
      <c r="E290" s="535"/>
      <c r="F290" s="535"/>
      <c r="G290" s="535"/>
      <c r="H290" s="535"/>
    </row>
    <row r="291" spans="1:8" ht="15">
      <c r="A291" s="536" t="s">
        <v>641</v>
      </c>
      <c r="B291" s="535"/>
      <c r="C291" s="535"/>
      <c r="D291" s="535"/>
      <c r="E291" s="535"/>
      <c r="F291" s="535"/>
      <c r="G291" s="535"/>
      <c r="H291" s="535"/>
    </row>
    <row r="292" spans="1:8" ht="15">
      <c r="A292" s="536" t="s">
        <v>642</v>
      </c>
      <c r="B292" s="535"/>
      <c r="C292" s="535"/>
      <c r="D292" s="535"/>
      <c r="E292" s="535"/>
      <c r="F292" s="535"/>
      <c r="G292" s="535"/>
      <c r="H292" s="535"/>
    </row>
    <row r="293" spans="1:8" ht="15">
      <c r="A293" s="536" t="s">
        <v>643</v>
      </c>
      <c r="B293" s="535"/>
      <c r="C293" s="535"/>
      <c r="D293" s="535"/>
      <c r="E293" s="535"/>
      <c r="F293" s="535"/>
      <c r="G293" s="535"/>
      <c r="H293" s="535"/>
    </row>
    <row r="294" spans="1:8" ht="15">
      <c r="A294" s="536" t="s">
        <v>644</v>
      </c>
      <c r="B294" s="535"/>
      <c r="C294" s="535"/>
      <c r="D294" s="535"/>
      <c r="E294" s="535"/>
      <c r="F294" s="535"/>
      <c r="G294" s="535"/>
      <c r="H294" s="535"/>
    </row>
    <row r="295" spans="1:8" ht="15">
      <c r="A295" s="536" t="s">
        <v>645</v>
      </c>
      <c r="B295" s="535"/>
      <c r="C295" s="535"/>
      <c r="D295" s="535"/>
      <c r="E295" s="535"/>
      <c r="F295" s="535"/>
      <c r="G295" s="535"/>
      <c r="H295" s="535"/>
    </row>
    <row r="296" spans="1:8" ht="15">
      <c r="A296" s="536" t="s">
        <v>646</v>
      </c>
      <c r="B296" s="535"/>
      <c r="C296" s="535"/>
      <c r="D296" s="535"/>
      <c r="E296" s="535"/>
      <c r="F296" s="535"/>
      <c r="G296" s="535"/>
      <c r="H296" s="535"/>
    </row>
    <row r="297" spans="1:8" ht="15">
      <c r="A297" s="536" t="s">
        <v>647</v>
      </c>
      <c r="B297" s="535"/>
      <c r="C297" s="535"/>
      <c r="D297" s="535"/>
      <c r="E297" s="535"/>
      <c r="F297" s="535"/>
      <c r="G297" s="535"/>
      <c r="H297" s="535"/>
    </row>
    <row r="298" spans="1:8" ht="15">
      <c r="A298" s="536" t="s">
        <v>648</v>
      </c>
      <c r="B298" s="535"/>
      <c r="C298" s="535"/>
      <c r="D298" s="535"/>
      <c r="E298" s="535"/>
      <c r="F298" s="535"/>
      <c r="G298" s="535"/>
      <c r="H298" s="535"/>
    </row>
    <row r="299" spans="1:8" ht="15">
      <c r="A299" s="536" t="s">
        <v>649</v>
      </c>
      <c r="B299" s="535"/>
      <c r="C299" s="535"/>
      <c r="D299" s="535"/>
      <c r="E299" s="535"/>
      <c r="F299" s="535"/>
      <c r="G299" s="535"/>
      <c r="H299" s="535"/>
    </row>
    <row r="300" spans="1:8" ht="15">
      <c r="A300" s="535"/>
      <c r="B300" s="535"/>
      <c r="C300" s="535"/>
      <c r="D300" s="535"/>
      <c r="E300" s="535"/>
      <c r="F300" s="535"/>
      <c r="G300" s="535"/>
      <c r="H300" s="535"/>
    </row>
    <row r="301" spans="1:8" ht="15">
      <c r="A301" s="536" t="s">
        <v>634</v>
      </c>
      <c r="B301" s="535"/>
      <c r="C301" s="535"/>
      <c r="D301" s="535"/>
      <c r="E301" s="535"/>
      <c r="F301" s="535"/>
      <c r="G301" s="535"/>
      <c r="H301" s="535"/>
    </row>
    <row r="302" spans="1:8" ht="15">
      <c r="A302" s="536" t="s">
        <v>635</v>
      </c>
      <c r="B302" s="535"/>
      <c r="C302" s="535"/>
      <c r="D302" s="535"/>
      <c r="E302" s="535"/>
      <c r="F302" s="535"/>
      <c r="G302" s="535"/>
      <c r="H302" s="535"/>
    </row>
    <row r="303" spans="1:8" ht="15">
      <c r="A303" s="536" t="s">
        <v>636</v>
      </c>
      <c r="B303" s="535"/>
      <c r="C303" s="535"/>
      <c r="D303" s="535"/>
      <c r="E303" s="535"/>
      <c r="F303" s="535"/>
      <c r="G303" s="535"/>
      <c r="H303" s="535"/>
    </row>
    <row r="304" spans="1:8" ht="15">
      <c r="A304" s="536" t="s">
        <v>637</v>
      </c>
      <c r="B304" s="535"/>
      <c r="C304" s="535"/>
      <c r="D304" s="535"/>
      <c r="E304" s="535"/>
      <c r="F304" s="535"/>
      <c r="G304" s="535"/>
      <c r="H304" s="535"/>
    </row>
    <row r="305" spans="1:8" ht="15">
      <c r="A305" s="536" t="s">
        <v>638</v>
      </c>
      <c r="B305" s="535"/>
      <c r="C305" s="535"/>
      <c r="D305" s="535"/>
      <c r="E305" s="535"/>
      <c r="F305" s="535"/>
      <c r="G305" s="535"/>
      <c r="H305" s="535"/>
    </row>
    <row r="306" spans="1:8" ht="15">
      <c r="A306" s="536" t="s">
        <v>639</v>
      </c>
      <c r="B306" s="535"/>
      <c r="C306" s="535"/>
      <c r="D306" s="535"/>
      <c r="E306" s="535"/>
      <c r="F306" s="535"/>
      <c r="G306" s="535"/>
      <c r="H306" s="535"/>
    </row>
    <row r="307" spans="1:8" ht="15">
      <c r="A307" s="536" t="s">
        <v>640</v>
      </c>
      <c r="B307" s="535"/>
      <c r="C307" s="535"/>
      <c r="D307" s="535"/>
      <c r="E307" s="535"/>
      <c r="F307" s="535"/>
      <c r="G307" s="535"/>
      <c r="H307" s="535"/>
    </row>
    <row r="308" spans="1:8" ht="15">
      <c r="A308" s="535"/>
      <c r="B308" s="535"/>
      <c r="C308" s="535"/>
      <c r="D308" s="535"/>
      <c r="E308" s="535"/>
      <c r="F308" s="535"/>
      <c r="G308" s="535"/>
      <c r="H308" s="535"/>
    </row>
    <row r="309" spans="1:8" ht="15">
      <c r="A309" s="536" t="s">
        <v>631</v>
      </c>
      <c r="B309" s="535"/>
      <c r="C309" s="535"/>
      <c r="D309" s="535"/>
      <c r="E309" s="535"/>
      <c r="F309" s="535"/>
      <c r="G309" s="535"/>
      <c r="H309" s="535"/>
    </row>
    <row r="310" spans="1:8" ht="15">
      <c r="A310" s="536" t="s">
        <v>632</v>
      </c>
      <c r="B310" s="535"/>
      <c r="C310" s="535"/>
      <c r="D310" s="535"/>
      <c r="E310" s="535"/>
      <c r="F310" s="535"/>
      <c r="G310" s="535"/>
      <c r="H310" s="535"/>
    </row>
    <row r="311" spans="1:8" ht="15">
      <c r="A311" s="536" t="s">
        <v>633</v>
      </c>
      <c r="B311" s="535"/>
      <c r="C311" s="535"/>
      <c r="D311" s="535"/>
      <c r="E311" s="535"/>
      <c r="F311" s="535"/>
      <c r="G311" s="535"/>
      <c r="H311" s="535"/>
    </row>
    <row r="312" spans="1:8" ht="15">
      <c r="A312" s="535"/>
      <c r="B312" s="535"/>
      <c r="C312" s="535"/>
      <c r="D312" s="535"/>
      <c r="E312" s="535"/>
      <c r="F312" s="535"/>
      <c r="G312" s="535"/>
      <c r="H312" s="535"/>
    </row>
    <row r="313" spans="1:8" ht="15">
      <c r="A313" s="536" t="s">
        <v>629</v>
      </c>
      <c r="B313" s="535"/>
      <c r="C313" s="535"/>
      <c r="D313" s="535"/>
      <c r="E313" s="535"/>
      <c r="F313" s="535"/>
      <c r="G313" s="535"/>
      <c r="H313" s="535"/>
    </row>
    <row r="314" spans="1:8" ht="15">
      <c r="A314" s="536" t="s">
        <v>630</v>
      </c>
      <c r="B314" s="535"/>
      <c r="C314" s="535"/>
      <c r="D314" s="535"/>
      <c r="E314" s="535"/>
      <c r="F314" s="535"/>
      <c r="G314" s="535"/>
      <c r="H314" s="535"/>
    </row>
    <row r="315" spans="1:8" ht="15">
      <c r="A315" s="535"/>
      <c r="B315" s="535"/>
      <c r="C315" s="535"/>
      <c r="D315" s="535"/>
      <c r="E315" s="535"/>
      <c r="F315" s="535"/>
      <c r="G315" s="535"/>
      <c r="H315" s="535"/>
    </row>
    <row r="316" spans="1:8" ht="15">
      <c r="A316" s="536" t="s">
        <v>616</v>
      </c>
      <c r="B316" s="535"/>
      <c r="C316" s="535"/>
      <c r="D316" s="535"/>
      <c r="E316" s="535"/>
      <c r="F316" s="535"/>
      <c r="G316" s="535"/>
      <c r="H316" s="535"/>
    </row>
    <row r="317" spans="1:8" ht="15">
      <c r="A317" s="536" t="s">
        <v>617</v>
      </c>
      <c r="B317" s="535"/>
      <c r="C317" s="535"/>
      <c r="D317" s="535"/>
      <c r="E317" s="535"/>
      <c r="F317" s="535"/>
      <c r="G317" s="535"/>
      <c r="H317" s="535"/>
    </row>
    <row r="318" spans="1:8" ht="15">
      <c r="A318" s="536" t="s">
        <v>618</v>
      </c>
      <c r="B318" s="535"/>
      <c r="C318" s="535"/>
      <c r="D318" s="535"/>
      <c r="E318" s="535"/>
      <c r="F318" s="535"/>
      <c r="G318" s="535"/>
      <c r="H318" s="535"/>
    </row>
    <row r="319" spans="1:8" ht="15">
      <c r="A319" s="536" t="s">
        <v>619</v>
      </c>
      <c r="B319" s="535"/>
      <c r="C319" s="535"/>
      <c r="D319" s="535"/>
      <c r="E319" s="535"/>
      <c r="F319" s="535"/>
      <c r="G319" s="535"/>
      <c r="H319" s="535"/>
    </row>
    <row r="320" spans="1:8" ht="15">
      <c r="A320" s="536" t="s">
        <v>620</v>
      </c>
      <c r="B320" s="535"/>
      <c r="C320" s="535"/>
      <c r="D320" s="535"/>
      <c r="E320" s="535"/>
      <c r="F320" s="535"/>
      <c r="G320" s="535"/>
      <c r="H320" s="535"/>
    </row>
    <row r="321" spans="1:8" ht="15">
      <c r="A321" s="536" t="s">
        <v>621</v>
      </c>
      <c r="B321" s="535"/>
      <c r="C321" s="535"/>
      <c r="D321" s="535"/>
      <c r="E321" s="535"/>
      <c r="F321" s="535"/>
      <c r="G321" s="535"/>
      <c r="H321" s="535"/>
    </row>
    <row r="322" spans="1:8" ht="15">
      <c r="A322" s="536" t="s">
        <v>622</v>
      </c>
      <c r="B322" s="535"/>
      <c r="C322" s="535"/>
      <c r="D322" s="535"/>
      <c r="E322" s="535"/>
      <c r="F322" s="535"/>
      <c r="G322" s="535"/>
      <c r="H322" s="535"/>
    </row>
    <row r="323" spans="1:8" ht="15">
      <c r="A323" s="536" t="s">
        <v>623</v>
      </c>
      <c r="B323" s="535"/>
      <c r="C323" s="535"/>
      <c r="D323" s="535"/>
      <c r="E323" s="535"/>
      <c r="F323" s="535"/>
      <c r="G323" s="535"/>
      <c r="H323" s="535"/>
    </row>
    <row r="324" spans="1:8" ht="15">
      <c r="A324" s="536" t="s">
        <v>624</v>
      </c>
      <c r="B324" s="535"/>
      <c r="C324" s="535"/>
      <c r="D324" s="535"/>
      <c r="E324" s="535"/>
      <c r="F324" s="535"/>
      <c r="G324" s="535"/>
      <c r="H324" s="535"/>
    </row>
    <row r="325" spans="1:8" ht="15">
      <c r="A325" s="536" t="s">
        <v>625</v>
      </c>
      <c r="B325" s="535"/>
      <c r="C325" s="535"/>
      <c r="D325" s="535"/>
      <c r="E325" s="535"/>
      <c r="F325" s="535"/>
      <c r="G325" s="535"/>
      <c r="H325" s="535"/>
    </row>
    <row r="326" spans="1:8" ht="15">
      <c r="A326" s="536" t="s">
        <v>626</v>
      </c>
      <c r="B326" s="535"/>
      <c r="C326" s="535"/>
      <c r="D326" s="535"/>
      <c r="E326" s="535"/>
      <c r="F326" s="535"/>
      <c r="G326" s="535"/>
      <c r="H326" s="535"/>
    </row>
    <row r="327" spans="1:8" ht="15">
      <c r="A327" s="536" t="s">
        <v>627</v>
      </c>
      <c r="B327" s="535"/>
      <c r="C327" s="535"/>
      <c r="D327" s="535"/>
      <c r="E327" s="535"/>
      <c r="F327" s="535"/>
      <c r="G327" s="535"/>
      <c r="H327" s="535"/>
    </row>
    <row r="328" spans="1:8" ht="15">
      <c r="A328" s="536" t="s">
        <v>628</v>
      </c>
      <c r="B328" s="535"/>
      <c r="C328" s="535"/>
      <c r="D328" s="535"/>
      <c r="E328" s="535"/>
      <c r="F328" s="535"/>
      <c r="G328" s="535"/>
      <c r="H328" s="535"/>
    </row>
    <row r="329" spans="1:8" ht="15">
      <c r="A329" s="535"/>
      <c r="B329" s="535"/>
      <c r="C329" s="535"/>
      <c r="D329" s="535"/>
      <c r="E329" s="535"/>
      <c r="F329" s="535"/>
      <c r="G329" s="535"/>
      <c r="H329" s="535"/>
    </row>
    <row r="330" spans="1:8" ht="15">
      <c r="A330" s="536" t="s">
        <v>608</v>
      </c>
      <c r="B330" s="535"/>
      <c r="C330" s="535"/>
      <c r="D330" s="535"/>
      <c r="E330" s="535"/>
      <c r="F330" s="535"/>
      <c r="G330" s="535"/>
      <c r="H330" s="535"/>
    </row>
    <row r="331" spans="1:8" ht="15">
      <c r="A331" s="536" t="s">
        <v>609</v>
      </c>
      <c r="B331" s="535"/>
      <c r="C331" s="535"/>
      <c r="D331" s="535"/>
      <c r="E331" s="535"/>
      <c r="F331" s="535"/>
      <c r="G331" s="535"/>
      <c r="H331" s="535"/>
    </row>
    <row r="332" spans="1:8" ht="15">
      <c r="A332" s="536" t="s">
        <v>610</v>
      </c>
      <c r="B332" s="535"/>
      <c r="C332" s="535"/>
      <c r="D332" s="535"/>
      <c r="E332" s="535"/>
      <c r="F332" s="535"/>
      <c r="G332" s="535"/>
      <c r="H332" s="535"/>
    </row>
    <row r="333" spans="1:8" ht="15">
      <c r="A333" s="536" t="s">
        <v>611</v>
      </c>
      <c r="B333" s="535"/>
      <c r="C333" s="535"/>
      <c r="D333" s="535"/>
      <c r="E333" s="535"/>
      <c r="F333" s="535"/>
      <c r="G333" s="535"/>
      <c r="H333" s="535"/>
    </row>
    <row r="334" spans="1:8" ht="15">
      <c r="A334" s="536" t="s">
        <v>612</v>
      </c>
      <c r="B334" s="535"/>
      <c r="C334" s="535"/>
      <c r="D334" s="535"/>
      <c r="E334" s="535"/>
      <c r="F334" s="535"/>
      <c r="G334" s="535"/>
      <c r="H334" s="535"/>
    </row>
    <row r="335" spans="1:8" ht="15">
      <c r="A335" s="536" t="s">
        <v>613</v>
      </c>
      <c r="B335" s="535"/>
      <c r="C335" s="535"/>
      <c r="D335" s="535"/>
      <c r="E335" s="535"/>
      <c r="F335" s="535"/>
      <c r="G335" s="535"/>
      <c r="H335" s="535"/>
    </row>
    <row r="336" spans="1:8" ht="15">
      <c r="A336" s="536" t="s">
        <v>614</v>
      </c>
      <c r="B336" s="535"/>
      <c r="C336" s="535"/>
      <c r="D336" s="535"/>
      <c r="E336" s="535"/>
      <c r="F336" s="535"/>
      <c r="G336" s="535"/>
      <c r="H336" s="535"/>
    </row>
    <row r="337" spans="1:8" ht="15">
      <c r="A337" s="536" t="s">
        <v>615</v>
      </c>
      <c r="B337" s="535"/>
      <c r="C337" s="535"/>
      <c r="D337" s="535"/>
      <c r="E337" s="535"/>
      <c r="F337" s="535"/>
      <c r="G337" s="535"/>
      <c r="H337" s="535"/>
    </row>
    <row r="338" spans="1:8" ht="15">
      <c r="A338" s="535"/>
      <c r="B338" s="535"/>
      <c r="C338" s="535"/>
      <c r="D338" s="535"/>
      <c r="E338" s="535"/>
      <c r="F338" s="535"/>
      <c r="G338" s="535"/>
      <c r="H338" s="535"/>
    </row>
    <row r="339" spans="1:8" ht="15">
      <c r="A339" s="536" t="s">
        <v>573</v>
      </c>
      <c r="B339" s="535"/>
      <c r="C339" s="535"/>
      <c r="D339" s="535"/>
      <c r="E339" s="535"/>
      <c r="F339" s="535"/>
      <c r="G339" s="535"/>
      <c r="H339" s="535"/>
    </row>
    <row r="340" spans="1:8" ht="15">
      <c r="A340" s="536" t="s">
        <v>574</v>
      </c>
      <c r="B340" s="535"/>
      <c r="C340" s="535"/>
      <c r="D340" s="535"/>
      <c r="E340" s="535"/>
      <c r="F340" s="535"/>
      <c r="G340" s="535"/>
      <c r="H340" s="535"/>
    </row>
    <row r="341" spans="1:8" ht="15">
      <c r="A341" s="536" t="s">
        <v>575</v>
      </c>
      <c r="B341" s="535"/>
      <c r="C341" s="535"/>
      <c r="D341" s="535"/>
      <c r="E341" s="535"/>
      <c r="F341" s="535"/>
      <c r="G341" s="535"/>
      <c r="H341" s="535"/>
    </row>
    <row r="342" spans="1:8" ht="15">
      <c r="A342" s="536" t="s">
        <v>576</v>
      </c>
      <c r="B342" s="535"/>
      <c r="C342" s="535"/>
      <c r="D342" s="535"/>
      <c r="E342" s="535"/>
      <c r="F342" s="535"/>
      <c r="G342" s="535"/>
      <c r="H342" s="535"/>
    </row>
    <row r="343" spans="1:8" ht="15">
      <c r="A343" s="536" t="s">
        <v>577</v>
      </c>
      <c r="B343" s="535"/>
      <c r="C343" s="535"/>
      <c r="D343" s="535"/>
      <c r="E343" s="535"/>
      <c r="F343" s="535"/>
      <c r="G343" s="535"/>
      <c r="H343" s="535"/>
    </row>
    <row r="344" spans="1:8" ht="15">
      <c r="A344" s="536" t="s">
        <v>578</v>
      </c>
      <c r="B344" s="535"/>
      <c r="C344" s="535"/>
      <c r="D344" s="535"/>
      <c r="E344" s="535"/>
      <c r="F344" s="535"/>
      <c r="G344" s="535"/>
      <c r="H344" s="535"/>
    </row>
    <row r="345" spans="1:8" ht="15">
      <c r="A345" s="536" t="s">
        <v>579</v>
      </c>
      <c r="B345" s="535"/>
      <c r="C345" s="535"/>
      <c r="D345" s="535"/>
      <c r="E345" s="535"/>
      <c r="F345" s="535"/>
      <c r="G345" s="535"/>
      <c r="H345" s="535"/>
    </row>
    <row r="346" spans="1:8" ht="15">
      <c r="A346" s="536" t="s">
        <v>580</v>
      </c>
      <c r="B346" s="535"/>
      <c r="C346" s="535"/>
      <c r="D346" s="535"/>
      <c r="E346" s="535"/>
      <c r="F346" s="535"/>
      <c r="G346" s="535"/>
      <c r="H346" s="535"/>
    </row>
    <row r="347" spans="1:8" ht="15">
      <c r="A347" s="536" t="s">
        <v>581</v>
      </c>
      <c r="B347" s="535"/>
      <c r="C347" s="535"/>
      <c r="D347" s="535"/>
      <c r="E347" s="535"/>
      <c r="F347" s="535"/>
      <c r="G347" s="535"/>
      <c r="H347" s="535"/>
    </row>
    <row r="348" spans="1:8" ht="15">
      <c r="A348" s="536" t="s">
        <v>582</v>
      </c>
      <c r="B348" s="535"/>
      <c r="C348" s="535"/>
      <c r="D348" s="535"/>
      <c r="E348" s="535"/>
      <c r="F348" s="535"/>
      <c r="G348" s="535"/>
      <c r="H348" s="535"/>
    </row>
    <row r="349" spans="1:8" ht="15">
      <c r="A349" s="536" t="s">
        <v>583</v>
      </c>
      <c r="B349" s="535"/>
      <c r="C349" s="535"/>
      <c r="D349" s="535"/>
      <c r="E349" s="535"/>
      <c r="F349" s="535"/>
      <c r="G349" s="535"/>
      <c r="H349" s="535"/>
    </row>
    <row r="350" spans="1:8" ht="15">
      <c r="A350" s="536" t="s">
        <v>584</v>
      </c>
      <c r="B350" s="535"/>
      <c r="C350" s="535"/>
      <c r="D350" s="535"/>
      <c r="E350" s="535"/>
      <c r="F350" s="535"/>
      <c r="G350" s="535"/>
      <c r="H350" s="535"/>
    </row>
    <row r="351" spans="1:8" ht="15">
      <c r="A351" s="536" t="s">
        <v>585</v>
      </c>
      <c r="B351" s="535"/>
      <c r="C351" s="535"/>
      <c r="D351" s="535"/>
      <c r="E351" s="535"/>
      <c r="F351" s="535"/>
      <c r="G351" s="535"/>
      <c r="H351" s="535"/>
    </row>
    <row r="352" spans="1:8" ht="15">
      <c r="A352" s="536" t="s">
        <v>586</v>
      </c>
      <c r="B352" s="535"/>
      <c r="C352" s="535"/>
      <c r="D352" s="535"/>
      <c r="E352" s="535"/>
      <c r="F352" s="535"/>
      <c r="G352" s="535"/>
      <c r="H352" s="535"/>
    </row>
    <row r="353" spans="1:8" ht="15">
      <c r="A353" s="536" t="s">
        <v>587</v>
      </c>
      <c r="B353" s="535"/>
      <c r="C353" s="535"/>
      <c r="D353" s="535"/>
      <c r="E353" s="535"/>
      <c r="F353" s="535"/>
      <c r="G353" s="535"/>
      <c r="H353" s="535"/>
    </row>
    <row r="354" spans="1:8" ht="15">
      <c r="A354" s="536" t="s">
        <v>588</v>
      </c>
      <c r="B354" s="535"/>
      <c r="C354" s="535"/>
      <c r="D354" s="535"/>
      <c r="E354" s="535"/>
      <c r="F354" s="535"/>
      <c r="G354" s="535"/>
      <c r="H354" s="535"/>
    </row>
    <row r="355" spans="1:8" ht="15">
      <c r="A355" s="536" t="s">
        <v>589</v>
      </c>
      <c r="B355" s="535"/>
      <c r="C355" s="535"/>
      <c r="D355" s="535"/>
      <c r="E355" s="535"/>
      <c r="F355" s="535"/>
      <c r="G355" s="535"/>
      <c r="H355" s="535"/>
    </row>
    <row r="356" spans="1:8" ht="15">
      <c r="A356" s="536" t="s">
        <v>590</v>
      </c>
      <c r="B356" s="535"/>
      <c r="C356" s="535"/>
      <c r="D356" s="535"/>
      <c r="E356" s="535"/>
      <c r="F356" s="535"/>
      <c r="G356" s="535"/>
      <c r="H356" s="535"/>
    </row>
    <row r="357" spans="1:8" ht="15">
      <c r="A357" s="536" t="s">
        <v>591</v>
      </c>
      <c r="B357" s="535"/>
      <c r="C357" s="535"/>
      <c r="D357" s="535"/>
      <c r="E357" s="535"/>
      <c r="F357" s="535"/>
      <c r="G357" s="535"/>
      <c r="H357" s="535"/>
    </row>
    <row r="358" spans="1:8" ht="15">
      <c r="A358" s="536" t="s">
        <v>592</v>
      </c>
      <c r="B358" s="535"/>
      <c r="C358" s="535"/>
      <c r="D358" s="535"/>
      <c r="E358" s="535"/>
      <c r="F358" s="535"/>
      <c r="G358" s="535"/>
      <c r="H358" s="535"/>
    </row>
    <row r="359" spans="1:8" ht="15">
      <c r="A359" s="536" t="s">
        <v>593</v>
      </c>
      <c r="B359" s="535"/>
      <c r="C359" s="535"/>
      <c r="D359" s="535"/>
      <c r="E359" s="535"/>
      <c r="F359" s="535"/>
      <c r="G359" s="535"/>
      <c r="H359" s="535"/>
    </row>
    <row r="360" spans="1:8" ht="15">
      <c r="A360" s="536" t="s">
        <v>594</v>
      </c>
      <c r="B360" s="535"/>
      <c r="C360" s="535"/>
      <c r="D360" s="535"/>
      <c r="E360" s="535"/>
      <c r="F360" s="535"/>
      <c r="G360" s="535"/>
      <c r="H360" s="535"/>
    </row>
    <row r="361" spans="1:8" ht="15">
      <c r="A361" s="536" t="s">
        <v>595</v>
      </c>
      <c r="B361" s="535"/>
      <c r="C361" s="535"/>
      <c r="D361" s="535"/>
      <c r="E361" s="535"/>
      <c r="F361" s="535"/>
      <c r="G361" s="535"/>
      <c r="H361" s="535"/>
    </row>
    <row r="362" spans="1:8" ht="15">
      <c r="A362" s="536" t="s">
        <v>596</v>
      </c>
      <c r="B362" s="535"/>
      <c r="C362" s="535"/>
      <c r="D362" s="535"/>
      <c r="E362" s="535"/>
      <c r="F362" s="535"/>
      <c r="G362" s="535"/>
      <c r="H362" s="535"/>
    </row>
    <row r="363" spans="1:8" ht="15">
      <c r="A363" s="536" t="s">
        <v>597</v>
      </c>
      <c r="B363" s="535"/>
      <c r="C363" s="535"/>
      <c r="D363" s="535"/>
      <c r="E363" s="535"/>
      <c r="F363" s="535"/>
      <c r="G363" s="535"/>
      <c r="H363" s="535"/>
    </row>
    <row r="364" spans="1:8" ht="15">
      <c r="A364" s="536" t="s">
        <v>598</v>
      </c>
      <c r="B364" s="535"/>
      <c r="C364" s="535"/>
      <c r="D364" s="535"/>
      <c r="E364" s="535"/>
      <c r="F364" s="535"/>
      <c r="G364" s="535"/>
      <c r="H364" s="535"/>
    </row>
    <row r="365" spans="1:8" ht="15">
      <c r="A365" s="536" t="s">
        <v>599</v>
      </c>
      <c r="B365" s="535"/>
      <c r="C365" s="535"/>
      <c r="D365" s="535"/>
      <c r="E365" s="535"/>
      <c r="F365" s="535"/>
      <c r="G365" s="535"/>
      <c r="H365" s="535"/>
    </row>
    <row r="366" spans="1:8" ht="15">
      <c r="A366" s="536" t="s">
        <v>600</v>
      </c>
      <c r="B366" s="535"/>
      <c r="C366" s="535"/>
      <c r="D366" s="535"/>
      <c r="E366" s="535"/>
      <c r="F366" s="535"/>
      <c r="G366" s="535"/>
      <c r="H366" s="535"/>
    </row>
    <row r="367" spans="1:8" ht="15">
      <c r="A367" s="536" t="s">
        <v>601</v>
      </c>
      <c r="B367" s="535"/>
      <c r="C367" s="535"/>
      <c r="D367" s="535"/>
      <c r="E367" s="535"/>
      <c r="F367" s="535"/>
      <c r="G367" s="535"/>
      <c r="H367" s="535"/>
    </row>
    <row r="368" spans="1:8" ht="15">
      <c r="A368" s="536" t="s">
        <v>602</v>
      </c>
      <c r="B368" s="535"/>
      <c r="C368" s="535"/>
      <c r="D368" s="535"/>
      <c r="E368" s="535"/>
      <c r="F368" s="535"/>
      <c r="G368" s="535"/>
      <c r="H368" s="535"/>
    </row>
    <row r="369" spans="1:8" ht="15">
      <c r="A369" s="536" t="s">
        <v>603</v>
      </c>
      <c r="B369" s="535"/>
      <c r="C369" s="535"/>
      <c r="D369" s="535"/>
      <c r="E369" s="535"/>
      <c r="F369" s="535"/>
      <c r="G369" s="535"/>
      <c r="H369" s="535"/>
    </row>
    <row r="370" spans="1:8" ht="15">
      <c r="A370" s="536" t="s">
        <v>604</v>
      </c>
      <c r="B370" s="535"/>
      <c r="C370" s="535"/>
      <c r="D370" s="535"/>
      <c r="E370" s="535"/>
      <c r="F370" s="535"/>
      <c r="G370" s="535"/>
      <c r="H370" s="535"/>
    </row>
    <row r="371" spans="1:8" ht="15">
      <c r="A371" s="536" t="s">
        <v>605</v>
      </c>
      <c r="B371" s="535"/>
      <c r="C371" s="535"/>
      <c r="D371" s="535"/>
      <c r="E371" s="535"/>
      <c r="F371" s="535"/>
      <c r="G371" s="535"/>
      <c r="H371" s="535"/>
    </row>
    <row r="372" spans="1:8" ht="15">
      <c r="A372" s="536" t="s">
        <v>606</v>
      </c>
      <c r="B372" s="535"/>
      <c r="C372" s="535"/>
      <c r="D372" s="535"/>
      <c r="E372" s="535"/>
      <c r="F372" s="535"/>
      <c r="G372" s="535"/>
      <c r="H372" s="535"/>
    </row>
    <row r="373" spans="1:8" ht="15">
      <c r="A373" s="536" t="s">
        <v>607</v>
      </c>
      <c r="B373" s="535"/>
      <c r="C373" s="535"/>
      <c r="D373" s="535"/>
      <c r="E373" s="535"/>
      <c r="F373" s="535"/>
      <c r="G373" s="535"/>
      <c r="H373" s="535"/>
    </row>
    <row r="374" spans="1:8" ht="15">
      <c r="A374" s="535"/>
      <c r="B374" s="535"/>
      <c r="C374" s="535"/>
      <c r="D374" s="535"/>
      <c r="E374" s="535"/>
      <c r="F374" s="535"/>
      <c r="G374" s="535"/>
      <c r="H374" s="535"/>
    </row>
    <row r="375" spans="1:8" ht="15">
      <c r="A375" s="536" t="s">
        <v>565</v>
      </c>
      <c r="B375" s="535"/>
      <c r="C375" s="535"/>
      <c r="D375" s="535"/>
      <c r="E375" s="535"/>
      <c r="F375" s="535"/>
      <c r="G375" s="535"/>
      <c r="H375" s="535"/>
    </row>
    <row r="376" spans="1:8" ht="15">
      <c r="A376" s="536" t="s">
        <v>569</v>
      </c>
      <c r="B376" s="535"/>
      <c r="C376" s="535"/>
      <c r="D376" s="535"/>
      <c r="E376" s="535"/>
      <c r="F376" s="535"/>
      <c r="G376" s="535"/>
      <c r="H376" s="535"/>
    </row>
    <row r="377" spans="1:8" ht="15">
      <c r="A377" s="536" t="s">
        <v>570</v>
      </c>
      <c r="B377" s="535"/>
      <c r="C377" s="535"/>
      <c r="D377" s="535"/>
      <c r="E377" s="535"/>
      <c r="F377" s="535"/>
      <c r="G377" s="535"/>
      <c r="H377" s="535"/>
    </row>
    <row r="378" spans="1:8" ht="15">
      <c r="A378" s="536" t="s">
        <v>571</v>
      </c>
      <c r="B378" s="535"/>
      <c r="C378" s="535"/>
      <c r="D378" s="535"/>
      <c r="E378" s="535"/>
      <c r="F378" s="535"/>
      <c r="G378" s="535"/>
      <c r="H378" s="535"/>
    </row>
    <row r="379" spans="1:8" ht="15">
      <c r="A379" s="536" t="s">
        <v>572</v>
      </c>
      <c r="B379" s="535"/>
      <c r="C379" s="535"/>
      <c r="D379" s="535"/>
      <c r="E379" s="535"/>
      <c r="F379" s="535"/>
      <c r="G379" s="535"/>
      <c r="H379" s="535"/>
    </row>
    <row r="380" spans="1:8" ht="15">
      <c r="A380" s="535"/>
      <c r="B380" s="535"/>
      <c r="C380" s="535"/>
      <c r="D380" s="535"/>
      <c r="E380" s="535"/>
      <c r="F380" s="535"/>
      <c r="G380" s="535"/>
      <c r="H380" s="535"/>
    </row>
    <row r="381" spans="1:8" ht="15">
      <c r="A381" s="536" t="s">
        <v>565</v>
      </c>
      <c r="B381" s="535"/>
      <c r="C381" s="535"/>
      <c r="D381" s="535"/>
      <c r="E381" s="535"/>
      <c r="F381" s="535"/>
      <c r="G381" s="535"/>
      <c r="H381" s="535"/>
    </row>
    <row r="382" spans="1:8" ht="15">
      <c r="A382" s="536" t="s">
        <v>566</v>
      </c>
      <c r="B382" s="535"/>
      <c r="C382" s="535"/>
      <c r="D382" s="535"/>
      <c r="E382" s="535"/>
      <c r="F382" s="535"/>
      <c r="G382" s="535"/>
      <c r="H382" s="535"/>
    </row>
    <row r="383" spans="1:8" ht="15">
      <c r="A383" s="536" t="s">
        <v>567</v>
      </c>
      <c r="B383" s="535"/>
      <c r="C383" s="535"/>
      <c r="D383" s="535"/>
      <c r="E383" s="535"/>
      <c r="F383" s="535"/>
      <c r="G383" s="535"/>
      <c r="H383" s="535"/>
    </row>
    <row r="384" spans="1:8" ht="15">
      <c r="A384" s="536" t="s">
        <v>568</v>
      </c>
      <c r="B384" s="535"/>
      <c r="C384" s="535"/>
      <c r="D384" s="535"/>
      <c r="E384" s="535"/>
      <c r="F384" s="535"/>
      <c r="G384" s="535"/>
      <c r="H384" s="535"/>
    </row>
    <row r="385" spans="1:8" ht="15">
      <c r="A385" s="535"/>
      <c r="B385" s="535"/>
      <c r="C385" s="535"/>
      <c r="D385" s="535"/>
      <c r="E385" s="535"/>
      <c r="F385" s="535"/>
      <c r="G385" s="535"/>
      <c r="H385" s="535"/>
    </row>
    <row r="386" spans="1:8" ht="15">
      <c r="A386" s="536" t="s">
        <v>559</v>
      </c>
      <c r="B386" s="535"/>
      <c r="C386" s="535"/>
      <c r="D386" s="535"/>
      <c r="E386" s="535"/>
      <c r="F386" s="535"/>
      <c r="G386" s="535"/>
      <c r="H386" s="535"/>
    </row>
    <row r="387" spans="1:8" ht="15">
      <c r="A387" s="536" t="s">
        <v>560</v>
      </c>
      <c r="B387" s="535"/>
      <c r="C387" s="535"/>
      <c r="D387" s="535"/>
      <c r="E387" s="535"/>
      <c r="F387" s="535"/>
      <c r="G387" s="535"/>
      <c r="H387" s="535"/>
    </row>
    <row r="388" spans="1:8" ht="15">
      <c r="A388" s="536" t="s">
        <v>561</v>
      </c>
      <c r="B388" s="535"/>
      <c r="C388" s="535"/>
      <c r="D388" s="535"/>
      <c r="E388" s="535"/>
      <c r="F388" s="535"/>
      <c r="G388" s="535"/>
      <c r="H388" s="535"/>
    </row>
    <row r="389" spans="1:8" ht="15">
      <c r="A389" s="536" t="s">
        <v>562</v>
      </c>
      <c r="B389" s="535"/>
      <c r="C389" s="535"/>
      <c r="D389" s="535"/>
      <c r="E389" s="535"/>
      <c r="F389" s="535"/>
      <c r="G389" s="535"/>
      <c r="H389" s="535"/>
    </row>
    <row r="390" spans="1:8" ht="15">
      <c r="A390" s="536" t="s">
        <v>563</v>
      </c>
      <c r="B390" s="535"/>
      <c r="C390" s="535"/>
      <c r="D390" s="535"/>
      <c r="E390" s="535"/>
      <c r="F390" s="535"/>
      <c r="G390" s="535"/>
      <c r="H390" s="535"/>
    </row>
    <row r="391" spans="1:8" ht="15">
      <c r="A391" s="536" t="s">
        <v>564</v>
      </c>
      <c r="B391" s="535"/>
      <c r="C391" s="535"/>
      <c r="D391" s="535"/>
      <c r="E391" s="535"/>
      <c r="F391" s="535"/>
      <c r="G391" s="535"/>
      <c r="H391" s="535"/>
    </row>
    <row r="392" spans="1:8" ht="15">
      <c r="A392" s="535"/>
      <c r="B392" s="535"/>
      <c r="C392" s="535"/>
      <c r="D392" s="535"/>
      <c r="E392" s="535"/>
      <c r="F392" s="535"/>
      <c r="G392" s="535"/>
      <c r="H392" s="535"/>
    </row>
    <row r="393" spans="1:8" ht="15">
      <c r="A393" s="536" t="s">
        <v>554</v>
      </c>
      <c r="B393" s="535"/>
      <c r="C393" s="535"/>
      <c r="D393" s="535"/>
      <c r="E393" s="535"/>
      <c r="F393" s="535"/>
      <c r="G393" s="535"/>
      <c r="H393" s="535"/>
    </row>
    <row r="394" spans="1:8" ht="15">
      <c r="A394" s="536" t="s">
        <v>555</v>
      </c>
      <c r="B394" s="535"/>
      <c r="C394" s="535"/>
      <c r="D394" s="535"/>
      <c r="E394" s="535"/>
      <c r="F394" s="535"/>
      <c r="G394" s="535"/>
      <c r="H394" s="535"/>
    </row>
    <row r="395" spans="1:8" ht="15">
      <c r="A395" s="536" t="s">
        <v>556</v>
      </c>
      <c r="B395" s="535"/>
      <c r="C395" s="535"/>
      <c r="D395" s="535"/>
      <c r="E395" s="535"/>
      <c r="F395" s="535"/>
      <c r="G395" s="535"/>
      <c r="H395" s="535"/>
    </row>
    <row r="396" spans="1:8" ht="15">
      <c r="A396" s="536" t="s">
        <v>557</v>
      </c>
      <c r="B396" s="535"/>
      <c r="C396" s="535"/>
      <c r="D396" s="535"/>
      <c r="E396" s="535"/>
      <c r="F396" s="535"/>
      <c r="G396" s="535"/>
      <c r="H396" s="535"/>
    </row>
    <row r="397" spans="1:8" ht="15">
      <c r="A397" s="536" t="s">
        <v>558</v>
      </c>
      <c r="B397" s="535"/>
      <c r="C397" s="535"/>
      <c r="D397" s="535"/>
      <c r="E397" s="535"/>
      <c r="F397" s="535"/>
      <c r="G397" s="535"/>
      <c r="H397" s="535"/>
    </row>
    <row r="398" spans="1:8" ht="15">
      <c r="A398" s="535"/>
      <c r="B398" s="535"/>
      <c r="C398" s="535"/>
      <c r="D398" s="535"/>
      <c r="E398" s="535"/>
      <c r="F398" s="535"/>
      <c r="G398" s="535"/>
      <c r="H398" s="535"/>
    </row>
    <row r="399" spans="1:8" ht="15">
      <c r="A399" s="536" t="s">
        <v>552</v>
      </c>
      <c r="B399" s="535"/>
      <c r="C399" s="535"/>
      <c r="D399" s="535"/>
      <c r="E399" s="535"/>
      <c r="F399" s="535"/>
      <c r="G399" s="535"/>
      <c r="H399" s="535"/>
    </row>
    <row r="400" spans="1:8" ht="15">
      <c r="A400" s="536" t="s">
        <v>553</v>
      </c>
      <c r="B400" s="535"/>
      <c r="C400" s="535"/>
      <c r="D400" s="535"/>
      <c r="E400" s="535"/>
      <c r="F400" s="535"/>
      <c r="G400" s="535"/>
      <c r="H400" s="535"/>
    </row>
    <row r="402" spans="1:1">
      <c r="A402" s="531" t="s">
        <v>814</v>
      </c>
    </row>
  </sheetData>
  <mergeCells count="12">
    <mergeCell ref="A140:H140"/>
    <mergeCell ref="A141:H141"/>
    <mergeCell ref="B133:C133"/>
    <mergeCell ref="D133:F133"/>
    <mergeCell ref="G133:H133"/>
    <mergeCell ref="A125:H125"/>
    <mergeCell ref="A132:H132"/>
    <mergeCell ref="A119:H119"/>
    <mergeCell ref="A120:H120"/>
    <mergeCell ref="A121:H121"/>
    <mergeCell ref="A122:H122"/>
    <mergeCell ref="A124:H124"/>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heetViews>
  <sheetFormatPr defaultRowHeight="15"/>
  <sheetData>
    <row r="1" spans="1:2">
      <c r="A1" t="s">
        <v>890</v>
      </c>
      <c r="B1" t="s">
        <v>891</v>
      </c>
    </row>
    <row r="2" spans="1:2">
      <c r="A2" s="1" t="s">
        <v>892</v>
      </c>
      <c r="B2">
        <v>0</v>
      </c>
    </row>
    <row r="3" spans="1:2">
      <c r="A3" s="1" t="s">
        <v>893</v>
      </c>
      <c r="B3">
        <v>-1</v>
      </c>
    </row>
    <row r="4" spans="1:2">
      <c r="A4" s="1" t="s">
        <v>894</v>
      </c>
      <c r="B4">
        <v>2</v>
      </c>
    </row>
    <row r="5" spans="1:2">
      <c r="A5" s="1" t="s">
        <v>895</v>
      </c>
      <c r="B5">
        <v>-1</v>
      </c>
    </row>
    <row r="6" spans="1:2">
      <c r="A6" s="1" t="s">
        <v>55</v>
      </c>
      <c r="B6">
        <v>-1</v>
      </c>
    </row>
    <row r="7" spans="1:2">
      <c r="A7" s="1" t="s">
        <v>63</v>
      </c>
      <c r="B7">
        <v>-1</v>
      </c>
    </row>
    <row r="8" spans="1:2">
      <c r="A8" s="1" t="s">
        <v>896</v>
      </c>
      <c r="B8">
        <v>-1</v>
      </c>
    </row>
    <row r="9" spans="1:2">
      <c r="A9" s="1" t="s">
        <v>897</v>
      </c>
      <c r="B9">
        <v>-1</v>
      </c>
    </row>
    <row r="10" spans="1:2">
      <c r="A10" s="1" t="s">
        <v>303</v>
      </c>
      <c r="B10">
        <v>-1</v>
      </c>
    </row>
    <row r="11" spans="1:2">
      <c r="A11" s="1" t="s">
        <v>302</v>
      </c>
      <c r="B11">
        <v>-1</v>
      </c>
    </row>
    <row r="12" spans="1:2">
      <c r="A12" s="1" t="s">
        <v>898</v>
      </c>
      <c r="B12">
        <v>-1</v>
      </c>
    </row>
    <row r="13" spans="1:2">
      <c r="A13" s="1" t="s">
        <v>899</v>
      </c>
      <c r="B13">
        <v>-1</v>
      </c>
    </row>
    <row r="14" spans="1:2">
      <c r="A14" s="1" t="s">
        <v>900</v>
      </c>
      <c r="B14">
        <v>-1</v>
      </c>
    </row>
    <row r="15" spans="1:2">
      <c r="A15" s="1" t="s">
        <v>901</v>
      </c>
      <c r="B15">
        <v>-1</v>
      </c>
    </row>
    <row r="16" spans="1:2">
      <c r="A16" s="1" t="s">
        <v>902</v>
      </c>
      <c r="B16">
        <v>-1</v>
      </c>
    </row>
    <row r="17" spans="1:2">
      <c r="A17" s="1" t="s">
        <v>903</v>
      </c>
      <c r="B17">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11"/>
  <sheetViews>
    <sheetView showGridLines="0" showRowColHeaders="0" workbookViewId="0">
      <selection activeCell="N1" sqref="N1"/>
    </sheetView>
  </sheetViews>
  <sheetFormatPr defaultRowHeight="12.75"/>
  <cols>
    <col min="1" max="1" width="8.88671875" style="528"/>
    <col min="2" max="2" width="68.6640625" style="528" customWidth="1"/>
    <col min="3" max="257" width="8.88671875" style="528"/>
    <col min="258" max="258" width="68.6640625" style="528" customWidth="1"/>
    <col min="259" max="513" width="8.88671875" style="528"/>
    <col min="514" max="514" width="68.6640625" style="528" customWidth="1"/>
    <col min="515" max="769" width="8.88671875" style="528"/>
    <col min="770" max="770" width="68.6640625" style="528" customWidth="1"/>
    <col min="771" max="1025" width="8.88671875" style="528"/>
    <col min="1026" max="1026" width="68.6640625" style="528" customWidth="1"/>
    <col min="1027" max="1281" width="8.88671875" style="528"/>
    <col min="1282" max="1282" width="68.6640625" style="528" customWidth="1"/>
    <col min="1283" max="1537" width="8.88671875" style="528"/>
    <col min="1538" max="1538" width="68.6640625" style="528" customWidth="1"/>
    <col min="1539" max="1793" width="8.88671875" style="528"/>
    <col min="1794" max="1794" width="68.6640625" style="528" customWidth="1"/>
    <col min="1795" max="2049" width="8.88671875" style="528"/>
    <col min="2050" max="2050" width="68.6640625" style="528" customWidth="1"/>
    <col min="2051" max="2305" width="8.88671875" style="528"/>
    <col min="2306" max="2306" width="68.6640625" style="528" customWidth="1"/>
    <col min="2307" max="2561" width="8.88671875" style="528"/>
    <col min="2562" max="2562" width="68.6640625" style="528" customWidth="1"/>
    <col min="2563" max="2817" width="8.88671875" style="528"/>
    <col min="2818" max="2818" width="68.6640625" style="528" customWidth="1"/>
    <col min="2819" max="3073" width="8.88671875" style="528"/>
    <col min="3074" max="3074" width="68.6640625" style="528" customWidth="1"/>
    <col min="3075" max="3329" width="8.88671875" style="528"/>
    <col min="3330" max="3330" width="68.6640625" style="528" customWidth="1"/>
    <col min="3331" max="3585" width="8.88671875" style="528"/>
    <col min="3586" max="3586" width="68.6640625" style="528" customWidth="1"/>
    <col min="3587" max="3841" width="8.88671875" style="528"/>
    <col min="3842" max="3842" width="68.6640625" style="528" customWidth="1"/>
    <col min="3843" max="4097" width="8.88671875" style="528"/>
    <col min="4098" max="4098" width="68.6640625" style="528" customWidth="1"/>
    <col min="4099" max="4353" width="8.88671875" style="528"/>
    <col min="4354" max="4354" width="68.6640625" style="528" customWidth="1"/>
    <col min="4355" max="4609" width="8.88671875" style="528"/>
    <col min="4610" max="4610" width="68.6640625" style="528" customWidth="1"/>
    <col min="4611" max="4865" width="8.88671875" style="528"/>
    <col min="4866" max="4866" width="68.6640625" style="528" customWidth="1"/>
    <col min="4867" max="5121" width="8.88671875" style="528"/>
    <col min="5122" max="5122" width="68.6640625" style="528" customWidth="1"/>
    <col min="5123" max="5377" width="8.88671875" style="528"/>
    <col min="5378" max="5378" width="68.6640625" style="528" customWidth="1"/>
    <col min="5379" max="5633" width="8.88671875" style="528"/>
    <col min="5634" max="5634" width="68.6640625" style="528" customWidth="1"/>
    <col min="5635" max="5889" width="8.88671875" style="528"/>
    <col min="5890" max="5890" width="68.6640625" style="528" customWidth="1"/>
    <col min="5891" max="6145" width="8.88671875" style="528"/>
    <col min="6146" max="6146" width="68.6640625" style="528" customWidth="1"/>
    <col min="6147" max="6401" width="8.88671875" style="528"/>
    <col min="6402" max="6402" width="68.6640625" style="528" customWidth="1"/>
    <col min="6403" max="6657" width="8.88671875" style="528"/>
    <col min="6658" max="6658" width="68.6640625" style="528" customWidth="1"/>
    <col min="6659" max="6913" width="8.88671875" style="528"/>
    <col min="6914" max="6914" width="68.6640625" style="528" customWidth="1"/>
    <col min="6915" max="7169" width="8.88671875" style="528"/>
    <col min="7170" max="7170" width="68.6640625" style="528" customWidth="1"/>
    <col min="7171" max="7425" width="8.88671875" style="528"/>
    <col min="7426" max="7426" width="68.6640625" style="528" customWidth="1"/>
    <col min="7427" max="7681" width="8.88671875" style="528"/>
    <col min="7682" max="7682" width="68.6640625" style="528" customWidth="1"/>
    <col min="7683" max="7937" width="8.88671875" style="528"/>
    <col min="7938" max="7938" width="68.6640625" style="528" customWidth="1"/>
    <col min="7939" max="8193" width="8.88671875" style="528"/>
    <col min="8194" max="8194" width="68.6640625" style="528" customWidth="1"/>
    <col min="8195" max="8449" width="8.88671875" style="528"/>
    <col min="8450" max="8450" width="68.6640625" style="528" customWidth="1"/>
    <col min="8451" max="8705" width="8.88671875" style="528"/>
    <col min="8706" max="8706" width="68.6640625" style="528" customWidth="1"/>
    <col min="8707" max="8961" width="8.88671875" style="528"/>
    <col min="8962" max="8962" width="68.6640625" style="528" customWidth="1"/>
    <col min="8963" max="9217" width="8.88671875" style="528"/>
    <col min="9218" max="9218" width="68.6640625" style="528" customWidth="1"/>
    <col min="9219" max="9473" width="8.88671875" style="528"/>
    <col min="9474" max="9474" width="68.6640625" style="528" customWidth="1"/>
    <col min="9475" max="9729" width="8.88671875" style="528"/>
    <col min="9730" max="9730" width="68.6640625" style="528" customWidth="1"/>
    <col min="9731" max="9985" width="8.88671875" style="528"/>
    <col min="9986" max="9986" width="68.6640625" style="528" customWidth="1"/>
    <col min="9987" max="10241" width="8.88671875" style="528"/>
    <col min="10242" max="10242" width="68.6640625" style="528" customWidth="1"/>
    <col min="10243" max="10497" width="8.88671875" style="528"/>
    <col min="10498" max="10498" width="68.6640625" style="528" customWidth="1"/>
    <col min="10499" max="10753" width="8.88671875" style="528"/>
    <col min="10754" max="10754" width="68.6640625" style="528" customWidth="1"/>
    <col min="10755" max="11009" width="8.88671875" style="528"/>
    <col min="11010" max="11010" width="68.6640625" style="528" customWidth="1"/>
    <col min="11011" max="11265" width="8.88671875" style="528"/>
    <col min="11266" max="11266" width="68.6640625" style="528" customWidth="1"/>
    <col min="11267" max="11521" width="8.88671875" style="528"/>
    <col min="11522" max="11522" width="68.6640625" style="528" customWidth="1"/>
    <col min="11523" max="11777" width="8.88671875" style="528"/>
    <col min="11778" max="11778" width="68.6640625" style="528" customWidth="1"/>
    <col min="11779" max="12033" width="8.88671875" style="528"/>
    <col min="12034" max="12034" width="68.6640625" style="528" customWidth="1"/>
    <col min="12035" max="12289" width="8.88671875" style="528"/>
    <col min="12290" max="12290" width="68.6640625" style="528" customWidth="1"/>
    <col min="12291" max="12545" width="8.88671875" style="528"/>
    <col min="12546" max="12546" width="68.6640625" style="528" customWidth="1"/>
    <col min="12547" max="12801" width="8.88671875" style="528"/>
    <col min="12802" max="12802" width="68.6640625" style="528" customWidth="1"/>
    <col min="12803" max="13057" width="8.88671875" style="528"/>
    <col min="13058" max="13058" width="68.6640625" style="528" customWidth="1"/>
    <col min="13059" max="13313" width="8.88671875" style="528"/>
    <col min="13314" max="13314" width="68.6640625" style="528" customWidth="1"/>
    <col min="13315" max="13569" width="8.88671875" style="528"/>
    <col min="13570" max="13570" width="68.6640625" style="528" customWidth="1"/>
    <col min="13571" max="13825" width="8.88671875" style="528"/>
    <col min="13826" max="13826" width="68.6640625" style="528" customWidth="1"/>
    <col min="13827" max="14081" width="8.88671875" style="528"/>
    <col min="14082" max="14082" width="68.6640625" style="528" customWidth="1"/>
    <col min="14083" max="14337" width="8.88671875" style="528"/>
    <col min="14338" max="14338" width="68.6640625" style="528" customWidth="1"/>
    <col min="14339" max="14593" width="8.88671875" style="528"/>
    <col min="14594" max="14594" width="68.6640625" style="528" customWidth="1"/>
    <col min="14595" max="14849" width="8.88671875" style="528"/>
    <col min="14850" max="14850" width="68.6640625" style="528" customWidth="1"/>
    <col min="14851" max="15105" width="8.88671875" style="528"/>
    <col min="15106" max="15106" width="68.6640625" style="528" customWidth="1"/>
    <col min="15107" max="15361" width="8.88671875" style="528"/>
    <col min="15362" max="15362" width="68.6640625" style="528" customWidth="1"/>
    <col min="15363" max="15617" width="8.88671875" style="528"/>
    <col min="15618" max="15618" width="68.6640625" style="528" customWidth="1"/>
    <col min="15619" max="15873" width="8.88671875" style="528"/>
    <col min="15874" max="15874" width="68.6640625" style="528" customWidth="1"/>
    <col min="15875" max="16129" width="8.88671875" style="528"/>
    <col min="16130" max="16130" width="68.6640625" style="528" customWidth="1"/>
    <col min="16131" max="16384" width="8.88671875" style="528"/>
  </cols>
  <sheetData>
    <row r="1" spans="2:2" ht="32.25" customHeight="1"/>
    <row r="2" spans="2:2" ht="72">
      <c r="B2" s="547" t="s">
        <v>883</v>
      </c>
    </row>
    <row r="3" spans="2:2" ht="72" hidden="1">
      <c r="B3" s="547" t="s">
        <v>884</v>
      </c>
    </row>
    <row r="4" spans="2:2" ht="18">
      <c r="B4" s="547"/>
    </row>
    <row r="5" spans="2:2" ht="54">
      <c r="B5" s="547" t="s">
        <v>885</v>
      </c>
    </row>
    <row r="6" spans="2:2" ht="7.5" customHeight="1">
      <c r="B6" s="547"/>
    </row>
    <row r="7" spans="2:2" ht="18">
      <c r="B7" s="548" t="s">
        <v>886</v>
      </c>
    </row>
    <row r="8" spans="2:2" ht="18">
      <c r="B8" s="548" t="s">
        <v>888</v>
      </c>
    </row>
    <row r="9" spans="2:2" ht="18">
      <c r="B9" s="548" t="s">
        <v>889</v>
      </c>
    </row>
    <row r="10" spans="2:2" ht="18">
      <c r="B10" s="549"/>
    </row>
    <row r="11" spans="2:2" ht="36">
      <c r="B11" s="550" t="s">
        <v>887</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04961"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4904962"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pageSetUpPr fitToPage="1"/>
  </sheetPr>
  <dimension ref="B1:BZ130"/>
  <sheetViews>
    <sheetView showGridLines="0" zoomScale="70" zoomScaleNormal="70" workbookViewId="0">
      <pane xSplit="2" ySplit="6" topLeftCell="C7" activePane="bottomRight" state="frozen"/>
      <selection activeCell="C7" sqref="C7"/>
      <selection pane="topRight" activeCell="C7" sqref="C7"/>
      <selection pane="bottomLeft" activeCell="C7" sqref="C7"/>
      <selection pane="bottomRight" activeCell="C7" sqref="C7"/>
    </sheetView>
  </sheetViews>
  <sheetFormatPr defaultRowHeight="15.75" outlineLevelRow="1" outlineLevelCol="1"/>
  <cols>
    <col min="1" max="1" width="1.6640625" style="235" customWidth="1"/>
    <col min="2" max="2" width="25.77734375" style="235" customWidth="1"/>
    <col min="3" max="3" width="1.6640625" style="235" customWidth="1"/>
    <col min="4" max="4" width="8.88671875" style="235" hidden="1" customWidth="1" outlineLevel="1"/>
    <col min="5" max="5" width="8.88671875" style="235" hidden="1" customWidth="1" outlineLevel="1" collapsed="1"/>
    <col min="6" max="6" width="0" style="235" hidden="1" customWidth="1" outlineLevel="1" collapsed="1"/>
    <col min="7" max="7" width="8.88671875" style="235" collapsed="1"/>
    <col min="8" max="8" width="8.88671875" style="235"/>
    <col min="9" max="10" width="8.88671875" style="235" customWidth="1"/>
    <col min="11" max="16" width="8.88671875" style="235" hidden="1" customWidth="1" outlineLevel="1"/>
    <col min="17" max="17" width="1.6640625" style="235" customWidth="1" collapsed="1"/>
    <col min="18" max="37" width="1.6640625" style="235" hidden="1" customWidth="1" outlineLevel="1"/>
    <col min="38" max="41" width="8.88671875" style="235" hidden="1" customWidth="1" outlineLevel="1"/>
    <col min="42" max="42" width="8.88671875" style="235" hidden="1" customWidth="1" outlineLevel="1" collapsed="1"/>
    <col min="43" max="45" width="8.88671875" style="235" hidden="1" customWidth="1" outlineLevel="1"/>
    <col min="46" max="46" width="8.88671875" style="235" hidden="1" customWidth="1" outlineLevel="1" collapsed="1"/>
    <col min="47" max="49" width="8.88671875" style="235" hidden="1" customWidth="1" outlineLevel="1"/>
    <col min="50" max="50" width="8.88671875" style="235" hidden="1" customWidth="1" outlineLevel="1" collapsed="1"/>
    <col min="51" max="53" width="8.88671875" style="235" hidden="1" customWidth="1" outlineLevel="1"/>
    <col min="54" max="54" width="8.88671875" style="235" customWidth="1" collapsed="1"/>
    <col min="55" max="61" width="8.88671875" style="235" customWidth="1"/>
    <col min="62" max="62" width="8.88671875" style="235"/>
    <col min="63" max="63" width="1.6640625" style="235" customWidth="1"/>
    <col min="70" max="16384" width="8.88671875" style="235"/>
  </cols>
  <sheetData>
    <row r="1" spans="2:69">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7"/>
      <c r="AQ1" s="237"/>
      <c r="AR1" s="236"/>
      <c r="AS1" s="236"/>
      <c r="AT1" s="236"/>
      <c r="AU1" s="236"/>
      <c r="AV1" s="236"/>
      <c r="AW1" s="236"/>
      <c r="AX1" s="236"/>
      <c r="AY1" s="236"/>
      <c r="AZ1" s="236"/>
      <c r="BA1" s="236"/>
      <c r="BB1" s="236"/>
      <c r="BC1" s="236"/>
      <c r="BD1" s="236"/>
      <c r="BE1" s="236"/>
      <c r="BF1" s="236"/>
      <c r="BG1" s="236"/>
      <c r="BH1" s="236"/>
      <c r="BI1" s="236"/>
    </row>
    <row r="2" spans="2:69">
      <c r="B2" s="240" t="s">
        <v>197</v>
      </c>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236"/>
      <c r="AK2" s="236"/>
      <c r="AL2" s="236"/>
      <c r="AM2" s="236"/>
      <c r="AN2" s="236"/>
      <c r="AO2" s="236"/>
      <c r="AP2" s="237"/>
      <c r="AQ2" s="237"/>
      <c r="AR2" s="236"/>
      <c r="AS2" s="236"/>
      <c r="AT2" s="236"/>
      <c r="AU2" s="236"/>
      <c r="AV2" s="236"/>
      <c r="AW2" s="236"/>
      <c r="AX2" s="236"/>
      <c r="AY2" s="236"/>
      <c r="AZ2" s="236"/>
      <c r="BA2" s="236"/>
      <c r="BB2" s="236"/>
      <c r="BC2" s="236"/>
      <c r="BD2" s="236"/>
      <c r="BE2" s="236"/>
      <c r="BF2" s="236"/>
      <c r="BG2" s="236"/>
      <c r="BH2" s="236"/>
      <c r="BI2" s="236"/>
    </row>
    <row r="3" spans="2:69">
      <c r="B3" s="240" t="s">
        <v>198</v>
      </c>
      <c r="G3" s="236"/>
      <c r="H3" s="236"/>
      <c r="I3" s="236"/>
      <c r="J3" s="236"/>
      <c r="K3" s="236"/>
      <c r="L3" s="236"/>
      <c r="M3" s="236"/>
      <c r="N3" s="236"/>
      <c r="O3" s="236"/>
      <c r="P3" s="236"/>
      <c r="Q3" s="236"/>
      <c r="R3" s="236"/>
      <c r="S3" s="236"/>
      <c r="T3" s="236"/>
      <c r="U3" s="236"/>
      <c r="V3" s="236"/>
      <c r="W3" s="236"/>
      <c r="X3" s="236"/>
      <c r="Y3" s="236"/>
      <c r="Z3" s="236"/>
      <c r="AA3" s="236"/>
      <c r="AB3" s="236"/>
      <c r="AC3" s="236"/>
      <c r="AD3" s="236"/>
      <c r="AE3" s="236"/>
      <c r="AF3" s="236"/>
      <c r="AG3" s="236"/>
      <c r="AH3" s="236"/>
      <c r="AI3" s="236"/>
      <c r="AJ3" s="236"/>
      <c r="AK3" s="236"/>
      <c r="AL3" s="236"/>
      <c r="AM3" s="236"/>
      <c r="AN3" s="236"/>
      <c r="AO3" s="236"/>
      <c r="AP3" s="237"/>
      <c r="AQ3" s="237"/>
      <c r="AR3" s="236"/>
      <c r="AS3" s="236"/>
      <c r="AT3" s="236"/>
      <c r="AU3" s="236"/>
      <c r="AV3" s="236"/>
      <c r="AW3" s="236"/>
      <c r="AX3" s="236"/>
      <c r="AY3" s="236"/>
      <c r="AZ3" s="236"/>
      <c r="BA3" s="236"/>
      <c r="BB3" s="236"/>
      <c r="BC3" s="236"/>
      <c r="BD3" s="236"/>
      <c r="BE3" s="236"/>
      <c r="BF3" s="236"/>
      <c r="BG3" s="236"/>
      <c r="BH3" s="236"/>
      <c r="BI3" s="236"/>
    </row>
    <row r="4" spans="2:69">
      <c r="B4" s="235" t="s">
        <v>165</v>
      </c>
      <c r="G4" s="236"/>
      <c r="H4" s="236"/>
      <c r="I4" s="236"/>
      <c r="J4" s="236"/>
      <c r="K4" s="236"/>
      <c r="L4" s="236"/>
      <c r="M4" s="236"/>
      <c r="N4" s="236"/>
      <c r="O4" s="236"/>
      <c r="P4" s="236"/>
      <c r="Q4" s="236"/>
      <c r="R4" s="236"/>
      <c r="S4" s="236"/>
      <c r="T4" s="236"/>
      <c r="U4" s="236"/>
      <c r="V4" s="236"/>
      <c r="W4" s="236"/>
      <c r="X4" s="236"/>
      <c r="Y4" s="236"/>
      <c r="Z4" s="236"/>
      <c r="AA4" s="236"/>
      <c r="AB4" s="236"/>
      <c r="AC4" s="236"/>
      <c r="AD4" s="236"/>
      <c r="AE4" s="236"/>
      <c r="AF4" s="236"/>
      <c r="AG4" s="236"/>
      <c r="AH4" s="236"/>
      <c r="AI4" s="236"/>
      <c r="AJ4" s="236"/>
      <c r="AK4" s="236"/>
      <c r="AL4" s="236"/>
      <c r="AM4" s="236"/>
      <c r="AN4" s="236"/>
      <c r="AO4" s="236"/>
      <c r="AP4" s="237"/>
      <c r="AQ4" s="237"/>
      <c r="AR4" s="236"/>
      <c r="AS4" s="236"/>
      <c r="AT4" s="236"/>
      <c r="AU4" s="236"/>
      <c r="AV4" s="236"/>
      <c r="AW4" s="236"/>
      <c r="AX4" s="236"/>
      <c r="AY4" s="236"/>
      <c r="AZ4" s="236"/>
      <c r="BA4" s="236"/>
      <c r="BB4" s="236"/>
      <c r="BC4" s="236"/>
      <c r="BD4" s="236"/>
      <c r="BE4" s="236"/>
      <c r="BF4" s="236"/>
      <c r="BG4" s="236"/>
      <c r="BH4" s="236"/>
      <c r="BI4" s="236"/>
    </row>
    <row r="5" spans="2:69" ht="16.5" thickBot="1">
      <c r="F5" s="236"/>
      <c r="G5" s="236"/>
      <c r="H5" s="236"/>
      <c r="I5" s="236"/>
      <c r="J5" s="236"/>
      <c r="K5" s="236"/>
      <c r="L5" s="236"/>
      <c r="M5" s="236"/>
      <c r="N5" s="236"/>
      <c r="O5" s="236"/>
      <c r="P5" s="236"/>
      <c r="AP5" s="237"/>
      <c r="AQ5" s="237"/>
    </row>
    <row r="6" spans="2:69" s="251" customFormat="1" ht="16.5" thickBot="1">
      <c r="B6" s="194" t="s">
        <v>255</v>
      </c>
      <c r="C6" s="199"/>
      <c r="D6" s="195">
        <v>2013</v>
      </c>
      <c r="E6" s="196">
        <v>2014</v>
      </c>
      <c r="F6" s="196">
        <v>2015</v>
      </c>
      <c r="G6" s="196">
        <v>2016</v>
      </c>
      <c r="H6" s="196">
        <v>2017</v>
      </c>
      <c r="I6" s="196" t="s">
        <v>188</v>
      </c>
      <c r="J6" s="196" t="s">
        <v>265</v>
      </c>
      <c r="K6" s="196" t="s">
        <v>464</v>
      </c>
      <c r="L6" s="196" t="s">
        <v>465</v>
      </c>
      <c r="M6" s="196" t="s">
        <v>466</v>
      </c>
      <c r="N6" s="196" t="s">
        <v>467</v>
      </c>
      <c r="O6" s="196" t="s">
        <v>468</v>
      </c>
      <c r="P6" s="197" t="s">
        <v>469</v>
      </c>
      <c r="Q6" s="241"/>
      <c r="R6" s="196"/>
      <c r="S6" s="196"/>
      <c r="T6" s="196"/>
      <c r="U6" s="196"/>
      <c r="V6" s="196"/>
      <c r="W6" s="196"/>
      <c r="X6" s="196"/>
      <c r="Y6" s="196"/>
      <c r="Z6" s="196"/>
      <c r="AA6" s="196"/>
      <c r="AB6" s="196"/>
      <c r="AC6" s="196"/>
      <c r="AD6" s="196"/>
      <c r="AE6" s="196"/>
      <c r="AF6" s="196"/>
      <c r="AG6" s="196"/>
      <c r="AH6" s="196"/>
      <c r="AI6" s="196"/>
      <c r="AJ6" s="196"/>
      <c r="AK6" s="196"/>
      <c r="AL6" s="196" t="s">
        <v>248</v>
      </c>
      <c r="AM6" s="196" t="s">
        <v>249</v>
      </c>
      <c r="AN6" s="196" t="s">
        <v>250</v>
      </c>
      <c r="AO6" s="196" t="s">
        <v>251</v>
      </c>
      <c r="AP6" s="196" t="s">
        <v>156</v>
      </c>
      <c r="AQ6" s="196" t="s">
        <v>157</v>
      </c>
      <c r="AR6" s="196" t="s">
        <v>158</v>
      </c>
      <c r="AS6" s="196" t="s">
        <v>159</v>
      </c>
      <c r="AT6" s="196" t="s">
        <v>261</v>
      </c>
      <c r="AU6" s="196" t="s">
        <v>262</v>
      </c>
      <c r="AV6" s="196" t="s">
        <v>263</v>
      </c>
      <c r="AW6" s="196" t="s">
        <v>264</v>
      </c>
      <c r="AX6" s="196" t="s">
        <v>445</v>
      </c>
      <c r="AY6" s="196" t="s">
        <v>447</v>
      </c>
      <c r="AZ6" s="196" t="s">
        <v>450</v>
      </c>
      <c r="BA6" s="196" t="s">
        <v>457</v>
      </c>
      <c r="BB6" s="196" t="s">
        <v>460</v>
      </c>
      <c r="BC6" s="196" t="s">
        <v>470</v>
      </c>
      <c r="BD6" s="196" t="s">
        <v>484</v>
      </c>
      <c r="BE6" s="196" t="s">
        <v>490</v>
      </c>
      <c r="BF6" s="196" t="s">
        <v>486</v>
      </c>
      <c r="BG6" s="196" t="s">
        <v>487</v>
      </c>
      <c r="BH6" s="196" t="s">
        <v>488</v>
      </c>
      <c r="BI6" s="197" t="s">
        <v>489</v>
      </c>
      <c r="BL6"/>
      <c r="BM6"/>
      <c r="BN6"/>
      <c r="BO6"/>
      <c r="BP6"/>
      <c r="BQ6"/>
    </row>
    <row r="8" spans="2:69" s="236" customFormat="1" hidden="1" outlineLevel="1">
      <c r="B8" s="236" t="s">
        <v>302</v>
      </c>
      <c r="D8" s="236">
        <f>SUM(AL8:AO8)</f>
        <v>67647</v>
      </c>
      <c r="E8" s="236">
        <f>SUM(AP8:AS8)</f>
        <v>70606</v>
      </c>
      <c r="F8" s="236">
        <f>SUM(AT8:AW8)</f>
        <v>71127</v>
      </c>
      <c r="G8" s="236">
        <f>SUM(AX8:BA8)</f>
        <v>70988</v>
      </c>
      <c r="H8" s="236">
        <f>SUM(BB8:BE8)</f>
        <v>69406</v>
      </c>
      <c r="I8" s="236">
        <f ca="1">SUM(BF8:BI8)</f>
        <v>69164.792295068255</v>
      </c>
      <c r="J8" s="425">
        <f ca="1">+'Business Solutions'!J27</f>
        <v>68066.108981094934</v>
      </c>
      <c r="K8" s="425">
        <f ca="1">+'Business Solutions'!K27</f>
        <v>67380.636411871441</v>
      </c>
      <c r="L8" s="425">
        <f ca="1">+'Business Solutions'!L27</f>
        <v>66721.748499735564</v>
      </c>
      <c r="M8" s="425">
        <f ca="1">+'Business Solutions'!M27</f>
        <v>66028.065701837142</v>
      </c>
      <c r="N8" s="425">
        <f ca="1">+'Business Solutions'!N27</f>
        <v>65179.641890731815</v>
      </c>
      <c r="O8" s="425">
        <f ca="1">+'Business Solutions'!O27</f>
        <v>64203.044701873849</v>
      </c>
      <c r="P8" s="425">
        <f ca="1">+'Business Solutions'!P27</f>
        <v>63062.444772679541</v>
      </c>
      <c r="AL8" s="236">
        <f>+'Business Solutions'!AL27</f>
        <v>16318</v>
      </c>
      <c r="AM8" s="236">
        <f>+'Business Solutions'!AM27</f>
        <v>16765</v>
      </c>
      <c r="AN8" s="236">
        <f>+'Business Solutions'!AN27</f>
        <v>17008</v>
      </c>
      <c r="AO8" s="236">
        <f>+'Business Solutions'!AO27</f>
        <v>17556</v>
      </c>
      <c r="AP8" s="236">
        <f>+'Business Solutions'!AP27</f>
        <v>17344</v>
      </c>
      <c r="AQ8" s="236">
        <f>+'Business Solutions'!AQ27</f>
        <v>17046</v>
      </c>
      <c r="AR8" s="236">
        <f>+'Business Solutions'!AR27</f>
        <v>17487</v>
      </c>
      <c r="AS8" s="236">
        <f>+'Business Solutions'!AS27</f>
        <v>18729</v>
      </c>
      <c r="AT8" s="389">
        <f>+'Business Solutions'!AT27</f>
        <v>17557</v>
      </c>
      <c r="AU8" s="389">
        <f>+'Business Solutions'!AU27</f>
        <v>17664</v>
      </c>
      <c r="AV8" s="389">
        <f>+'Business Solutions'!AV27</f>
        <v>17692</v>
      </c>
      <c r="AW8" s="389">
        <f>+'Business Solutions'!AW27</f>
        <v>18214</v>
      </c>
      <c r="AX8" s="389">
        <f>+'Business Solutions'!AX27</f>
        <v>17609</v>
      </c>
      <c r="AY8" s="389">
        <f>+'Business Solutions'!AY27</f>
        <v>17579</v>
      </c>
      <c r="AZ8" s="389">
        <f>+'Business Solutions'!AZ27</f>
        <v>17767</v>
      </c>
      <c r="BA8" s="389">
        <f>+'Business Solutions'!BA27</f>
        <v>18033</v>
      </c>
      <c r="BB8" s="389">
        <f>+'Business Solutions'!BB27</f>
        <v>16848</v>
      </c>
      <c r="BC8" s="389">
        <f>+'Business Solutions'!BC27</f>
        <v>17107</v>
      </c>
      <c r="BD8" s="389">
        <f>+'Business Solutions'!BD27</f>
        <v>17061</v>
      </c>
      <c r="BE8" s="389">
        <f>+'Business Solutions'!BE27</f>
        <v>18390</v>
      </c>
      <c r="BF8" s="389">
        <f ca="1">+'Business Solutions'!BF27</f>
        <v>16955.240451078585</v>
      </c>
      <c r="BG8" s="389">
        <f ca="1">+'Business Solutions'!BG27</f>
        <v>17015.016461303905</v>
      </c>
      <c r="BH8" s="389">
        <f ca="1">+'Business Solutions'!BH27</f>
        <v>17041.190818355979</v>
      </c>
      <c r="BI8" s="389">
        <f ca="1">+'Business Solutions'!BI27</f>
        <v>18153.344564329782</v>
      </c>
      <c r="BJ8" s="252"/>
      <c r="BL8"/>
      <c r="BM8"/>
      <c r="BN8"/>
      <c r="BO8"/>
      <c r="BP8"/>
      <c r="BQ8"/>
    </row>
    <row r="9" spans="2:69" s="236" customFormat="1" hidden="1" outlineLevel="1">
      <c r="B9" s="483" t="s">
        <v>483</v>
      </c>
      <c r="C9" s="483"/>
      <c r="D9" s="483">
        <f>+'E&amp;I + International'!D8</f>
        <v>21542</v>
      </c>
      <c r="E9" s="483">
        <f>+'E&amp;I + International'!E8</f>
        <v>22233</v>
      </c>
      <c r="F9" s="483">
        <f>+'E&amp;I + International'!F8</f>
        <v>39396</v>
      </c>
      <c r="G9" s="483">
        <f>+'E&amp;I + International'!G8</f>
        <v>58578</v>
      </c>
      <c r="H9" s="483">
        <f>+'E&amp;I + International'!H8</f>
        <v>58967</v>
      </c>
      <c r="I9" s="498">
        <f>+'E&amp;I + International'!I8</f>
        <v>60605.841128478198</v>
      </c>
      <c r="J9" s="498">
        <f>+'E&amp;I + International'!J8</f>
        <v>62052.039100904978</v>
      </c>
      <c r="K9" s="498">
        <f>+'E&amp;I + International'!K8</f>
        <v>63295.945523498987</v>
      </c>
      <c r="L9" s="498">
        <f>+'E&amp;I + International'!L8</f>
        <v>64438.535429105672</v>
      </c>
      <c r="M9" s="498">
        <f>+'E&amp;I + International'!M8</f>
        <v>65579.745219831399</v>
      </c>
      <c r="N9" s="498">
        <f>+'E&amp;I + International'!N8</f>
        <v>66862.225118603048</v>
      </c>
      <c r="O9" s="498">
        <f>+'E&amp;I + International'!O8</f>
        <v>68445.813054424099</v>
      </c>
      <c r="P9" s="498">
        <f>+'E&amp;I + International'!P8</f>
        <v>70509.139532431145</v>
      </c>
      <c r="Q9" s="483"/>
      <c r="R9" s="483"/>
      <c r="S9" s="483"/>
      <c r="T9" s="483"/>
      <c r="U9" s="483"/>
      <c r="V9" s="483"/>
      <c r="W9" s="483"/>
      <c r="X9" s="483"/>
      <c r="Y9" s="483"/>
      <c r="Z9" s="483"/>
      <c r="AA9" s="483"/>
      <c r="AB9" s="483"/>
      <c r="AC9" s="483"/>
      <c r="AD9" s="483"/>
      <c r="AE9" s="483"/>
      <c r="AF9" s="483"/>
      <c r="AG9" s="483"/>
      <c r="AH9" s="483"/>
      <c r="AI9" s="483"/>
      <c r="AJ9" s="483"/>
      <c r="AK9" s="483"/>
      <c r="AL9" s="483">
        <f>+'E&amp;I + International'!AL8</f>
        <v>5300</v>
      </c>
      <c r="AM9" s="483">
        <f>+'E&amp;I + International'!AM8</f>
        <v>5398</v>
      </c>
      <c r="AN9" s="483">
        <f>+'E&amp;I + International'!AN8</f>
        <v>5389</v>
      </c>
      <c r="AO9" s="483">
        <f>+'E&amp;I + International'!AO8</f>
        <v>5455</v>
      </c>
      <c r="AP9" s="483">
        <f>+'E&amp;I + International'!AP8</f>
        <v>5525</v>
      </c>
      <c r="AQ9" s="483">
        <f>+'E&amp;I + International'!AQ8</f>
        <v>5562</v>
      </c>
      <c r="AR9" s="483">
        <f>+'E&amp;I + International'!AR8</f>
        <v>5553</v>
      </c>
      <c r="AS9" s="483">
        <f>+'E&amp;I + International'!AS8</f>
        <v>5593</v>
      </c>
      <c r="AT9" s="499">
        <f>+'E&amp;I + International'!AT8</f>
        <v>5896</v>
      </c>
      <c r="AU9" s="499">
        <f>+'E&amp;I + International'!AU8</f>
        <v>6273</v>
      </c>
      <c r="AV9" s="499">
        <f>+'E&amp;I + International'!AV8</f>
        <v>12384</v>
      </c>
      <c r="AW9" s="499">
        <f>+'E&amp;I + International'!AW8</f>
        <v>14843</v>
      </c>
      <c r="AX9" s="499">
        <f>+'E&amp;I + International'!AX8</f>
        <v>14325</v>
      </c>
      <c r="AY9" s="499">
        <f>+'E&amp;I + International'!AY8</f>
        <v>14539</v>
      </c>
      <c r="AZ9" s="499">
        <f>+'E&amp;I + International'!AZ8</f>
        <v>14599</v>
      </c>
      <c r="BA9" s="499">
        <f>+'E&amp;I + International'!BA8</f>
        <v>15115</v>
      </c>
      <c r="BB9" s="499">
        <f>+'E&amp;I + International'!BB8</f>
        <v>14552</v>
      </c>
      <c r="BC9" s="499">
        <f>+'E&amp;I + International'!BC8</f>
        <v>14708</v>
      </c>
      <c r="BD9" s="499">
        <f>+'E&amp;I + International'!BD8</f>
        <v>14747</v>
      </c>
      <c r="BE9" s="499">
        <f>+'E&amp;I + International'!BE8</f>
        <v>14960</v>
      </c>
      <c r="BF9" s="499">
        <f>+'E&amp;I + International'!BF8</f>
        <v>14950.126951973372</v>
      </c>
      <c r="BG9" s="499">
        <f>+'E&amp;I + International'!BG8</f>
        <v>15090.309288076231</v>
      </c>
      <c r="BH9" s="499">
        <f>+'E&amp;I + International'!BH8</f>
        <v>15173.800745286278</v>
      </c>
      <c r="BI9" s="499">
        <f>+'E&amp;I + International'!BI8</f>
        <v>15391.604143142305</v>
      </c>
      <c r="BJ9" s="252"/>
      <c r="BL9"/>
      <c r="BM9"/>
      <c r="BN9"/>
      <c r="BO9"/>
      <c r="BP9"/>
      <c r="BQ9"/>
    </row>
    <row r="10" spans="2:69" s="236" customFormat="1" hidden="1" outlineLevel="1">
      <c r="B10" s="236" t="s">
        <v>303</v>
      </c>
      <c r="D10" s="236">
        <f>SUM(AL10:AO10)</f>
        <v>36243</v>
      </c>
      <c r="E10" s="236">
        <f>SUM(AP10:AS10)</f>
        <v>36769</v>
      </c>
      <c r="F10" s="236">
        <f>SUM(AT10:AW10)</f>
        <v>35066</v>
      </c>
      <c r="G10" s="236">
        <f>SUM(AX10:BA10)</f>
        <v>33200</v>
      </c>
      <c r="H10" s="236">
        <f t="shared" ref="H10:H12" si="0">SUM(BB10:BE10)</f>
        <v>31574</v>
      </c>
      <c r="I10" s="236">
        <f ca="1">SUM(BF10:BI10)</f>
        <v>30905.756057194398</v>
      </c>
      <c r="J10" s="425">
        <f ca="1">+'Consumer Mobility'!J12</f>
        <v>31606.603661129076</v>
      </c>
      <c r="K10" s="425">
        <f ca="1">+'Consumer Mobility'!K12</f>
        <v>31847.495473543211</v>
      </c>
      <c r="L10" s="425">
        <f ca="1">+'Consumer Mobility'!L12</f>
        <v>31917.765985080769</v>
      </c>
      <c r="M10" s="425">
        <f ca="1">+'Consumer Mobility'!M12</f>
        <v>31867.484743930716</v>
      </c>
      <c r="N10" s="425">
        <f ca="1">+'Consumer Mobility'!N12</f>
        <v>31699.531502629623</v>
      </c>
      <c r="O10" s="425">
        <f ca="1">+'Consumer Mobility'!O12</f>
        <v>31496.52422420419</v>
      </c>
      <c r="P10" s="425">
        <f ca="1">+'Consumer Mobility'!P12</f>
        <v>31292.412098395995</v>
      </c>
      <c r="AL10" s="236">
        <f>+'Consumer Mobility'!AL12</f>
        <v>8904</v>
      </c>
      <c r="AM10" s="236">
        <f>+'Consumer Mobility'!AM12</f>
        <v>9056</v>
      </c>
      <c r="AN10" s="236">
        <f>+'Consumer Mobility'!AN12</f>
        <v>8937</v>
      </c>
      <c r="AO10" s="236">
        <f>+'Consumer Mobility'!AO12</f>
        <v>9346</v>
      </c>
      <c r="AP10" s="236">
        <f>+'Consumer Mobility'!AP12</f>
        <v>8840</v>
      </c>
      <c r="AQ10" s="236">
        <f>+'Consumer Mobility'!AQ12</f>
        <v>9199</v>
      </c>
      <c r="AR10" s="236">
        <f>+'Consumer Mobility'!AR12</f>
        <v>9208</v>
      </c>
      <c r="AS10" s="236">
        <f>+'Consumer Mobility'!AS12</f>
        <v>9522</v>
      </c>
      <c r="AT10" s="389">
        <f>+'Consumer Mobility'!AT12</f>
        <v>8778</v>
      </c>
      <c r="AU10" s="389">
        <f>+'Consumer Mobility'!AU12</f>
        <v>8755</v>
      </c>
      <c r="AV10" s="389">
        <f>+'Consumer Mobility'!AV12</f>
        <v>8784</v>
      </c>
      <c r="AW10" s="389">
        <f>+'Consumer Mobility'!AW12</f>
        <v>8749</v>
      </c>
      <c r="AX10" s="389">
        <f>+'Consumer Mobility'!AX12</f>
        <v>8328</v>
      </c>
      <c r="AY10" s="389">
        <f>+'Consumer Mobility'!AY12</f>
        <v>8186</v>
      </c>
      <c r="AZ10" s="389">
        <f>+'Consumer Mobility'!AZ12</f>
        <v>8267</v>
      </c>
      <c r="BA10" s="389">
        <f>+'Consumer Mobility'!BA12</f>
        <v>8419</v>
      </c>
      <c r="BB10" s="389">
        <f>+'Consumer Mobility'!BB12</f>
        <v>7740</v>
      </c>
      <c r="BC10" s="389">
        <f>+'Consumer Mobility'!BC12</f>
        <v>7791</v>
      </c>
      <c r="BD10" s="389">
        <f>+'Consumer Mobility'!BD12</f>
        <v>7770</v>
      </c>
      <c r="BE10" s="389">
        <f>+'Consumer Mobility'!BE12</f>
        <v>8273</v>
      </c>
      <c r="BF10" s="389">
        <f ca="1">+'Consumer Mobility'!BF12</f>
        <v>7549.1248488183219</v>
      </c>
      <c r="BG10" s="389">
        <f ca="1">+'Consumer Mobility'!BG12</f>
        <v>7576.8324401530344</v>
      </c>
      <c r="BH10" s="389">
        <f ca="1">+'Consumer Mobility'!BH12</f>
        <v>7578.8624872484006</v>
      </c>
      <c r="BI10" s="389">
        <f ca="1">+'Consumer Mobility'!BI12</f>
        <v>8200.9362809746399</v>
      </c>
      <c r="BJ10" s="252"/>
      <c r="BL10"/>
      <c r="BM10"/>
      <c r="BN10"/>
      <c r="BO10"/>
      <c r="BP10"/>
      <c r="BQ10"/>
    </row>
    <row r="11" spans="2:69" s="236" customFormat="1" hidden="1" outlineLevel="1">
      <c r="B11" s="483"/>
      <c r="C11" s="483"/>
      <c r="D11" s="483"/>
      <c r="E11" s="483"/>
      <c r="F11" s="483"/>
      <c r="G11" s="483"/>
      <c r="H11" s="483"/>
      <c r="I11" s="483"/>
      <c r="J11" s="498"/>
      <c r="K11" s="498"/>
      <c r="L11" s="498"/>
      <c r="M11" s="498"/>
      <c r="N11" s="498"/>
      <c r="O11" s="498"/>
      <c r="P11" s="498"/>
      <c r="Q11" s="483"/>
      <c r="R11" s="483"/>
      <c r="S11" s="483"/>
      <c r="T11" s="483"/>
      <c r="U11" s="483"/>
      <c r="V11" s="483"/>
      <c r="W11" s="483"/>
      <c r="X11" s="483"/>
      <c r="Y11" s="483"/>
      <c r="Z11" s="483"/>
      <c r="AA11" s="483"/>
      <c r="AB11" s="483"/>
      <c r="AC11" s="483"/>
      <c r="AD11" s="483"/>
      <c r="AE11" s="483"/>
      <c r="AF11" s="483"/>
      <c r="AG11" s="483"/>
      <c r="AH11" s="483"/>
      <c r="AI11" s="483"/>
      <c r="AJ11" s="483"/>
      <c r="AK11" s="483"/>
      <c r="AL11" s="483"/>
      <c r="AM11" s="483"/>
      <c r="AN11" s="483"/>
      <c r="AO11" s="483"/>
      <c r="AP11" s="483"/>
      <c r="AQ11" s="483"/>
      <c r="AR11" s="483"/>
      <c r="AS11" s="483"/>
      <c r="AT11" s="499"/>
      <c r="AU11" s="499"/>
      <c r="AV11" s="499"/>
      <c r="AW11" s="499"/>
      <c r="AX11" s="499"/>
      <c r="AY11" s="499"/>
      <c r="AZ11" s="499"/>
      <c r="BA11" s="499"/>
      <c r="BB11" s="499"/>
      <c r="BC11" s="499"/>
      <c r="BD11" s="499"/>
      <c r="BE11" s="499"/>
      <c r="BF11" s="499"/>
      <c r="BG11" s="499"/>
      <c r="BH11" s="499"/>
      <c r="BI11" s="499"/>
      <c r="BJ11" s="252"/>
      <c r="BL11"/>
      <c r="BM11"/>
      <c r="BN11"/>
      <c r="BO11"/>
      <c r="BP11"/>
      <c r="BQ11"/>
    </row>
    <row r="12" spans="2:69" s="236" customFormat="1" hidden="1" outlineLevel="1">
      <c r="B12" s="236" t="s">
        <v>304</v>
      </c>
      <c r="D12" s="236">
        <f>SUM(AL12:AO12)</f>
        <v>3320</v>
      </c>
      <c r="E12" s="236">
        <f>SUM(AP12:AS12)</f>
        <v>2839</v>
      </c>
      <c r="F12" s="236">
        <f>SUM(AT12:AW12)</f>
        <v>1212</v>
      </c>
      <c r="G12" s="236">
        <f>SUM(AX12:BA12)</f>
        <v>1020</v>
      </c>
      <c r="H12" s="236">
        <f t="shared" si="0"/>
        <v>599</v>
      </c>
      <c r="I12" s="236">
        <f>SUM(BF12:BI12)</f>
        <v>212</v>
      </c>
      <c r="J12" s="211">
        <f>+I12</f>
        <v>212</v>
      </c>
      <c r="K12" s="211">
        <f t="shared" ref="K12:P12" si="1">+J12</f>
        <v>212</v>
      </c>
      <c r="L12" s="211">
        <f t="shared" si="1"/>
        <v>212</v>
      </c>
      <c r="M12" s="211">
        <f t="shared" si="1"/>
        <v>212</v>
      </c>
      <c r="N12" s="211">
        <f t="shared" si="1"/>
        <v>212</v>
      </c>
      <c r="O12" s="211">
        <f t="shared" si="1"/>
        <v>212</v>
      </c>
      <c r="P12" s="211">
        <f t="shared" si="1"/>
        <v>212</v>
      </c>
      <c r="AL12" s="236">
        <f t="shared" ref="AL12:AU12" si="2">+AL13-SUM(AL8:AL11)</f>
        <v>834</v>
      </c>
      <c r="AM12" s="236">
        <f t="shared" si="2"/>
        <v>856</v>
      </c>
      <c r="AN12" s="236">
        <f t="shared" si="2"/>
        <v>824</v>
      </c>
      <c r="AO12" s="236">
        <f t="shared" si="2"/>
        <v>806</v>
      </c>
      <c r="AP12" s="236">
        <f t="shared" si="2"/>
        <v>767</v>
      </c>
      <c r="AQ12" s="236">
        <f t="shared" si="2"/>
        <v>768</v>
      </c>
      <c r="AR12" s="236">
        <f t="shared" si="2"/>
        <v>709</v>
      </c>
      <c r="AS12" s="236">
        <f t="shared" si="2"/>
        <v>595</v>
      </c>
      <c r="AT12" s="236">
        <f t="shared" si="2"/>
        <v>345</v>
      </c>
      <c r="AU12" s="236">
        <f t="shared" si="2"/>
        <v>323</v>
      </c>
      <c r="AV12" s="236">
        <f t="shared" ref="AV12:BD12" si="3">+AV13-SUM(AV8:AV11)</f>
        <v>231</v>
      </c>
      <c r="AW12" s="236">
        <f t="shared" si="3"/>
        <v>313</v>
      </c>
      <c r="AX12" s="236">
        <f t="shared" si="3"/>
        <v>273</v>
      </c>
      <c r="AY12" s="236">
        <f t="shared" si="3"/>
        <v>216</v>
      </c>
      <c r="AZ12" s="236">
        <f t="shared" si="3"/>
        <v>257</v>
      </c>
      <c r="BA12" s="236">
        <f t="shared" si="3"/>
        <v>274</v>
      </c>
      <c r="BB12" s="236">
        <f t="shared" si="3"/>
        <v>225</v>
      </c>
      <c r="BC12" s="236">
        <f t="shared" si="3"/>
        <v>231</v>
      </c>
      <c r="BD12" s="236">
        <f t="shared" si="3"/>
        <v>90</v>
      </c>
      <c r="BE12" s="236">
        <f t="shared" ref="BE12" si="4">+BE13-SUM(BE8:BE11)</f>
        <v>53</v>
      </c>
      <c r="BF12" s="211">
        <f t="shared" ref="BF12:BI12" si="5">+BE12</f>
        <v>53</v>
      </c>
      <c r="BG12" s="211">
        <f t="shared" si="5"/>
        <v>53</v>
      </c>
      <c r="BH12" s="211">
        <f t="shared" si="5"/>
        <v>53</v>
      </c>
      <c r="BI12" s="211">
        <f t="shared" si="5"/>
        <v>53</v>
      </c>
      <c r="BJ12" s="252"/>
      <c r="BL12"/>
      <c r="BM12"/>
      <c r="BN12"/>
      <c r="BO12"/>
      <c r="BP12"/>
      <c r="BQ12"/>
    </row>
    <row r="13" spans="2:69" s="252" customFormat="1" ht="16.5" collapsed="1" thickBot="1">
      <c r="B13" s="347" t="s">
        <v>113</v>
      </c>
      <c r="C13" s="243"/>
      <c r="D13" s="347">
        <f t="shared" ref="D13:J13" si="6">SUM(D8:D12)</f>
        <v>128752</v>
      </c>
      <c r="E13" s="347">
        <f t="shared" si="6"/>
        <v>132447</v>
      </c>
      <c r="F13" s="347">
        <f t="shared" si="6"/>
        <v>146801</v>
      </c>
      <c r="G13" s="347">
        <f>SUM(G8:G12)</f>
        <v>163786</v>
      </c>
      <c r="H13" s="347">
        <f>SUM(H8:H12)</f>
        <v>160546</v>
      </c>
      <c r="I13" s="347">
        <f ca="1">SUM(I8:I12)</f>
        <v>160888.38948074085</v>
      </c>
      <c r="J13" s="347">
        <f t="shared" ca="1" si="6"/>
        <v>161936.75174312899</v>
      </c>
      <c r="K13" s="347">
        <f t="shared" ref="K13:P13" ca="1" si="7">SUM(K8:K12)</f>
        <v>162736.07740891364</v>
      </c>
      <c r="L13" s="347">
        <f t="shared" ca="1" si="7"/>
        <v>163290.049913922</v>
      </c>
      <c r="M13" s="347">
        <f t="shared" ca="1" si="7"/>
        <v>163687.29566559926</v>
      </c>
      <c r="N13" s="347">
        <f t="shared" ca="1" si="7"/>
        <v>163953.39851196448</v>
      </c>
      <c r="O13" s="347">
        <f t="shared" ca="1" si="7"/>
        <v>164357.38198050213</v>
      </c>
      <c r="P13" s="347">
        <f t="shared" ca="1" si="7"/>
        <v>165075.99640350667</v>
      </c>
      <c r="Q13" s="243"/>
      <c r="R13" s="243"/>
      <c r="S13" s="243"/>
      <c r="T13" s="243"/>
      <c r="U13" s="243"/>
      <c r="V13" s="243"/>
      <c r="W13" s="243"/>
      <c r="X13" s="243"/>
      <c r="Y13" s="243"/>
      <c r="Z13" s="243"/>
      <c r="AA13" s="243"/>
      <c r="AB13" s="243"/>
      <c r="AC13" s="243"/>
      <c r="AD13" s="243"/>
      <c r="AE13" s="243"/>
      <c r="AF13" s="243"/>
      <c r="AG13" s="243"/>
      <c r="AH13" s="243"/>
      <c r="AI13" s="243"/>
      <c r="AJ13" s="243"/>
      <c r="AK13" s="243"/>
      <c r="AL13" s="349">
        <f>31356</f>
        <v>31356</v>
      </c>
      <c r="AM13" s="349">
        <f>32075</f>
        <v>32075</v>
      </c>
      <c r="AN13" s="349">
        <f>32158</f>
        <v>32158</v>
      </c>
      <c r="AO13" s="349">
        <f>33163</f>
        <v>33163</v>
      </c>
      <c r="AP13" s="349">
        <f>32476</f>
        <v>32476</v>
      </c>
      <c r="AQ13" s="349">
        <f>32575</f>
        <v>32575</v>
      </c>
      <c r="AR13" s="349">
        <f>32957</f>
        <v>32957</v>
      </c>
      <c r="AS13" s="349">
        <f>34439</f>
        <v>34439</v>
      </c>
      <c r="AT13" s="349">
        <f>32576</f>
        <v>32576</v>
      </c>
      <c r="AU13" s="349">
        <f>33015</f>
        <v>33015</v>
      </c>
      <c r="AV13" s="349">
        <v>39091</v>
      </c>
      <c r="AW13" s="349">
        <v>42119</v>
      </c>
      <c r="AX13" s="349">
        <v>40535</v>
      </c>
      <c r="AY13" s="349">
        <v>40520</v>
      </c>
      <c r="AZ13" s="349">
        <v>40890</v>
      </c>
      <c r="BA13" s="349">
        <v>41841</v>
      </c>
      <c r="BB13" s="349">
        <v>39365</v>
      </c>
      <c r="BC13" s="349">
        <v>39837</v>
      </c>
      <c r="BD13" s="349">
        <v>39668</v>
      </c>
      <c r="BE13" s="349">
        <v>41676</v>
      </c>
      <c r="BF13" s="347">
        <f t="shared" ref="BF13:BI13" ca="1" si="8">SUM(BF8:BF12)</f>
        <v>39507.492251870281</v>
      </c>
      <c r="BG13" s="347">
        <f t="shared" ca="1" si="8"/>
        <v>39735.158189533169</v>
      </c>
      <c r="BH13" s="347">
        <f t="shared" ca="1" si="8"/>
        <v>39846.854050890659</v>
      </c>
      <c r="BI13" s="347">
        <f t="shared" ca="1" si="8"/>
        <v>41798.884988446727</v>
      </c>
      <c r="BL13"/>
      <c r="BM13"/>
      <c r="BN13"/>
      <c r="BO13"/>
      <c r="BP13"/>
      <c r="BQ13"/>
    </row>
    <row r="14" spans="2:69" s="244" customFormat="1" ht="16.5" thickTop="1">
      <c r="B14" s="245" t="s">
        <v>252</v>
      </c>
      <c r="E14" s="244">
        <f t="shared" ref="E14:J14" si="9">+E13/D13-1</f>
        <v>2.8698583322977589E-2</v>
      </c>
      <c r="F14" s="244">
        <f t="shared" si="9"/>
        <v>0.1083754256419549</v>
      </c>
      <c r="G14" s="244">
        <f t="shared" si="9"/>
        <v>0.11570084672447734</v>
      </c>
      <c r="H14" s="244">
        <f t="shared" si="9"/>
        <v>-1.9781910541804559E-2</v>
      </c>
      <c r="I14" s="244">
        <f t="shared" ca="1" si="9"/>
        <v>2.1326565641053286E-3</v>
      </c>
      <c r="J14" s="244">
        <f t="shared" ca="1" si="9"/>
        <v>6.51608401185233E-3</v>
      </c>
      <c r="K14" s="244">
        <f t="shared" ref="K14" ca="1" si="10">+K13/J13-1</f>
        <v>4.9360361819075216E-3</v>
      </c>
      <c r="L14" s="244">
        <f t="shared" ref="L14" ca="1" si="11">+L13/K13-1</f>
        <v>3.4041161236568751E-3</v>
      </c>
      <c r="M14" s="244">
        <f t="shared" ref="M14" ca="1" si="12">+M13/L13-1</f>
        <v>2.4327615300911987E-3</v>
      </c>
      <c r="N14" s="244">
        <f t="shared" ref="N14" ca="1" si="13">+N13/M13-1</f>
        <v>1.6256780667256443E-3</v>
      </c>
      <c r="O14" s="244">
        <f t="shared" ref="O14" ca="1" si="14">+O13/N13-1</f>
        <v>2.464013995465697E-3</v>
      </c>
      <c r="P14" s="244">
        <f t="shared" ref="P14" ca="1" si="15">+P13/O13-1</f>
        <v>4.3722673989159411E-3</v>
      </c>
      <c r="AP14" s="244">
        <f>+AP13/AL13-1</f>
        <v>3.5718841688990866E-2</v>
      </c>
      <c r="AQ14" s="244">
        <f>+AQ13/AM13-1</f>
        <v>1.5588464536243185E-2</v>
      </c>
      <c r="AR14" s="244">
        <f>+AR13/AN13-1</f>
        <v>2.4846072516947482E-2</v>
      </c>
      <c r="AS14" s="244">
        <f>+AS13/AO13-1</f>
        <v>3.8476615505231626E-2</v>
      </c>
      <c r="AT14" s="244">
        <f>+AT13/AP13-1</f>
        <v>3.0791969454366797E-3</v>
      </c>
      <c r="AU14" s="244">
        <f t="shared" ref="AU14:BE14" si="16">+AU13/AQ13-1</f>
        <v>1.3507290867229571E-2</v>
      </c>
      <c r="AV14" s="244">
        <f t="shared" si="16"/>
        <v>0.186121309585217</v>
      </c>
      <c r="AW14" s="244">
        <f t="shared" si="16"/>
        <v>0.22300299079531927</v>
      </c>
      <c r="AX14" s="244">
        <f t="shared" si="16"/>
        <v>0.24432097249508833</v>
      </c>
      <c r="AY14" s="244">
        <f t="shared" si="16"/>
        <v>0.22732091473572624</v>
      </c>
      <c r="AZ14" s="244">
        <f t="shared" si="16"/>
        <v>4.6020823207387984E-2</v>
      </c>
      <c r="BA14" s="244">
        <f t="shared" si="16"/>
        <v>-6.6003466369096708E-3</v>
      </c>
      <c r="BB14" s="244">
        <f t="shared" si="16"/>
        <v>-2.8863944739114356E-2</v>
      </c>
      <c r="BC14" s="244">
        <f t="shared" si="16"/>
        <v>-1.6855873642645625E-2</v>
      </c>
      <c r="BD14" s="244">
        <f t="shared" si="16"/>
        <v>-2.9885057471264354E-2</v>
      </c>
      <c r="BE14" s="244">
        <f t="shared" si="16"/>
        <v>-3.9435003943499858E-3</v>
      </c>
      <c r="BF14" s="244">
        <f t="shared" ref="BF14" ca="1" si="17">+BF13/BB13-1</f>
        <v>3.6197701478541955E-3</v>
      </c>
      <c r="BG14" s="244">
        <f t="shared" ref="BG14" ca="1" si="18">+BG13/BC13-1</f>
        <v>-2.5564628477754425E-3</v>
      </c>
      <c r="BH14" s="244">
        <f t="shared" ref="BH14" ca="1" si="19">+BH13/BD13-1</f>
        <v>4.5087740972737933E-3</v>
      </c>
      <c r="BI14" s="244">
        <f t="shared" ref="BI14" ca="1" si="20">+BI13/BE13-1</f>
        <v>2.9485792409715827E-3</v>
      </c>
      <c r="BL14"/>
      <c r="BM14"/>
      <c r="BN14"/>
      <c r="BO14"/>
      <c r="BP14"/>
      <c r="BQ14"/>
    </row>
    <row r="16" spans="2:69" hidden="1" outlineLevel="1">
      <c r="B16" s="236" t="s">
        <v>302</v>
      </c>
      <c r="D16" s="236">
        <f>SUM(AL16:AO16)</f>
        <v>43442</v>
      </c>
      <c r="E16" s="236">
        <f>SUM(AP16:AS16)</f>
        <v>45826</v>
      </c>
      <c r="F16" s="236">
        <f>SUM(AT16:AW16)</f>
        <v>44946</v>
      </c>
      <c r="G16" s="236">
        <f>SUM(AX16:BA16)</f>
        <v>44330</v>
      </c>
      <c r="H16" s="236">
        <f t="shared" ref="H16:H20" si="21">SUM(BB16:BE16)</f>
        <v>42929</v>
      </c>
      <c r="I16" s="236">
        <f ca="1">SUM(BF16:BI16)</f>
        <v>41556.765195541469</v>
      </c>
      <c r="J16" s="425">
        <f ca="1">+'Business Solutions'!J42</f>
        <v>40024.585540451022</v>
      </c>
      <c r="K16" s="425">
        <f ca="1">+'Business Solutions'!K42</f>
        <v>39910.757137532302</v>
      </c>
      <c r="L16" s="425">
        <f ca="1">+'Business Solutions'!L42</f>
        <v>39819.995568477541</v>
      </c>
      <c r="M16" s="425">
        <f ca="1">+'Business Solutions'!M42</f>
        <v>39325.832498252828</v>
      </c>
      <c r="N16" s="425">
        <f ca="1">+'Business Solutions'!N42</f>
        <v>38744.010941423046</v>
      </c>
      <c r="O16" s="425">
        <f ca="1">+'Business Solutions'!O42</f>
        <v>38090.25053771471</v>
      </c>
      <c r="P16" s="425">
        <f ca="1">+'Business Solutions'!P42</f>
        <v>37344.645085568889</v>
      </c>
      <c r="AL16" s="236">
        <f>+'Business Solutions'!AL42</f>
        <v>10254</v>
      </c>
      <c r="AM16" s="236">
        <f>+'Business Solutions'!AM42</f>
        <v>10770</v>
      </c>
      <c r="AN16" s="236">
        <f>+'Business Solutions'!AN42</f>
        <v>10781</v>
      </c>
      <c r="AO16" s="236">
        <f>+'Business Solutions'!AO42</f>
        <v>11637</v>
      </c>
      <c r="AP16" s="236">
        <f>+'Business Solutions'!AP42</f>
        <v>10714</v>
      </c>
      <c r="AQ16" s="236">
        <f>+'Business Solutions'!AQ42</f>
        <v>10827</v>
      </c>
      <c r="AR16" s="236">
        <f>+'Business Solutions'!AR42</f>
        <v>11295</v>
      </c>
      <c r="AS16" s="236">
        <f>+'Business Solutions'!AS42</f>
        <v>12990</v>
      </c>
      <c r="AT16" s="425">
        <f>+'Business Solutions'!AT42</f>
        <v>11073</v>
      </c>
      <c r="AU16" s="425">
        <f>+'Business Solutions'!AU42</f>
        <v>10972</v>
      </c>
      <c r="AV16" s="425">
        <f>+'Business Solutions'!AV42</f>
        <v>10921</v>
      </c>
      <c r="AW16" s="425">
        <f>+'Business Solutions'!AW42</f>
        <v>11980</v>
      </c>
      <c r="AX16" s="425">
        <f>+'Business Solutions'!AX42</f>
        <v>10802</v>
      </c>
      <c r="AY16" s="425">
        <f>+'Business Solutions'!AY42</f>
        <v>10857</v>
      </c>
      <c r="AZ16" s="425">
        <f>+'Business Solutions'!AZ42</f>
        <v>10925</v>
      </c>
      <c r="BA16" s="425">
        <f>+'Business Solutions'!BA42</f>
        <v>11746</v>
      </c>
      <c r="BB16" s="425">
        <f>+'Business Solutions'!BB42</f>
        <v>10176</v>
      </c>
      <c r="BC16" s="425">
        <f>+'Business Solutions'!BC42</f>
        <v>10313</v>
      </c>
      <c r="BD16" s="425">
        <f>+'Business Solutions'!BD42</f>
        <v>10233</v>
      </c>
      <c r="BE16" s="425">
        <f>+'Business Solutions'!BE42</f>
        <v>12207</v>
      </c>
      <c r="BF16" s="425">
        <f ca="1">+'Business Solutions'!BF42</f>
        <v>9889.2916176607232</v>
      </c>
      <c r="BG16" s="425">
        <f ca="1">+'Business Solutions'!BG42</f>
        <v>9957.1818151647203</v>
      </c>
      <c r="BH16" s="425">
        <f ca="1">+'Business Solutions'!BH42</f>
        <v>9934.8008212807872</v>
      </c>
      <c r="BI16" s="425">
        <f ca="1">+'Business Solutions'!BI42</f>
        <v>11775.490941435241</v>
      </c>
      <c r="BJ16"/>
    </row>
    <row r="17" spans="2:78" hidden="1" outlineLevel="1">
      <c r="B17" s="483" t="s">
        <v>483</v>
      </c>
      <c r="C17" s="500"/>
      <c r="D17" s="483">
        <f>+'E&amp;I + International'!D11</f>
        <v>17943</v>
      </c>
      <c r="E17" s="483">
        <f>+'E&amp;I + International'!E11</f>
        <v>18992</v>
      </c>
      <c r="F17" s="483">
        <f>+'E&amp;I + International'!F11</f>
        <v>32275</v>
      </c>
      <c r="G17" s="483">
        <f>+'E&amp;I + International'!G11</f>
        <v>46168</v>
      </c>
      <c r="H17" s="483">
        <f>+'E&amp;I + International'!H11</f>
        <v>46824</v>
      </c>
      <c r="I17" s="498">
        <f>+'E&amp;I + International'!I11</f>
        <v>48271.40362843746</v>
      </c>
      <c r="J17" s="498">
        <f>+'E&amp;I + International'!J11</f>
        <v>49298.643400176676</v>
      </c>
      <c r="K17" s="498">
        <f>+'E&amp;I + International'!K11</f>
        <v>50166.779685586516</v>
      </c>
      <c r="L17" s="498">
        <f>+'E&amp;I + International'!L11</f>
        <v>50958.474396467056</v>
      </c>
      <c r="M17" s="498">
        <f>+'E&amp;I + International'!M11</f>
        <v>51755.418998977941</v>
      </c>
      <c r="N17" s="498">
        <f>+'E&amp;I + International'!N11</f>
        <v>52672.74463540547</v>
      </c>
      <c r="O17" s="498">
        <f>+'E&amp;I + International'!O11</f>
        <v>53838.839201692244</v>
      </c>
      <c r="P17" s="498">
        <f>+'E&amp;I + International'!P11</f>
        <v>55396.822328348193</v>
      </c>
      <c r="Q17" s="500"/>
      <c r="R17" s="500"/>
      <c r="S17" s="500"/>
      <c r="T17" s="500"/>
      <c r="U17" s="500"/>
      <c r="V17" s="500"/>
      <c r="W17" s="500"/>
      <c r="X17" s="500"/>
      <c r="Y17" s="500"/>
      <c r="Z17" s="500"/>
      <c r="AA17" s="500"/>
      <c r="AB17" s="500"/>
      <c r="AC17" s="500"/>
      <c r="AD17" s="500"/>
      <c r="AE17" s="500"/>
      <c r="AF17" s="500"/>
      <c r="AG17" s="500"/>
      <c r="AH17" s="500"/>
      <c r="AI17" s="500"/>
      <c r="AJ17" s="500"/>
      <c r="AK17" s="500"/>
      <c r="AL17" s="483">
        <f>+'E&amp;I + International'!AL11</f>
        <v>4425</v>
      </c>
      <c r="AM17" s="483">
        <f>+'E&amp;I + International'!AM11</f>
        <v>4419</v>
      </c>
      <c r="AN17" s="483">
        <f>+'E&amp;I + International'!AN11</f>
        <v>4526</v>
      </c>
      <c r="AO17" s="483">
        <f>+'E&amp;I + International'!AO11</f>
        <v>4573</v>
      </c>
      <c r="AP17" s="483">
        <f>+'E&amp;I + International'!AP11</f>
        <v>4654</v>
      </c>
      <c r="AQ17" s="483">
        <f>+'E&amp;I + International'!AQ11</f>
        <v>4747</v>
      </c>
      <c r="AR17" s="483">
        <f>+'E&amp;I + International'!AR11</f>
        <v>4781</v>
      </c>
      <c r="AS17" s="483">
        <f>+'E&amp;I + International'!AS11</f>
        <v>4810</v>
      </c>
      <c r="AT17" s="498">
        <f>+'E&amp;I + International'!AT11</f>
        <v>5077</v>
      </c>
      <c r="AU17" s="498">
        <f>+'E&amp;I + International'!AU11</f>
        <v>5442</v>
      </c>
      <c r="AV17" s="498">
        <f>+'E&amp;I + International'!AV11</f>
        <v>9834</v>
      </c>
      <c r="AW17" s="498">
        <f>+'E&amp;I + International'!AW11</f>
        <v>11922</v>
      </c>
      <c r="AX17" s="498">
        <f>+'E&amp;I + International'!AX11</f>
        <v>11166</v>
      </c>
      <c r="AY17" s="498">
        <f>+'E&amp;I + International'!AY11</f>
        <v>11292</v>
      </c>
      <c r="AZ17" s="498">
        <f>+'E&amp;I + International'!AZ11</f>
        <v>11368</v>
      </c>
      <c r="BA17" s="498">
        <f>+'E&amp;I + International'!BA11</f>
        <v>12342</v>
      </c>
      <c r="BB17" s="498">
        <f>+'E&amp;I + International'!BB11</f>
        <v>11360</v>
      </c>
      <c r="BC17" s="498">
        <f>+'E&amp;I + International'!BC11</f>
        <v>11330</v>
      </c>
      <c r="BD17" s="498">
        <f>+'E&amp;I + International'!BD11</f>
        <v>11890</v>
      </c>
      <c r="BE17" s="498">
        <f>+'E&amp;I + International'!BE11</f>
        <v>12244</v>
      </c>
      <c r="BF17" s="498">
        <f>+'E&amp;I + International'!BF11</f>
        <v>12111.257806452591</v>
      </c>
      <c r="BG17" s="498">
        <f>+'E&amp;I + International'!BG11</f>
        <v>12091.235850767029</v>
      </c>
      <c r="BH17" s="498">
        <f>+'E&amp;I + International'!BH11</f>
        <v>12019.999070210984</v>
      </c>
      <c r="BI17" s="498">
        <f>+'E&amp;I + International'!BI11</f>
        <v>12048.910901006851</v>
      </c>
      <c r="BJ17"/>
    </row>
    <row r="18" spans="2:78" hidden="1" outlineLevel="1">
      <c r="B18" s="236" t="s">
        <v>303</v>
      </c>
      <c r="D18" s="236">
        <f>SUM(AL18:AO18)</f>
        <v>22545</v>
      </c>
      <c r="E18" s="236">
        <f>SUM(AP18:AS18)</f>
        <v>23314</v>
      </c>
      <c r="F18" s="236">
        <f>SUM(AT18:AW18)</f>
        <v>20163</v>
      </c>
      <c r="G18" s="236">
        <f>SUM(AX18:BA18)</f>
        <v>19566</v>
      </c>
      <c r="H18" s="236">
        <f t="shared" si="21"/>
        <v>18966</v>
      </c>
      <c r="I18" s="236">
        <f ca="1">SUM(BF18:BI18)</f>
        <v>18247.664503351665</v>
      </c>
      <c r="J18" s="425">
        <f ca="1">+'Consumer Mobility'!J15</f>
        <v>18503.432458589941</v>
      </c>
      <c r="K18" s="425">
        <f ca="1">+'Consumer Mobility'!K15</f>
        <v>18485.220110926814</v>
      </c>
      <c r="L18" s="425">
        <f ca="1">+'Consumer Mobility'!L15</f>
        <v>18366.41834616194</v>
      </c>
      <c r="M18" s="425">
        <f ca="1">+'Consumer Mobility'!M15</f>
        <v>18178.147622086686</v>
      </c>
      <c r="N18" s="425">
        <f ca="1">+'Consumer Mobility'!N15</f>
        <v>17923.844511507126</v>
      </c>
      <c r="O18" s="425">
        <f ca="1">+'Consumer Mobility'!O15</f>
        <v>17651.575623185283</v>
      </c>
      <c r="P18" s="425">
        <f ca="1">+'Consumer Mobility'!P15</f>
        <v>17380.723143018244</v>
      </c>
      <c r="AL18" s="236">
        <f>+'Consumer Mobility'!AL15</f>
        <v>5276</v>
      </c>
      <c r="AM18" s="236">
        <f>+'Consumer Mobility'!AM15</f>
        <v>5437</v>
      </c>
      <c r="AN18" s="236">
        <f>+'Consumer Mobility'!AN15</f>
        <v>5502</v>
      </c>
      <c r="AO18" s="236">
        <f>+'Consumer Mobility'!AO15</f>
        <v>6330</v>
      </c>
      <c r="AP18" s="236">
        <f>+'Consumer Mobility'!AP15</f>
        <v>5419</v>
      </c>
      <c r="AQ18" s="236">
        <f>+'Consumer Mobility'!AQ15</f>
        <v>5910</v>
      </c>
      <c r="AR18" s="236">
        <f>+'Consumer Mobility'!AR15</f>
        <v>5560</v>
      </c>
      <c r="AS18" s="236">
        <f>+'Consumer Mobility'!AS15</f>
        <v>6425</v>
      </c>
      <c r="AT18" s="425">
        <f>+'Consumer Mobility'!AT15</f>
        <v>5332</v>
      </c>
      <c r="AU18" s="425">
        <f>+'Consumer Mobility'!AU15</f>
        <v>4623</v>
      </c>
      <c r="AV18" s="425">
        <f>+'Consumer Mobility'!AV15</f>
        <v>4673</v>
      </c>
      <c r="AW18" s="425">
        <f>+'Consumer Mobility'!AW15</f>
        <v>5535</v>
      </c>
      <c r="AX18" s="425">
        <f>+'Consumer Mobility'!AX15</f>
        <v>4870</v>
      </c>
      <c r="AY18" s="425">
        <f>+'Consumer Mobility'!AY15</f>
        <v>4647</v>
      </c>
      <c r="AZ18" s="425">
        <f>+'Consumer Mobility'!AZ15</f>
        <v>4734</v>
      </c>
      <c r="BA18" s="425">
        <f>+'Consumer Mobility'!BA15</f>
        <v>5315</v>
      </c>
      <c r="BB18" s="425">
        <f>+'Consumer Mobility'!BB15</f>
        <v>4528</v>
      </c>
      <c r="BC18" s="425">
        <f>+'Consumer Mobility'!BC15</f>
        <v>4520</v>
      </c>
      <c r="BD18" s="425">
        <f>+'Consumer Mobility'!BD15</f>
        <v>4551</v>
      </c>
      <c r="BE18" s="425">
        <f>+'Consumer Mobility'!BE15</f>
        <v>5367</v>
      </c>
      <c r="BF18" s="425">
        <f ca="1">+'Consumer Mobility'!BF15</f>
        <v>4377.6890926526321</v>
      </c>
      <c r="BG18" s="425">
        <f ca="1">+'Consumer Mobility'!BG15</f>
        <v>4310.5854165877618</v>
      </c>
      <c r="BH18" s="425">
        <f ca="1">+'Consumer Mobility'!BH15</f>
        <v>4351.6027883342558</v>
      </c>
      <c r="BI18" s="425">
        <f ca="1">+'Consumer Mobility'!BI15</f>
        <v>5207.7872057770155</v>
      </c>
      <c r="BJ18"/>
    </row>
    <row r="19" spans="2:78" hidden="1" outlineLevel="1">
      <c r="B19" s="483"/>
      <c r="C19" s="500"/>
      <c r="D19" s="483"/>
      <c r="E19" s="483"/>
      <c r="F19" s="483"/>
      <c r="G19" s="483"/>
      <c r="H19" s="483"/>
      <c r="I19" s="483"/>
      <c r="J19" s="498"/>
      <c r="K19" s="498"/>
      <c r="L19" s="498"/>
      <c r="M19" s="498"/>
      <c r="N19" s="498"/>
      <c r="O19" s="498"/>
      <c r="P19" s="498"/>
      <c r="Q19" s="500"/>
      <c r="R19" s="500"/>
      <c r="S19" s="500"/>
      <c r="T19" s="500"/>
      <c r="U19" s="500"/>
      <c r="V19" s="500"/>
      <c r="W19" s="500"/>
      <c r="X19" s="500"/>
      <c r="Y19" s="500"/>
      <c r="Z19" s="500"/>
      <c r="AA19" s="500"/>
      <c r="AB19" s="500"/>
      <c r="AC19" s="500"/>
      <c r="AD19" s="500"/>
      <c r="AE19" s="500"/>
      <c r="AF19" s="500"/>
      <c r="AG19" s="500"/>
      <c r="AH19" s="500"/>
      <c r="AI19" s="500"/>
      <c r="AJ19" s="500"/>
      <c r="AK19" s="500"/>
      <c r="AL19" s="500"/>
      <c r="AM19" s="500"/>
      <c r="AN19" s="500"/>
      <c r="AO19" s="500"/>
      <c r="AP19" s="483"/>
      <c r="AQ19" s="483"/>
      <c r="AR19" s="483"/>
      <c r="AS19" s="483"/>
      <c r="AT19" s="498"/>
      <c r="AU19" s="498"/>
      <c r="AV19" s="498"/>
      <c r="AW19" s="498"/>
      <c r="AX19" s="498"/>
      <c r="AY19" s="498"/>
      <c r="AZ19" s="498"/>
      <c r="BA19" s="498"/>
      <c r="BB19" s="498"/>
      <c r="BC19" s="498"/>
      <c r="BD19" s="498"/>
      <c r="BE19" s="498"/>
      <c r="BF19" s="498"/>
      <c r="BG19" s="498"/>
      <c r="BH19" s="498"/>
      <c r="BI19" s="498"/>
      <c r="BJ19"/>
    </row>
    <row r="20" spans="2:78" hidden="1" outlineLevel="1">
      <c r="B20" s="236" t="s">
        <v>304</v>
      </c>
      <c r="D20" s="236">
        <f>SUM(AL20:AO20)</f>
        <v>2987</v>
      </c>
      <c r="E20" s="236">
        <f>SUM(AP20:AS20)</f>
        <v>3054</v>
      </c>
      <c r="F20" s="236">
        <f>SUM(AT20:AW20)</f>
        <v>2287</v>
      </c>
      <c r="G20" s="236">
        <f>SUM(AX20:BA20)</f>
        <v>1243</v>
      </c>
      <c r="H20" s="236">
        <f t="shared" si="21"/>
        <v>312</v>
      </c>
      <c r="I20" s="236">
        <f>SUM(BF20:BI20)</f>
        <v>16</v>
      </c>
      <c r="J20" s="254">
        <f>+I20</f>
        <v>16</v>
      </c>
      <c r="K20" s="254">
        <f t="shared" ref="K20:P20" si="22">+J20</f>
        <v>16</v>
      </c>
      <c r="L20" s="254">
        <f t="shared" si="22"/>
        <v>16</v>
      </c>
      <c r="M20" s="254">
        <f t="shared" si="22"/>
        <v>16</v>
      </c>
      <c r="N20" s="254">
        <f t="shared" si="22"/>
        <v>16</v>
      </c>
      <c r="O20" s="254">
        <f t="shared" si="22"/>
        <v>16</v>
      </c>
      <c r="P20" s="254">
        <f t="shared" si="22"/>
        <v>16</v>
      </c>
      <c r="AL20" s="236">
        <f t="shared" ref="AL20:AV20" si="23">+AL21-SUM(AL16:AL19)</f>
        <v>899</v>
      </c>
      <c r="AM20" s="236">
        <f t="shared" si="23"/>
        <v>681</v>
      </c>
      <c r="AN20" s="236">
        <f t="shared" si="23"/>
        <v>686</v>
      </c>
      <c r="AO20" s="236">
        <f t="shared" si="23"/>
        <v>721</v>
      </c>
      <c r="AP20" s="236">
        <f t="shared" si="23"/>
        <v>656</v>
      </c>
      <c r="AQ20" s="236">
        <f t="shared" si="23"/>
        <v>705</v>
      </c>
      <c r="AR20" s="236">
        <f t="shared" si="23"/>
        <v>962</v>
      </c>
      <c r="AS20" s="236">
        <f t="shared" si="23"/>
        <v>731</v>
      </c>
      <c r="AT20" s="236">
        <f t="shared" si="23"/>
        <v>444</v>
      </c>
      <c r="AU20" s="236">
        <f t="shared" si="23"/>
        <v>814</v>
      </c>
      <c r="AV20" s="236">
        <f t="shared" si="23"/>
        <v>623</v>
      </c>
      <c r="AW20" s="236">
        <f t="shared" ref="AW20:BB20" si="24">+AW21-SUM(AW16:AW19)</f>
        <v>406</v>
      </c>
      <c r="AX20" s="236">
        <f t="shared" si="24"/>
        <v>418</v>
      </c>
      <c r="AY20" s="236">
        <f t="shared" si="24"/>
        <v>327</v>
      </c>
      <c r="AZ20" s="236">
        <f t="shared" si="24"/>
        <v>274</v>
      </c>
      <c r="BA20" s="236">
        <f t="shared" si="24"/>
        <v>224</v>
      </c>
      <c r="BB20" s="236">
        <f t="shared" si="24"/>
        <v>221</v>
      </c>
      <c r="BC20" s="236">
        <f t="shared" ref="BC20:BD20" si="25">+BC21-SUM(BC16:BC19)</f>
        <v>87</v>
      </c>
      <c r="BD20" s="236">
        <f t="shared" si="25"/>
        <v>0</v>
      </c>
      <c r="BE20" s="236">
        <f t="shared" ref="BE20" si="26">+BE21-SUM(BE16:BE19)</f>
        <v>4</v>
      </c>
      <c r="BF20" s="211">
        <f t="shared" ref="BF20" si="27">+BE20</f>
        <v>4</v>
      </c>
      <c r="BG20" s="211">
        <f t="shared" ref="BG20" si="28">+BF20</f>
        <v>4</v>
      </c>
      <c r="BH20" s="211">
        <f t="shared" ref="BH20" si="29">+BG20</f>
        <v>4</v>
      </c>
      <c r="BI20" s="211">
        <f t="shared" ref="BI20" si="30">+BH20</f>
        <v>4</v>
      </c>
      <c r="BJ20"/>
    </row>
    <row r="21" spans="2:78" s="236" customFormat="1" collapsed="1">
      <c r="B21" s="255" t="s">
        <v>272</v>
      </c>
      <c r="D21" s="256">
        <f t="shared" ref="D21:J21" si="31">SUM(D16:D20)</f>
        <v>86917</v>
      </c>
      <c r="E21" s="256">
        <f t="shared" si="31"/>
        <v>91186</v>
      </c>
      <c r="F21" s="256">
        <f t="shared" si="31"/>
        <v>99671</v>
      </c>
      <c r="G21" s="256">
        <f>SUM(G16:G20)</f>
        <v>111307</v>
      </c>
      <c r="H21" s="256">
        <f>SUM(H16:H20)</f>
        <v>109031</v>
      </c>
      <c r="I21" s="256">
        <f ca="1">SUM(I16:I20)</f>
        <v>108091.83332733059</v>
      </c>
      <c r="J21" s="256">
        <f t="shared" ca="1" si="31"/>
        <v>107842.66139921764</v>
      </c>
      <c r="K21" s="256">
        <f t="shared" ref="K21:P21" ca="1" si="32">SUM(K16:K20)</f>
        <v>108578.75693404564</v>
      </c>
      <c r="L21" s="256">
        <f t="shared" ca="1" si="32"/>
        <v>109160.88831110654</v>
      </c>
      <c r="M21" s="256">
        <f t="shared" ca="1" si="32"/>
        <v>109275.39911931746</v>
      </c>
      <c r="N21" s="256">
        <f t="shared" ca="1" si="32"/>
        <v>109356.60008833565</v>
      </c>
      <c r="O21" s="256">
        <f t="shared" ca="1" si="32"/>
        <v>109596.66536259223</v>
      </c>
      <c r="P21" s="256">
        <f t="shared" ca="1" si="32"/>
        <v>110138.19055693533</v>
      </c>
      <c r="AL21" s="257">
        <f>12521+8333</f>
        <v>20854</v>
      </c>
      <c r="AM21" s="257">
        <f>13186+8121</f>
        <v>21307</v>
      </c>
      <c r="AN21" s="258">
        <f>13314+7952+229</f>
        <v>21495</v>
      </c>
      <c r="AO21" s="258">
        <f>4870+894+6406+4008+7584-501</f>
        <v>23261</v>
      </c>
      <c r="AP21" s="258">
        <f>3928+976+8360+8260-81</f>
        <v>21443</v>
      </c>
      <c r="AQ21" s="258">
        <f>4143+1004+8942+8197-97</f>
        <v>22189</v>
      </c>
      <c r="AR21" s="258">
        <f>4432+1038+8866+8475-213</f>
        <v>22598</v>
      </c>
      <c r="AS21" s="258">
        <f>6443+1056+10957+14765-7869-396</f>
        <v>24956</v>
      </c>
      <c r="AT21" s="258">
        <f>4493+1122+8865+7961-298-217</f>
        <v>21926</v>
      </c>
      <c r="AU21" s="258">
        <f>4229+1148+9702+7467-215-364-116</f>
        <v>21851</v>
      </c>
      <c r="AV21" s="258">
        <f>4313+4081+9402+9107-250-142-303-35-122</f>
        <v>26051</v>
      </c>
      <c r="AW21" s="258">
        <f>5868+5645+8178+8419+2152-79-55-249-36</f>
        <v>29843</v>
      </c>
      <c r="AX21" s="258">
        <f>4375+4629+9396+8441-42-254-25+736</f>
        <v>27256</v>
      </c>
      <c r="AY21" s="258">
        <f>4260+4701+9514+8909-33-133-66-29</f>
        <v>27123</v>
      </c>
      <c r="AZ21" s="258">
        <f>4455+4909+9526+9013-17-189-84-260-22-17-13</f>
        <v>27301</v>
      </c>
      <c r="BA21" s="258">
        <f>5667+5612+9840+9984+361-259-78-47-1-361-27-30-1024-10</f>
        <v>29627</v>
      </c>
      <c r="BB21" s="258">
        <f>3848+4974+9065+8487-127-39-41+118</f>
        <v>26285</v>
      </c>
      <c r="BC21" s="258">
        <f>4138+4898+9218+8113-123-80-78+259-60+63-98</f>
        <v>26250</v>
      </c>
      <c r="BD21" s="258">
        <f>4191+5284+9431+8317-67-34-33-208-118-89</f>
        <v>26674</v>
      </c>
      <c r="BE21" s="258">
        <f>6532+6003+9797+10000+2914-(95+19+63+1517+2914+177+220+265+154)</f>
        <v>29822</v>
      </c>
      <c r="BF21" s="256">
        <f t="shared" ref="BF21:BI21" ca="1" si="33">SUM(BF16:BF20)</f>
        <v>26382.238516765945</v>
      </c>
      <c r="BG21" s="256">
        <f t="shared" ca="1" si="33"/>
        <v>26363.00308251951</v>
      </c>
      <c r="BH21" s="256">
        <f t="shared" ca="1" si="33"/>
        <v>26310.402679826024</v>
      </c>
      <c r="BI21" s="256">
        <f t="shared" ca="1" si="33"/>
        <v>29036.189048219108</v>
      </c>
      <c r="BJ21" s="252"/>
      <c r="BL21"/>
      <c r="BM21"/>
      <c r="BN21"/>
      <c r="BO21"/>
      <c r="BP21"/>
      <c r="BQ21"/>
      <c r="BX21" s="514"/>
      <c r="BY21" s="514"/>
      <c r="BZ21" s="514"/>
    </row>
    <row r="22" spans="2:78" s="248" customFormat="1">
      <c r="B22" s="245" t="s">
        <v>273</v>
      </c>
      <c r="C22" s="245"/>
      <c r="D22" s="248">
        <f t="shared" ref="D22:J22" si="34">+D21/D$13</f>
        <v>0.67507300857462404</v>
      </c>
      <c r="E22" s="248">
        <f t="shared" si="34"/>
        <v>0.68847161506111876</v>
      </c>
      <c r="F22" s="248">
        <f t="shared" si="34"/>
        <v>0.67895314064618084</v>
      </c>
      <c r="G22" s="248">
        <f>+G21/G$13</f>
        <v>0.67958799897427136</v>
      </c>
      <c r="H22" s="248">
        <f>+H21/H$13</f>
        <v>0.67912623173420705</v>
      </c>
      <c r="I22" s="248">
        <f ca="1">+I21/I$13</f>
        <v>0.67184359092779489</v>
      </c>
      <c r="J22" s="259">
        <f t="shared" ca="1" si="34"/>
        <v>0.66595544395186024</v>
      </c>
      <c r="K22" s="259">
        <f t="shared" ref="K22:P22" ca="1" si="35">+K21/K$13</f>
        <v>0.66720765710245877</v>
      </c>
      <c r="L22" s="259">
        <f t="shared" ca="1" si="35"/>
        <v>0.66850912452198075</v>
      </c>
      <c r="M22" s="259">
        <f t="shared" ca="1" si="35"/>
        <v>0.66758631862645479</v>
      </c>
      <c r="N22" s="259">
        <f t="shared" ca="1" si="35"/>
        <v>0.66699806823678232</v>
      </c>
      <c r="O22" s="259">
        <f t="shared" ca="1" si="35"/>
        <v>0.66681924500107814</v>
      </c>
      <c r="P22" s="259">
        <f t="shared" ca="1" si="35"/>
        <v>0.66719688480763084</v>
      </c>
      <c r="Q22" s="245"/>
      <c r="R22" s="245"/>
      <c r="S22" s="245"/>
      <c r="T22" s="245"/>
      <c r="U22" s="245"/>
      <c r="V22" s="245"/>
      <c r="W22" s="245"/>
      <c r="X22" s="245"/>
      <c r="Y22" s="245"/>
      <c r="Z22" s="245"/>
      <c r="AA22" s="245"/>
      <c r="AB22" s="245"/>
      <c r="AC22" s="245"/>
      <c r="AD22" s="245"/>
      <c r="AE22" s="245"/>
      <c r="AF22" s="245"/>
      <c r="AG22" s="245"/>
      <c r="AH22" s="245"/>
      <c r="AI22" s="245"/>
      <c r="AJ22" s="245"/>
      <c r="AK22" s="245"/>
      <c r="AL22" s="248">
        <f>+AL21/AL$13</f>
        <v>0.66507207551983671</v>
      </c>
      <c r="AM22" s="248">
        <f t="shared" ref="AM22:AU22" si="36">+AM21/AM$13</f>
        <v>0.66428682774746683</v>
      </c>
      <c r="AN22" s="248">
        <f t="shared" si="36"/>
        <v>0.66841843398221279</v>
      </c>
      <c r="AO22" s="248">
        <f t="shared" si="36"/>
        <v>0.70141422669842901</v>
      </c>
      <c r="AP22" s="248">
        <f t="shared" si="36"/>
        <v>0.66027220100997663</v>
      </c>
      <c r="AQ22" s="248">
        <f t="shared" si="36"/>
        <v>0.68116653875671529</v>
      </c>
      <c r="AR22" s="248">
        <f t="shared" si="36"/>
        <v>0.68568134235519007</v>
      </c>
      <c r="AS22" s="248">
        <f t="shared" si="36"/>
        <v>0.72464357269374835</v>
      </c>
      <c r="AT22" s="248">
        <f t="shared" si="36"/>
        <v>0.67307220039292726</v>
      </c>
      <c r="AU22" s="248">
        <f t="shared" si="36"/>
        <v>0.66185067393608965</v>
      </c>
      <c r="AV22" s="248">
        <f t="shared" ref="AV22:AW22" si="37">+AV21/AV$13</f>
        <v>0.66641938042004556</v>
      </c>
      <c r="AW22" s="248">
        <f t="shared" si="37"/>
        <v>0.70854008879603025</v>
      </c>
      <c r="AX22" s="248">
        <f t="shared" ref="AX22:BC22" si="38">+AX21/AX$13</f>
        <v>0.67240656223017148</v>
      </c>
      <c r="AY22" s="248">
        <f t="shared" si="38"/>
        <v>0.66937314906219147</v>
      </c>
      <c r="AZ22" s="248">
        <f t="shared" si="38"/>
        <v>0.66766935681095618</v>
      </c>
      <c r="BA22" s="248">
        <f t="shared" si="38"/>
        <v>0.70808537080853706</v>
      </c>
      <c r="BB22" s="248">
        <f t="shared" si="38"/>
        <v>0.66772513654261401</v>
      </c>
      <c r="BC22" s="248">
        <f t="shared" si="38"/>
        <v>0.65893516078017922</v>
      </c>
      <c r="BD22" s="248">
        <f t="shared" ref="BD22:BE22" si="39">+BD21/BD$13</f>
        <v>0.67243117878390646</v>
      </c>
      <c r="BE22" s="248">
        <f t="shared" si="39"/>
        <v>0.71556771283232556</v>
      </c>
      <c r="BF22" s="248">
        <f t="shared" ref="BF22:BI22" ca="1" si="40">+BF21/BF$13</f>
        <v>0.66777811025241707</v>
      </c>
      <c r="BG22" s="248">
        <f t="shared" ca="1" si="40"/>
        <v>0.66346792824556855</v>
      </c>
      <c r="BH22" s="248">
        <f t="shared" ca="1" si="40"/>
        <v>0.66028807810582812</v>
      </c>
      <c r="BI22" s="248">
        <f t="shared" ca="1" si="40"/>
        <v>0.69466420112031102</v>
      </c>
      <c r="BL22"/>
      <c r="BM22"/>
      <c r="BN22"/>
      <c r="BO22"/>
      <c r="BP22"/>
      <c r="BQ22"/>
      <c r="BS22" s="236"/>
      <c r="BT22" s="236"/>
      <c r="BX22" s="515"/>
      <c r="BY22" s="515"/>
      <c r="BZ22" s="514"/>
    </row>
    <row r="23" spans="2:78">
      <c r="AN23" s="236"/>
      <c r="BS23" s="236"/>
      <c r="BT23" s="236"/>
      <c r="BX23" s="514"/>
      <c r="BY23" s="514"/>
      <c r="BZ23" s="514"/>
    </row>
    <row r="24" spans="2:78" s="252" customFormat="1" ht="16.5" thickBot="1">
      <c r="B24" s="347" t="s">
        <v>282</v>
      </c>
      <c r="C24" s="246"/>
      <c r="D24" s="347">
        <f t="shared" ref="D24:J24" si="41">+D13-D21</f>
        <v>41835</v>
      </c>
      <c r="E24" s="347">
        <f t="shared" si="41"/>
        <v>41261</v>
      </c>
      <c r="F24" s="347">
        <f t="shared" si="41"/>
        <v>47130</v>
      </c>
      <c r="G24" s="347">
        <f>+G13-G21</f>
        <v>52479</v>
      </c>
      <c r="H24" s="347">
        <f>+H13-H21</f>
        <v>51515</v>
      </c>
      <c r="I24" s="347">
        <f ca="1">+I13-I21</f>
        <v>52796.55615341026</v>
      </c>
      <c r="J24" s="347">
        <f t="shared" ca="1" si="41"/>
        <v>54094.090343911346</v>
      </c>
      <c r="K24" s="347">
        <f t="shared" ref="K24:P24" ca="1" si="42">+K13-K21</f>
        <v>54157.320474868</v>
      </c>
      <c r="L24" s="347">
        <f t="shared" ca="1" si="42"/>
        <v>54129.161602815468</v>
      </c>
      <c r="M24" s="347">
        <f t="shared" ca="1" si="42"/>
        <v>54411.896546281801</v>
      </c>
      <c r="N24" s="347">
        <f t="shared" ca="1" si="42"/>
        <v>54596.798423628832</v>
      </c>
      <c r="O24" s="347">
        <f t="shared" ca="1" si="42"/>
        <v>54760.7166179099</v>
      </c>
      <c r="P24" s="347">
        <f t="shared" ca="1" si="42"/>
        <v>54937.80584657134</v>
      </c>
      <c r="Q24" s="246"/>
      <c r="R24" s="246"/>
      <c r="S24" s="246"/>
      <c r="T24" s="246"/>
      <c r="U24" s="246"/>
      <c r="V24" s="246"/>
      <c r="W24" s="246"/>
      <c r="X24" s="246"/>
      <c r="Y24" s="246"/>
      <c r="Z24" s="246"/>
      <c r="AA24" s="246"/>
      <c r="AB24" s="246"/>
      <c r="AC24" s="246"/>
      <c r="AD24" s="246"/>
      <c r="AE24" s="246"/>
      <c r="AF24" s="246"/>
      <c r="AG24" s="246"/>
      <c r="AH24" s="246"/>
      <c r="AI24" s="246"/>
      <c r="AJ24" s="246"/>
      <c r="AK24" s="246"/>
      <c r="AL24" s="347">
        <f t="shared" ref="AL24:AV24" si="43">+AL13-AL21</f>
        <v>10502</v>
      </c>
      <c r="AM24" s="347">
        <f t="shared" si="43"/>
        <v>10768</v>
      </c>
      <c r="AN24" s="347">
        <f t="shared" si="43"/>
        <v>10663</v>
      </c>
      <c r="AO24" s="347">
        <f t="shared" si="43"/>
        <v>9902</v>
      </c>
      <c r="AP24" s="347">
        <f t="shared" si="43"/>
        <v>11033</v>
      </c>
      <c r="AQ24" s="347">
        <f t="shared" si="43"/>
        <v>10386</v>
      </c>
      <c r="AR24" s="347">
        <f t="shared" si="43"/>
        <v>10359</v>
      </c>
      <c r="AS24" s="347">
        <f t="shared" si="43"/>
        <v>9483</v>
      </c>
      <c r="AT24" s="347">
        <f>+AT13-AT21</f>
        <v>10650</v>
      </c>
      <c r="AU24" s="347">
        <f t="shared" si="43"/>
        <v>11164</v>
      </c>
      <c r="AV24" s="347">
        <f t="shared" si="43"/>
        <v>13040</v>
      </c>
      <c r="AW24" s="347">
        <f t="shared" ref="AW24:BB24" si="44">+AW13-AW21</f>
        <v>12276</v>
      </c>
      <c r="AX24" s="347">
        <f t="shared" si="44"/>
        <v>13279</v>
      </c>
      <c r="AY24" s="347">
        <f t="shared" si="44"/>
        <v>13397</v>
      </c>
      <c r="AZ24" s="347">
        <f t="shared" si="44"/>
        <v>13589</v>
      </c>
      <c r="BA24" s="347">
        <f t="shared" si="44"/>
        <v>12214</v>
      </c>
      <c r="BB24" s="347">
        <f t="shared" si="44"/>
        <v>13080</v>
      </c>
      <c r="BC24" s="347">
        <f t="shared" ref="BC24:BD24" si="45">+BC13-BC21</f>
        <v>13587</v>
      </c>
      <c r="BD24" s="347">
        <f t="shared" si="45"/>
        <v>12994</v>
      </c>
      <c r="BE24" s="347">
        <f t="shared" ref="BE24" si="46">+BE13-BE21</f>
        <v>11854</v>
      </c>
      <c r="BF24" s="347">
        <f t="shared" ref="BF24:BI24" ca="1" si="47">+BF13-BF21</f>
        <v>13125.253735104336</v>
      </c>
      <c r="BG24" s="347">
        <f t="shared" ca="1" si="47"/>
        <v>13372.155107013659</v>
      </c>
      <c r="BH24" s="347">
        <f t="shared" ca="1" si="47"/>
        <v>13536.451371064635</v>
      </c>
      <c r="BI24" s="347">
        <f t="shared" ca="1" si="47"/>
        <v>12762.695940227619</v>
      </c>
      <c r="BL24"/>
      <c r="BM24"/>
      <c r="BN24"/>
      <c r="BO24"/>
      <c r="BP24"/>
      <c r="BQ24"/>
      <c r="BS24" s="236"/>
      <c r="BT24" s="236"/>
      <c r="BX24" s="516"/>
      <c r="BY24" s="516"/>
      <c r="BZ24" s="514"/>
    </row>
    <row r="25" spans="2:78" s="248" customFormat="1" ht="16.5" thickTop="1">
      <c r="B25" s="245" t="s">
        <v>258</v>
      </c>
      <c r="C25" s="245"/>
      <c r="D25" s="248">
        <f>+D24/D$13</f>
        <v>0.3249269914253759</v>
      </c>
      <c r="E25" s="248">
        <f t="shared" ref="E25:J25" si="48">+E24/E$13</f>
        <v>0.31152838493888119</v>
      </c>
      <c r="F25" s="248">
        <f t="shared" si="48"/>
        <v>0.3210468593538191</v>
      </c>
      <c r="G25" s="248">
        <f>+G24/G$13</f>
        <v>0.3204120010257287</v>
      </c>
      <c r="H25" s="248">
        <f>+H24/H$13</f>
        <v>0.320873768265793</v>
      </c>
      <c r="I25" s="248">
        <f ca="1">+I24/I$13</f>
        <v>0.32815640907220511</v>
      </c>
      <c r="J25" s="248">
        <f t="shared" ca="1" si="48"/>
        <v>0.33404455604813976</v>
      </c>
      <c r="K25" s="248">
        <f t="shared" ref="K25:P25" ca="1" si="49">+K24/K$13</f>
        <v>0.33279234289754123</v>
      </c>
      <c r="L25" s="248">
        <f t="shared" ca="1" si="49"/>
        <v>0.33149087547801925</v>
      </c>
      <c r="M25" s="248">
        <f t="shared" ca="1" si="49"/>
        <v>0.33241368137354521</v>
      </c>
      <c r="N25" s="248">
        <f t="shared" ca="1" si="49"/>
        <v>0.33300193176321768</v>
      </c>
      <c r="O25" s="248">
        <f t="shared" ca="1" si="49"/>
        <v>0.33318075499892191</v>
      </c>
      <c r="P25" s="248">
        <f t="shared" ca="1" si="49"/>
        <v>0.3328031151923691</v>
      </c>
      <c r="Q25" s="245"/>
      <c r="R25" s="245"/>
      <c r="S25" s="245"/>
      <c r="T25" s="245"/>
      <c r="U25" s="245"/>
      <c r="V25" s="245"/>
      <c r="W25" s="245"/>
      <c r="X25" s="245"/>
      <c r="Y25" s="245"/>
      <c r="Z25" s="245"/>
      <c r="AA25" s="245"/>
      <c r="AB25" s="245"/>
      <c r="AC25" s="245"/>
      <c r="AD25" s="245"/>
      <c r="AE25" s="245"/>
      <c r="AF25" s="245"/>
      <c r="AG25" s="245"/>
      <c r="AH25" s="245"/>
      <c r="AI25" s="245"/>
      <c r="AJ25" s="245"/>
      <c r="AK25" s="245"/>
      <c r="AL25" s="248">
        <f t="shared" ref="AL25:AV25" si="50">+AL24/AL$13</f>
        <v>0.33492792448016329</v>
      </c>
      <c r="AM25" s="248">
        <f t="shared" si="50"/>
        <v>0.33571317225253311</v>
      </c>
      <c r="AN25" s="248">
        <f t="shared" si="50"/>
        <v>0.33158156601778715</v>
      </c>
      <c r="AO25" s="248">
        <f t="shared" si="50"/>
        <v>0.29858577330157104</v>
      </c>
      <c r="AP25" s="248">
        <f t="shared" si="50"/>
        <v>0.33972779899002342</v>
      </c>
      <c r="AQ25" s="248">
        <f t="shared" si="50"/>
        <v>0.31883346124328471</v>
      </c>
      <c r="AR25" s="248">
        <f t="shared" si="50"/>
        <v>0.31431865764480993</v>
      </c>
      <c r="AS25" s="248">
        <f t="shared" si="50"/>
        <v>0.27535642730625165</v>
      </c>
      <c r="AT25" s="248">
        <f t="shared" si="50"/>
        <v>0.32692779960707269</v>
      </c>
      <c r="AU25" s="248">
        <f t="shared" si="50"/>
        <v>0.33814932606391035</v>
      </c>
      <c r="AV25" s="248">
        <f t="shared" si="50"/>
        <v>0.33358061957995444</v>
      </c>
      <c r="AW25" s="248">
        <f t="shared" ref="AW25:BB25" si="51">+AW24/AW$13</f>
        <v>0.29145991120396969</v>
      </c>
      <c r="AX25" s="248">
        <f t="shared" si="51"/>
        <v>0.32759343776982852</v>
      </c>
      <c r="AY25" s="248">
        <f t="shared" si="51"/>
        <v>0.33062685093780847</v>
      </c>
      <c r="AZ25" s="248">
        <f t="shared" si="51"/>
        <v>0.33233064318904376</v>
      </c>
      <c r="BA25" s="248">
        <f t="shared" si="51"/>
        <v>0.29191462919146294</v>
      </c>
      <c r="BB25" s="248">
        <f t="shared" si="51"/>
        <v>0.33227486345738599</v>
      </c>
      <c r="BC25" s="248">
        <f t="shared" ref="BC25:BD25" si="52">+BC24/BC$13</f>
        <v>0.34106483921982078</v>
      </c>
      <c r="BD25" s="248">
        <f t="shared" si="52"/>
        <v>0.3275688212160936</v>
      </c>
      <c r="BE25" s="248">
        <f t="shared" ref="BE25" si="53">+BE24/BE$13</f>
        <v>0.28443228716767444</v>
      </c>
      <c r="BF25" s="248">
        <f t="shared" ref="BF25:BI25" ca="1" si="54">+BF24/BF$13</f>
        <v>0.33222188974758293</v>
      </c>
      <c r="BG25" s="248">
        <f t="shared" ca="1" si="54"/>
        <v>0.33653207175443139</v>
      </c>
      <c r="BH25" s="248">
        <f t="shared" ca="1" si="54"/>
        <v>0.33971192189417193</v>
      </c>
      <c r="BI25" s="248">
        <f t="shared" ca="1" si="54"/>
        <v>0.30533579887968892</v>
      </c>
      <c r="BL25"/>
      <c r="BM25"/>
      <c r="BN25"/>
      <c r="BO25"/>
      <c r="BP25"/>
      <c r="BQ25"/>
      <c r="BS25" s="236"/>
      <c r="BT25" s="236"/>
      <c r="BX25" s="515"/>
      <c r="BY25" s="515"/>
      <c r="BZ25" s="514"/>
    </row>
    <row r="26" spans="2:78" s="248" customFormat="1">
      <c r="B26" s="245" t="s">
        <v>252</v>
      </c>
      <c r="C26" s="245"/>
      <c r="E26" s="244">
        <f t="shared" ref="E26:J26" si="55">+E24/D24-1</f>
        <v>-1.372056890163742E-2</v>
      </c>
      <c r="F26" s="244">
        <f t="shared" si="55"/>
        <v>0.14224085698359223</v>
      </c>
      <c r="G26" s="244">
        <f t="shared" si="55"/>
        <v>0.11349458943348179</v>
      </c>
      <c r="H26" s="244">
        <f t="shared" si="55"/>
        <v>-1.8369252462889896E-2</v>
      </c>
      <c r="I26" s="244">
        <f t="shared" ca="1" si="55"/>
        <v>2.4877339676021792E-2</v>
      </c>
      <c r="J26" s="244">
        <f t="shared" ca="1" si="55"/>
        <v>2.4576114145226757E-2</v>
      </c>
      <c r="K26" s="244">
        <f t="shared" ref="K26" ca="1" si="56">+K24/J24-1</f>
        <v>1.1688916581211739E-3</v>
      </c>
      <c r="L26" s="244">
        <f t="shared" ref="L26" ca="1" si="57">+L24/K24-1</f>
        <v>-5.1994581352299285E-4</v>
      </c>
      <c r="M26" s="244">
        <f t="shared" ref="M26" ca="1" si="58">+M24/L24-1</f>
        <v>5.2233386790832004E-3</v>
      </c>
      <c r="N26" s="244">
        <f t="shared" ref="N26" ca="1" si="59">+N24/M24-1</f>
        <v>3.398188430902449E-3</v>
      </c>
      <c r="O26" s="244">
        <f t="shared" ref="O26" ca="1" si="60">+O24/N24-1</f>
        <v>3.0023407784682821E-3</v>
      </c>
      <c r="P26" s="244">
        <f t="shared" ref="P26" ca="1" si="61">+P24/O24-1</f>
        <v>3.2338734698647009E-3</v>
      </c>
      <c r="Q26" s="245"/>
      <c r="R26" s="245"/>
      <c r="S26" s="245"/>
      <c r="T26" s="245"/>
      <c r="U26" s="245"/>
      <c r="V26" s="245"/>
      <c r="W26" s="245"/>
      <c r="X26" s="245"/>
      <c r="Y26" s="245"/>
      <c r="Z26" s="245"/>
      <c r="AA26" s="245"/>
      <c r="AB26" s="245"/>
      <c r="AC26" s="245"/>
      <c r="AD26" s="245"/>
      <c r="AE26" s="245"/>
      <c r="AF26" s="245"/>
      <c r="AG26" s="245"/>
      <c r="AH26" s="245"/>
      <c r="AI26" s="245"/>
      <c r="AJ26" s="245"/>
      <c r="AK26" s="245"/>
      <c r="AP26" s="248">
        <f t="shared" ref="AP26:AU26" si="62">+AP24/AL24-1</f>
        <v>5.0561797752809001E-2</v>
      </c>
      <c r="AQ26" s="248">
        <f t="shared" si="62"/>
        <v>-3.5475482912332823E-2</v>
      </c>
      <c r="AR26" s="248">
        <f t="shared" si="62"/>
        <v>-2.8509800243833872E-2</v>
      </c>
      <c r="AS26" s="248">
        <f t="shared" si="62"/>
        <v>-4.2314683902242023E-2</v>
      </c>
      <c r="AT26" s="248">
        <f t="shared" si="62"/>
        <v>-3.4714039699084598E-2</v>
      </c>
      <c r="AU26" s="248">
        <f t="shared" si="62"/>
        <v>7.4908530714423271E-2</v>
      </c>
      <c r="BF26" s="248">
        <f t="shared" ref="BF26" ca="1" si="63">+BF24/BB24-1</f>
        <v>3.4597656807595634E-3</v>
      </c>
      <c r="BG26" s="248">
        <f t="shared" ref="BG26" ca="1" si="64">+BG24/BC24-1</f>
        <v>-1.5812533523687389E-2</v>
      </c>
      <c r="BH26" s="248">
        <f t="shared" ref="BH26" ca="1" si="65">+BH24/BD24-1</f>
        <v>4.1746296064694155E-2</v>
      </c>
      <c r="BI26" s="248">
        <f t="shared" ref="BI26" ca="1" si="66">+BI24/BE24-1</f>
        <v>7.6657325816401167E-2</v>
      </c>
      <c r="BL26"/>
      <c r="BM26"/>
      <c r="BN26"/>
      <c r="BO26"/>
      <c r="BP26"/>
      <c r="BQ26"/>
      <c r="BS26" s="236"/>
      <c r="BT26" s="236"/>
      <c r="BX26" s="515"/>
      <c r="BY26" s="515"/>
      <c r="BZ26" s="514"/>
    </row>
    <row r="27" spans="2:78">
      <c r="BS27" s="236"/>
      <c r="BT27" s="236"/>
      <c r="BX27" s="514"/>
      <c r="BY27" s="514"/>
    </row>
    <row r="28" spans="2:78" s="236" customFormat="1" hidden="1" outlineLevel="1">
      <c r="B28" s="236" t="s">
        <v>302</v>
      </c>
      <c r="D28" s="236">
        <f>SUM(AL28:AO28)</f>
        <v>8965</v>
      </c>
      <c r="E28" s="236">
        <f>SUM(AP28:AS28)</f>
        <v>9355</v>
      </c>
      <c r="F28" s="236">
        <f>SUM(AT28:AW28)</f>
        <v>9789</v>
      </c>
      <c r="G28" s="236">
        <f>SUM(AX28:BA28)</f>
        <v>9832</v>
      </c>
      <c r="H28" s="236">
        <f t="shared" ref="H28:H32" si="67">SUM(BB28:BE28)</f>
        <v>9327</v>
      </c>
      <c r="I28" s="236">
        <f ca="1">SUM(BF28:BI28)</f>
        <v>8909.4276832956311</v>
      </c>
      <c r="J28" s="425">
        <f ca="1">+'Business Solutions'!J57</f>
        <v>9167.7466267381988</v>
      </c>
      <c r="K28" s="425">
        <f ca="1">+'Business Solutions'!K57</f>
        <v>9138.1864773872367</v>
      </c>
      <c r="L28" s="425">
        <f ca="1">+'Business Solutions'!L57</f>
        <v>9117.6688427245026</v>
      </c>
      <c r="M28" s="425">
        <f ca="1">+'Business Solutions'!M57</f>
        <v>9096.2513622673596</v>
      </c>
      <c r="N28" s="425">
        <f ca="1">+'Business Solutions'!N57</f>
        <v>9057.8429695745835</v>
      </c>
      <c r="O28" s="425">
        <f ca="1">+'Business Solutions'!O57</f>
        <v>9003.035573096633</v>
      </c>
      <c r="P28" s="425">
        <f ca="1">+'Business Solutions'!P57</f>
        <v>8926.0049339483485</v>
      </c>
      <c r="AL28" s="236">
        <f>+'Business Solutions'!AL57</f>
        <v>2170</v>
      </c>
      <c r="AM28" s="236">
        <f>+'Business Solutions'!AM57</f>
        <v>2218</v>
      </c>
      <c r="AN28" s="236">
        <f>+'Business Solutions'!AN57</f>
        <v>2261</v>
      </c>
      <c r="AO28" s="236">
        <f>+'Business Solutions'!AO57</f>
        <v>2316</v>
      </c>
      <c r="AP28" s="236">
        <f>+'Business Solutions'!AP57</f>
        <v>2364</v>
      </c>
      <c r="AQ28" s="236">
        <f>+'Business Solutions'!AQ57</f>
        <v>2314</v>
      </c>
      <c r="AR28" s="236">
        <f>+'Business Solutions'!AR57</f>
        <v>2331</v>
      </c>
      <c r="AS28" s="236">
        <f>+'Business Solutions'!AS57</f>
        <v>2346</v>
      </c>
      <c r="AT28" s="425">
        <f>+'Business Solutions'!AT57</f>
        <v>2342</v>
      </c>
      <c r="AU28" s="425">
        <f>+'Business Solutions'!AU57</f>
        <v>2460</v>
      </c>
      <c r="AV28" s="425">
        <f>+'Business Solutions'!AV57</f>
        <v>2474</v>
      </c>
      <c r="AW28" s="425">
        <f>+'Business Solutions'!AW57</f>
        <v>2513</v>
      </c>
      <c r="AX28" s="425">
        <f>+'Business Solutions'!AX57</f>
        <v>2508</v>
      </c>
      <c r="AY28" s="425">
        <f>+'Business Solutions'!AY57</f>
        <v>2521</v>
      </c>
      <c r="AZ28" s="425">
        <f>+'Business Solutions'!AZ57</f>
        <v>2539</v>
      </c>
      <c r="BA28" s="425">
        <f>+'Business Solutions'!BA57</f>
        <v>2264</v>
      </c>
      <c r="BB28" s="425">
        <f>+'Business Solutions'!BB57</f>
        <v>2312</v>
      </c>
      <c r="BC28" s="425">
        <f>+'Business Solutions'!BC57</f>
        <v>2335</v>
      </c>
      <c r="BD28" s="425">
        <f>+'Business Solutions'!BD57</f>
        <v>2325</v>
      </c>
      <c r="BE28" s="425">
        <f>+'Business Solutions'!BE57</f>
        <v>2355</v>
      </c>
      <c r="BF28" s="425">
        <f ca="1">+'Business Solutions'!BF57</f>
        <v>2192.0769649733197</v>
      </c>
      <c r="BG28" s="425">
        <f ca="1">+'Business Solutions'!BG57</f>
        <v>2196.932773593011</v>
      </c>
      <c r="BH28" s="425">
        <f ca="1">+'Business Solutions'!BH57</f>
        <v>2199.9848417677595</v>
      </c>
      <c r="BI28" s="425">
        <f ca="1">+'Business Solutions'!BI57</f>
        <v>2320.4331029615414</v>
      </c>
      <c r="BL28"/>
      <c r="BM28"/>
      <c r="BN28"/>
      <c r="BO28"/>
      <c r="BP28"/>
      <c r="BQ28"/>
      <c r="BX28" s="514"/>
      <c r="BY28" s="514"/>
    </row>
    <row r="29" spans="2:78" s="236" customFormat="1" hidden="1" outlineLevel="1">
      <c r="B29" s="483" t="s">
        <v>483</v>
      </c>
      <c r="C29" s="483"/>
      <c r="D29" s="483">
        <f>+'E&amp;I + International'!D17</f>
        <v>4815</v>
      </c>
      <c r="E29" s="483">
        <f>+'E&amp;I + International'!E17</f>
        <v>4473</v>
      </c>
      <c r="F29" s="483">
        <f>+'E&amp;I + International'!F17</f>
        <v>5600</v>
      </c>
      <c r="G29" s="483">
        <f>+'E&amp;I + International'!G17</f>
        <v>7028</v>
      </c>
      <c r="H29" s="483">
        <f>+'E&amp;I + International'!H17</f>
        <v>6841</v>
      </c>
      <c r="I29" s="498">
        <f>+'E&amp;I + International'!I17</f>
        <v>6682.3788298581803</v>
      </c>
      <c r="J29" s="498">
        <f>+'E&amp;I + International'!J17</f>
        <v>7016.3327938986477</v>
      </c>
      <c r="K29" s="498">
        <f>+'E&amp;I + International'!K17</f>
        <v>7150.0427677919879</v>
      </c>
      <c r="L29" s="498">
        <f>+'E&amp;I + International'!L17</f>
        <v>7271.2951957093665</v>
      </c>
      <c r="M29" s="498">
        <f>+'E&amp;I + International'!M17</f>
        <v>7391.0432328697516</v>
      </c>
      <c r="N29" s="498">
        <f>+'E&amp;I + International'!N17</f>
        <v>7525.0796386928214</v>
      </c>
      <c r="O29" s="498">
        <f>+'E&amp;I + International'!O17</f>
        <v>7691.0595508879333</v>
      </c>
      <c r="P29" s="498">
        <f>+'E&amp;I + International'!P17</f>
        <v>7908.6309336921531</v>
      </c>
      <c r="Q29" s="483"/>
      <c r="R29" s="483"/>
      <c r="S29" s="483"/>
      <c r="T29" s="483"/>
      <c r="U29" s="483"/>
      <c r="V29" s="483"/>
      <c r="W29" s="483"/>
      <c r="X29" s="483"/>
      <c r="Y29" s="483"/>
      <c r="Z29" s="483"/>
      <c r="AA29" s="483"/>
      <c r="AB29" s="483"/>
      <c r="AC29" s="483"/>
      <c r="AD29" s="483"/>
      <c r="AE29" s="483"/>
      <c r="AF29" s="483"/>
      <c r="AG29" s="483"/>
      <c r="AH29" s="483"/>
      <c r="AI29" s="483"/>
      <c r="AJ29" s="483"/>
      <c r="AK29" s="483"/>
      <c r="AL29" s="483">
        <f>+'E&amp;I + International'!AL17</f>
        <v>1196</v>
      </c>
      <c r="AM29" s="483">
        <f>+'E&amp;I + International'!AM17</f>
        <v>1202</v>
      </c>
      <c r="AN29" s="483">
        <f>+'E&amp;I + International'!AN17</f>
        <v>1206</v>
      </c>
      <c r="AO29" s="483">
        <f>+'E&amp;I + International'!AO17</f>
        <v>1211</v>
      </c>
      <c r="AP29" s="483">
        <f>+'E&amp;I + International'!AP17</f>
        <v>1188</v>
      </c>
      <c r="AQ29" s="483">
        <f>+'E&amp;I + International'!AQ17</f>
        <v>1099</v>
      </c>
      <c r="AR29" s="483">
        <f>+'E&amp;I + International'!AR17</f>
        <v>1109</v>
      </c>
      <c r="AS29" s="483">
        <f>+'E&amp;I + International'!AS17</f>
        <v>1077</v>
      </c>
      <c r="AT29" s="498">
        <f>+'E&amp;I + International'!AT17</f>
        <v>1093</v>
      </c>
      <c r="AU29" s="498">
        <f>+'E&amp;I + International'!AU17</f>
        <v>1158</v>
      </c>
      <c r="AV29" s="498">
        <f>+'E&amp;I + International'!AV17</f>
        <v>1614</v>
      </c>
      <c r="AW29" s="498">
        <f>+'E&amp;I + International'!AW17</f>
        <v>1735</v>
      </c>
      <c r="AX29" s="498">
        <f>+'E&amp;I + International'!AX17</f>
        <v>1765</v>
      </c>
      <c r="AY29" s="498">
        <f>+'E&amp;I + International'!AY17</f>
        <v>1787</v>
      </c>
      <c r="AZ29" s="498">
        <f>+'E&amp;I + International'!AZ17</f>
        <v>1797</v>
      </c>
      <c r="BA29" s="498">
        <f>+'E&amp;I + International'!BA17</f>
        <v>1679</v>
      </c>
      <c r="BB29" s="498">
        <f>+'E&amp;I + International'!BB17</f>
        <v>1709</v>
      </c>
      <c r="BC29" s="498">
        <f>+'E&amp;I + International'!BC17</f>
        <v>1769</v>
      </c>
      <c r="BD29" s="498">
        <f>+'E&amp;I + International'!BD17</f>
        <v>1683</v>
      </c>
      <c r="BE29" s="498">
        <f>+'E&amp;I + International'!BE17</f>
        <v>1680</v>
      </c>
      <c r="BF29" s="498">
        <f>+'E&amp;I + International'!BF17</f>
        <v>1664.6357640032891</v>
      </c>
      <c r="BG29" s="498">
        <f>+'E&amp;I + International'!BG17</f>
        <v>1669.3901941660713</v>
      </c>
      <c r="BH29" s="498">
        <f>+'E&amp;I + International'!BH17</f>
        <v>1667.8471285429589</v>
      </c>
      <c r="BI29" s="498">
        <f>+'E&amp;I + International'!BI17</f>
        <v>1680.5057431458604</v>
      </c>
      <c r="BL29"/>
      <c r="BM29"/>
      <c r="BN29"/>
      <c r="BO29"/>
      <c r="BP29"/>
      <c r="BQ29"/>
      <c r="BX29" s="514"/>
      <c r="BY29" s="514"/>
    </row>
    <row r="30" spans="2:78" s="236" customFormat="1" hidden="1" outlineLevel="1">
      <c r="B30" s="236" t="s">
        <v>303</v>
      </c>
      <c r="D30" s="236">
        <f>SUM(AL30:AO30)</f>
        <v>3683</v>
      </c>
      <c r="E30" s="236">
        <f>SUM(AP30:AS30)</f>
        <v>3827</v>
      </c>
      <c r="F30" s="236">
        <f>SUM(AT30:AW30)</f>
        <v>3851</v>
      </c>
      <c r="G30" s="236">
        <f>SUM(AX30:BA30)</f>
        <v>3716</v>
      </c>
      <c r="H30" s="236">
        <f t="shared" si="67"/>
        <v>3507</v>
      </c>
      <c r="I30" s="236">
        <f ca="1">SUM(BF30:BI30)</f>
        <v>3309.8633949805671</v>
      </c>
      <c r="J30" s="425">
        <f ca="1">+'Consumer Mobility'!J24</f>
        <v>3384.9209287755784</v>
      </c>
      <c r="K30" s="425">
        <f ca="1">+'Consumer Mobility'!K24</f>
        <v>3410.7193266722206</v>
      </c>
      <c r="L30" s="425">
        <f ca="1">+'Consumer Mobility'!L24</f>
        <v>3418.2449731393158</v>
      </c>
      <c r="M30" s="425">
        <f ca="1">+'Consumer Mobility'!M24</f>
        <v>3412.8600849900413</v>
      </c>
      <c r="N30" s="425">
        <f ca="1">+'Consumer Mobility'!N24</f>
        <v>3394.8730703891993</v>
      </c>
      <c r="O30" s="425">
        <f ca="1">+'Consumer Mobility'!O24</f>
        <v>3373.1319306956257</v>
      </c>
      <c r="P30" s="425">
        <f ca="1">+'Consumer Mobility'!P24</f>
        <v>3351.2724669622689</v>
      </c>
      <c r="AL30" s="236">
        <f>+'Consumer Mobility'!AL24</f>
        <v>890</v>
      </c>
      <c r="AM30" s="236">
        <f>+'Consumer Mobility'!AM24</f>
        <v>905</v>
      </c>
      <c r="AN30" s="236">
        <f>+'Consumer Mobility'!AN24</f>
        <v>929</v>
      </c>
      <c r="AO30" s="236">
        <f>+'Consumer Mobility'!AO24</f>
        <v>959</v>
      </c>
      <c r="AP30" s="236">
        <f>+'Consumer Mobility'!AP24</f>
        <v>915</v>
      </c>
      <c r="AQ30" s="236">
        <f>+'Consumer Mobility'!AQ24</f>
        <v>981</v>
      </c>
      <c r="AR30" s="236">
        <f>+'Consumer Mobility'!AR24</f>
        <v>950</v>
      </c>
      <c r="AS30" s="236">
        <f>+'Consumer Mobility'!AS24</f>
        <v>981</v>
      </c>
      <c r="AT30" s="425">
        <f>+'Consumer Mobility'!AT24</f>
        <v>1002</v>
      </c>
      <c r="AU30" s="425">
        <f>+'Consumer Mobility'!AU24</f>
        <v>934</v>
      </c>
      <c r="AV30" s="425">
        <f>+'Consumer Mobility'!AV24</f>
        <v>976</v>
      </c>
      <c r="AW30" s="425">
        <f>+'Consumer Mobility'!AW24</f>
        <v>939</v>
      </c>
      <c r="AX30" s="425">
        <f>+'Consumer Mobility'!AX24</f>
        <v>922</v>
      </c>
      <c r="AY30" s="425">
        <f>+'Consumer Mobility'!AY24</f>
        <v>932</v>
      </c>
      <c r="AZ30" s="425">
        <f>+'Consumer Mobility'!AZ24</f>
        <v>944</v>
      </c>
      <c r="BA30" s="425">
        <f>+'Consumer Mobility'!BA24</f>
        <v>918</v>
      </c>
      <c r="BB30" s="425">
        <f>+'Consumer Mobility'!BB24</f>
        <v>873</v>
      </c>
      <c r="BC30" s="425">
        <f>+'Consumer Mobility'!BC24</f>
        <v>871</v>
      </c>
      <c r="BD30" s="425">
        <f>+'Consumer Mobility'!BD24</f>
        <v>877</v>
      </c>
      <c r="BE30" s="425">
        <f>+'Consumer Mobility'!BE24</f>
        <v>886</v>
      </c>
      <c r="BF30" s="425">
        <f ca="1">+'Consumer Mobility'!BF24</f>
        <v>808.47632250127322</v>
      </c>
      <c r="BG30" s="425">
        <f ca="1">+'Consumer Mobility'!BG24</f>
        <v>811.44367726043617</v>
      </c>
      <c r="BH30" s="425">
        <f ca="1">+'Consumer Mobility'!BH24</f>
        <v>811.66108590621093</v>
      </c>
      <c r="BI30" s="425">
        <f ca="1">+'Consumer Mobility'!BI24</f>
        <v>878.28230931264739</v>
      </c>
      <c r="BL30"/>
      <c r="BM30"/>
      <c r="BN30"/>
      <c r="BO30"/>
      <c r="BP30"/>
      <c r="BQ30"/>
      <c r="BX30" s="514"/>
      <c r="BY30" s="514"/>
    </row>
    <row r="31" spans="2:78" s="236" customFormat="1" hidden="1" outlineLevel="1">
      <c r="B31" s="483"/>
      <c r="C31" s="483"/>
      <c r="D31" s="483"/>
      <c r="E31" s="483"/>
      <c r="F31" s="483"/>
      <c r="G31" s="483"/>
      <c r="H31" s="483"/>
      <c r="I31" s="483"/>
      <c r="J31" s="498"/>
      <c r="K31" s="498"/>
      <c r="L31" s="498"/>
      <c r="M31" s="498"/>
      <c r="N31" s="498"/>
      <c r="O31" s="498"/>
      <c r="P31" s="498"/>
      <c r="Q31" s="483"/>
      <c r="R31" s="483"/>
      <c r="S31" s="483"/>
      <c r="T31" s="483"/>
      <c r="U31" s="483"/>
      <c r="V31" s="483"/>
      <c r="W31" s="483"/>
      <c r="X31" s="483"/>
      <c r="Y31" s="483"/>
      <c r="Z31" s="483"/>
      <c r="AA31" s="483"/>
      <c r="AB31" s="483"/>
      <c r="AC31" s="483"/>
      <c r="AD31" s="483"/>
      <c r="AE31" s="483"/>
      <c r="AF31" s="483"/>
      <c r="AG31" s="483"/>
      <c r="AH31" s="483"/>
      <c r="AI31" s="483"/>
      <c r="AJ31" s="483"/>
      <c r="AK31" s="483"/>
      <c r="AL31" s="483"/>
      <c r="AM31" s="483"/>
      <c r="AN31" s="483"/>
      <c r="AO31" s="483"/>
      <c r="AP31" s="483"/>
      <c r="AQ31" s="483"/>
      <c r="AR31" s="483"/>
      <c r="AS31" s="483"/>
      <c r="AT31" s="498"/>
      <c r="AU31" s="498"/>
      <c r="AV31" s="498"/>
      <c r="AW31" s="498"/>
      <c r="AX31" s="498"/>
      <c r="AY31" s="498"/>
      <c r="AZ31" s="498"/>
      <c r="BA31" s="498"/>
      <c r="BB31" s="498"/>
      <c r="BC31" s="498"/>
      <c r="BD31" s="498"/>
      <c r="BE31" s="498"/>
      <c r="BF31" s="498"/>
      <c r="BG31" s="498"/>
      <c r="BH31" s="498"/>
      <c r="BI31" s="498"/>
      <c r="BL31"/>
      <c r="BM31"/>
      <c r="BN31"/>
      <c r="BO31"/>
      <c r="BP31"/>
      <c r="BQ31"/>
      <c r="BX31" s="514"/>
      <c r="BY31" s="514"/>
    </row>
    <row r="32" spans="2:78" s="236" customFormat="1" hidden="1" outlineLevel="1">
      <c r="B32" s="236" t="s">
        <v>304</v>
      </c>
      <c r="D32" s="236">
        <f>SUM(AL32:AO32)</f>
        <v>932</v>
      </c>
      <c r="E32" s="236">
        <f>SUM(AP32:AS32)</f>
        <v>457</v>
      </c>
      <c r="F32" s="236">
        <f>SUM(AT32:AW32)</f>
        <v>219</v>
      </c>
      <c r="G32" s="236">
        <f>SUM(AX32:BA32)</f>
        <v>65</v>
      </c>
      <c r="H32" s="236">
        <f t="shared" si="67"/>
        <v>71</v>
      </c>
      <c r="I32" s="236">
        <f>SUM(BF32:BI32)</f>
        <v>68</v>
      </c>
      <c r="J32" s="254">
        <f>+I32</f>
        <v>68</v>
      </c>
      <c r="K32" s="254">
        <f t="shared" ref="K32:P32" si="68">+J32</f>
        <v>68</v>
      </c>
      <c r="L32" s="254">
        <f t="shared" si="68"/>
        <v>68</v>
      </c>
      <c r="M32" s="254">
        <f t="shared" si="68"/>
        <v>68</v>
      </c>
      <c r="N32" s="254">
        <f t="shared" si="68"/>
        <v>68</v>
      </c>
      <c r="O32" s="254">
        <f t="shared" si="68"/>
        <v>68</v>
      </c>
      <c r="P32" s="254">
        <f t="shared" si="68"/>
        <v>68</v>
      </c>
      <c r="AL32" s="236">
        <f>+AL33-SUM(AL28:AL31)</f>
        <v>273</v>
      </c>
      <c r="AM32" s="236">
        <f>+AM33-SUM(AM28:AM31)</f>
        <v>246</v>
      </c>
      <c r="AN32" s="236">
        <f>+AN33-SUM(AN28:AN31)</f>
        <v>219</v>
      </c>
      <c r="AO32" s="236">
        <f>+AO33-SUM(AO28:AO31)</f>
        <v>194</v>
      </c>
      <c r="AP32" s="236">
        <f t="shared" ref="AP32:AV32" si="69">+AP33-SUM(AP28:AP31)</f>
        <v>139</v>
      </c>
      <c r="AQ32" s="236">
        <f t="shared" si="69"/>
        <v>112</v>
      </c>
      <c r="AR32" s="236">
        <f t="shared" si="69"/>
        <v>107</v>
      </c>
      <c r="AS32" s="236">
        <f t="shared" si="69"/>
        <v>99</v>
      </c>
      <c r="AT32" s="236">
        <f t="shared" si="69"/>
        <v>91</v>
      </c>
      <c r="AU32" s="236">
        <f t="shared" si="69"/>
        <v>81</v>
      </c>
      <c r="AV32" s="236">
        <f t="shared" si="69"/>
        <v>30</v>
      </c>
      <c r="AW32" s="236">
        <f t="shared" ref="AW32:BB32" si="70">+AW33-SUM(AW28:AW31)</f>
        <v>17</v>
      </c>
      <c r="AX32" s="236">
        <f t="shared" si="70"/>
        <v>17</v>
      </c>
      <c r="AY32" s="236">
        <f t="shared" si="70"/>
        <v>20</v>
      </c>
      <c r="AZ32" s="236">
        <f t="shared" si="70"/>
        <v>17</v>
      </c>
      <c r="BA32" s="236">
        <f t="shared" si="70"/>
        <v>11</v>
      </c>
      <c r="BB32" s="236">
        <f t="shared" si="70"/>
        <v>31</v>
      </c>
      <c r="BC32" s="236">
        <f t="shared" ref="BC32:BD32" si="71">+BC33-SUM(BC28:BC31)</f>
        <v>2</v>
      </c>
      <c r="BD32" s="236">
        <f t="shared" si="71"/>
        <v>21</v>
      </c>
      <c r="BE32" s="236">
        <f t="shared" ref="BE32" si="72">+BE33-SUM(BE28:BE31)</f>
        <v>17</v>
      </c>
      <c r="BF32" s="254">
        <f t="shared" ref="BF32:BI32" si="73">+BE32</f>
        <v>17</v>
      </c>
      <c r="BG32" s="254">
        <f t="shared" si="73"/>
        <v>17</v>
      </c>
      <c r="BH32" s="254">
        <f t="shared" si="73"/>
        <v>17</v>
      </c>
      <c r="BI32" s="254">
        <f t="shared" si="73"/>
        <v>17</v>
      </c>
      <c r="BL32"/>
      <c r="BM32"/>
      <c r="BN32"/>
      <c r="BO32"/>
      <c r="BP32"/>
      <c r="BQ32"/>
      <c r="BX32" s="514"/>
      <c r="BY32" s="514"/>
    </row>
    <row r="33" spans="2:77" s="236" customFormat="1" collapsed="1">
      <c r="B33" s="255" t="s">
        <v>274</v>
      </c>
      <c r="D33" s="256">
        <f t="shared" ref="D33:J33" si="74">SUM(D28:D32)</f>
        <v>18395</v>
      </c>
      <c r="E33" s="256">
        <f t="shared" si="74"/>
        <v>18112</v>
      </c>
      <c r="F33" s="256">
        <f t="shared" si="74"/>
        <v>19459</v>
      </c>
      <c r="G33" s="256">
        <f>SUM(G28:G32)</f>
        <v>20641</v>
      </c>
      <c r="H33" s="256">
        <f>SUM(H28:H32)</f>
        <v>19746</v>
      </c>
      <c r="I33" s="256">
        <f ca="1">SUM(I28:I32)</f>
        <v>18969.66990813438</v>
      </c>
      <c r="J33" s="256">
        <f t="shared" ca="1" si="74"/>
        <v>19637.000349412425</v>
      </c>
      <c r="K33" s="256">
        <f t="shared" ref="K33:P33" ca="1" si="75">SUM(K28:K32)</f>
        <v>19766.948571851444</v>
      </c>
      <c r="L33" s="256">
        <f t="shared" ca="1" si="75"/>
        <v>19875.209011573188</v>
      </c>
      <c r="M33" s="256">
        <f t="shared" ca="1" si="75"/>
        <v>19968.154680127154</v>
      </c>
      <c r="N33" s="256">
        <f t="shared" ca="1" si="75"/>
        <v>20045.795678656606</v>
      </c>
      <c r="O33" s="256">
        <f t="shared" ca="1" si="75"/>
        <v>20135.227054680192</v>
      </c>
      <c r="P33" s="256">
        <f t="shared" ca="1" si="75"/>
        <v>20253.908334602769</v>
      </c>
      <c r="AL33" s="257">
        <f>4529</f>
        <v>4529</v>
      </c>
      <c r="AM33" s="257">
        <f>4571</f>
        <v>4571</v>
      </c>
      <c r="AN33" s="257">
        <f>4615</f>
        <v>4615</v>
      </c>
      <c r="AO33" s="257">
        <f>4680</f>
        <v>4680</v>
      </c>
      <c r="AP33" s="258">
        <f>4617-92+81</f>
        <v>4606</v>
      </c>
      <c r="AQ33" s="258">
        <f>4550-141+97</f>
        <v>4506</v>
      </c>
      <c r="AR33" s="258">
        <f>4539-255+213</f>
        <v>4497</v>
      </c>
      <c r="AS33" s="258">
        <f>4567-460+396</f>
        <v>4503</v>
      </c>
      <c r="AT33" s="258">
        <f>4578-348+298</f>
        <v>4528</v>
      </c>
      <c r="AU33" s="258">
        <f>4696-247-364-147+215+364+116</f>
        <v>4633</v>
      </c>
      <c r="AV33" s="258">
        <f>6265-1171</f>
        <v>5094</v>
      </c>
      <c r="AW33" s="258">
        <f>6477-1273</f>
        <v>5204</v>
      </c>
      <c r="AX33" s="258">
        <f>6563-1351</f>
        <v>5212</v>
      </c>
      <c r="AY33" s="258">
        <f>6576-1316</f>
        <v>5260</v>
      </c>
      <c r="AZ33" s="258">
        <f>6579-1282</f>
        <v>5297</v>
      </c>
      <c r="BA33" s="258">
        <f>6129-1228-29</f>
        <v>4872</v>
      </c>
      <c r="BB33" s="258">
        <f>6127-1202</f>
        <v>4925</v>
      </c>
      <c r="BC33" s="258">
        <f>6147-1170</f>
        <v>4977</v>
      </c>
      <c r="BD33" s="258">
        <f>6042-1136</f>
        <v>4906</v>
      </c>
      <c r="BE33" s="258">
        <f>6071-1100-33</f>
        <v>4938</v>
      </c>
      <c r="BF33" s="255">
        <f t="shared" ref="BF33:BI33" ca="1" si="76">+SUM(BF28:BF32)</f>
        <v>4682.1890514778815</v>
      </c>
      <c r="BG33" s="255">
        <f t="shared" ca="1" si="76"/>
        <v>4694.7666450195184</v>
      </c>
      <c r="BH33" s="255">
        <f t="shared" ca="1" si="76"/>
        <v>4696.4930562169293</v>
      </c>
      <c r="BI33" s="255">
        <f t="shared" ca="1" si="76"/>
        <v>4896.2211554200494</v>
      </c>
      <c r="BJ33" s="252"/>
      <c r="BL33"/>
      <c r="BM33"/>
      <c r="BN33"/>
      <c r="BO33"/>
      <c r="BP33"/>
      <c r="BQ33"/>
      <c r="BX33" s="514"/>
      <c r="BY33" s="514"/>
    </row>
    <row r="34" spans="2:77" s="248" customFormat="1">
      <c r="B34" s="245" t="s">
        <v>273</v>
      </c>
      <c r="C34" s="245"/>
      <c r="D34" s="248">
        <f t="shared" ref="D34:J34" si="77">+D33/D$13</f>
        <v>0.14287156704361875</v>
      </c>
      <c r="E34" s="248">
        <f t="shared" si="77"/>
        <v>0.13674903923833684</v>
      </c>
      <c r="F34" s="248">
        <f t="shared" si="77"/>
        <v>0.13255359295917601</v>
      </c>
      <c r="G34" s="248">
        <f>+G33/G$13</f>
        <v>0.12602420231277398</v>
      </c>
      <c r="H34" s="248">
        <f>+H33/H$13</f>
        <v>0.12299278711397356</v>
      </c>
      <c r="I34" s="248">
        <f ca="1">+I33/I$13</f>
        <v>0.11790577287371719</v>
      </c>
      <c r="J34" s="248">
        <f t="shared" ca="1" si="77"/>
        <v>0.12126339535673455</v>
      </c>
      <c r="K34" s="248">
        <f t="shared" ref="K34:P34" ca="1" si="78">+K33/K$13</f>
        <v>0.12146629614392276</v>
      </c>
      <c r="L34" s="248">
        <f t="shared" ca="1" si="78"/>
        <v>0.12171720825641465</v>
      </c>
      <c r="M34" s="248">
        <f t="shared" ca="1" si="78"/>
        <v>0.12198964250054312</v>
      </c>
      <c r="N34" s="248">
        <f t="shared" ca="1" si="78"/>
        <v>0.12226520377492368</v>
      </c>
      <c r="O34" s="248">
        <f t="shared" ca="1" si="78"/>
        <v>0.12250880862210893</v>
      </c>
      <c r="P34" s="248">
        <f t="shared" ca="1" si="78"/>
        <v>0.1226944484714467</v>
      </c>
      <c r="Q34" s="245"/>
      <c r="R34" s="245"/>
      <c r="S34" s="245"/>
      <c r="T34" s="245"/>
      <c r="U34" s="245"/>
      <c r="V34" s="245"/>
      <c r="W34" s="245"/>
      <c r="X34" s="245"/>
      <c r="Y34" s="245"/>
      <c r="Z34" s="245"/>
      <c r="AA34" s="245"/>
      <c r="AB34" s="245"/>
      <c r="AC34" s="245"/>
      <c r="AD34" s="245"/>
      <c r="AE34" s="245"/>
      <c r="AF34" s="245"/>
      <c r="AG34" s="245"/>
      <c r="AH34" s="245"/>
      <c r="AI34" s="245"/>
      <c r="AJ34" s="245"/>
      <c r="AK34" s="245"/>
      <c r="AL34" s="248">
        <f>+AL33/AL$13</f>
        <v>0.14443806607985712</v>
      </c>
      <c r="AM34" s="248">
        <f t="shared" ref="AM34:AU34" si="79">+AM33/AM$13</f>
        <v>0.14250974279033515</v>
      </c>
      <c r="AN34" s="248">
        <f t="shared" si="79"/>
        <v>0.14351016854281984</v>
      </c>
      <c r="AO34" s="248">
        <f t="shared" si="79"/>
        <v>0.14112112896903176</v>
      </c>
      <c r="AP34" s="248">
        <f t="shared" si="79"/>
        <v>0.14182781130681119</v>
      </c>
      <c r="AQ34" s="248">
        <f t="shared" si="79"/>
        <v>0.13832693783576364</v>
      </c>
      <c r="AR34" s="248">
        <f t="shared" si="79"/>
        <v>0.13645052644354766</v>
      </c>
      <c r="AS34" s="248">
        <f t="shared" si="79"/>
        <v>0.1307529254624118</v>
      </c>
      <c r="AT34" s="248">
        <f t="shared" si="79"/>
        <v>0.13899803536345776</v>
      </c>
      <c r="AU34" s="248">
        <f t="shared" si="79"/>
        <v>0.14033015296077542</v>
      </c>
      <c r="AV34" s="248">
        <f t="shared" ref="AV34:AW34" si="80">+AV33/AV$13</f>
        <v>0.13031132485738406</v>
      </c>
      <c r="AW34" s="248">
        <f t="shared" si="80"/>
        <v>0.1235546902822954</v>
      </c>
      <c r="AX34" s="248">
        <f t="shared" ref="AX34:BC34" si="81">+AX33/AX$13</f>
        <v>0.1285802392993709</v>
      </c>
      <c r="AY34" s="248">
        <f t="shared" si="81"/>
        <v>0.12981243830207306</v>
      </c>
      <c r="AZ34" s="248">
        <f t="shared" si="81"/>
        <v>0.12954267547077525</v>
      </c>
      <c r="BA34" s="248">
        <f t="shared" si="81"/>
        <v>0.11644081164408117</v>
      </c>
      <c r="BB34" s="248">
        <f t="shared" si="81"/>
        <v>0.12511113933697446</v>
      </c>
      <c r="BC34" s="248">
        <f t="shared" si="81"/>
        <v>0.12493410648392199</v>
      </c>
      <c r="BD34" s="248">
        <f t="shared" ref="BD34:BE34" si="82">+BD33/BD$13</f>
        <v>0.12367651507512352</v>
      </c>
      <c r="BE34" s="248">
        <f t="shared" si="82"/>
        <v>0.1184854592571264</v>
      </c>
      <c r="BF34" s="248">
        <f t="shared" ref="BF34:BI34" ca="1" si="83">+BF33/BF$13</f>
        <v>0.11851395228094305</v>
      </c>
      <c r="BG34" s="248">
        <f t="shared" ca="1" si="83"/>
        <v>0.11815145223849115</v>
      </c>
      <c r="BH34" s="248">
        <f t="shared" ca="1" si="83"/>
        <v>0.11786358466891197</v>
      </c>
      <c r="BI34" s="248">
        <f t="shared" ca="1" si="83"/>
        <v>0.11713760203826901</v>
      </c>
      <c r="BL34"/>
      <c r="BM34"/>
      <c r="BN34"/>
      <c r="BO34"/>
      <c r="BP34"/>
      <c r="BQ34"/>
      <c r="BS34" s="236"/>
      <c r="BT34" s="236"/>
      <c r="BX34" s="515"/>
      <c r="BY34" s="515"/>
    </row>
    <row r="35" spans="2:77">
      <c r="J35" s="260"/>
      <c r="K35" s="260"/>
      <c r="L35" s="260"/>
      <c r="M35" s="260"/>
      <c r="N35" s="260"/>
      <c r="O35" s="260"/>
      <c r="P35" s="260"/>
      <c r="BF35" s="260"/>
      <c r="BG35" s="260"/>
      <c r="BH35" s="260"/>
      <c r="BI35" s="260"/>
      <c r="BS35" s="236"/>
      <c r="BT35" s="236"/>
      <c r="BX35" s="514"/>
      <c r="BY35" s="514"/>
    </row>
    <row r="36" spans="2:77" s="252" customFormat="1" ht="16.5" thickBot="1">
      <c r="B36" s="347" t="s">
        <v>4</v>
      </c>
      <c r="C36" s="247"/>
      <c r="D36" s="348">
        <f t="shared" ref="D36:J36" si="84">+D24-D33</f>
        <v>23440</v>
      </c>
      <c r="E36" s="348">
        <f t="shared" si="84"/>
        <v>23149</v>
      </c>
      <c r="F36" s="348">
        <f t="shared" si="84"/>
        <v>27671</v>
      </c>
      <c r="G36" s="348">
        <f>+G24-G33</f>
        <v>31838</v>
      </c>
      <c r="H36" s="348">
        <f>+H24-H33</f>
        <v>31769</v>
      </c>
      <c r="I36" s="348">
        <f ca="1">+I24-I33</f>
        <v>33826.886245275877</v>
      </c>
      <c r="J36" s="348">
        <f t="shared" ca="1" si="84"/>
        <v>34457.089994498921</v>
      </c>
      <c r="K36" s="348">
        <f t="shared" ref="K36:P36" ca="1" si="85">+K24-K33</f>
        <v>34390.371903016552</v>
      </c>
      <c r="L36" s="348">
        <f t="shared" ca="1" si="85"/>
        <v>34253.952591242283</v>
      </c>
      <c r="M36" s="348">
        <f t="shared" ca="1" si="85"/>
        <v>34443.741866154647</v>
      </c>
      <c r="N36" s="348">
        <f t="shared" ca="1" si="85"/>
        <v>34551.002744972226</v>
      </c>
      <c r="O36" s="348">
        <f t="shared" ca="1" si="85"/>
        <v>34625.489563229712</v>
      </c>
      <c r="P36" s="348">
        <f t="shared" ca="1" si="85"/>
        <v>34683.897511968571</v>
      </c>
      <c r="Q36" s="247"/>
      <c r="R36" s="247"/>
      <c r="S36" s="247"/>
      <c r="T36" s="247"/>
      <c r="U36" s="247"/>
      <c r="V36" s="247"/>
      <c r="W36" s="247"/>
      <c r="X36" s="247"/>
      <c r="Y36" s="247"/>
      <c r="Z36" s="247"/>
      <c r="AA36" s="247"/>
      <c r="AB36" s="247"/>
      <c r="AC36" s="247"/>
      <c r="AD36" s="247"/>
      <c r="AE36" s="247"/>
      <c r="AF36" s="247"/>
      <c r="AG36" s="247"/>
      <c r="AH36" s="247"/>
      <c r="AI36" s="247"/>
      <c r="AJ36" s="247"/>
      <c r="AK36" s="247"/>
      <c r="AL36" s="347">
        <f t="shared" ref="AL36:AU36" si="86">+AL24-AL33</f>
        <v>5973</v>
      </c>
      <c r="AM36" s="347">
        <f t="shared" si="86"/>
        <v>6197</v>
      </c>
      <c r="AN36" s="347">
        <f t="shared" si="86"/>
        <v>6048</v>
      </c>
      <c r="AO36" s="347">
        <f t="shared" si="86"/>
        <v>5222</v>
      </c>
      <c r="AP36" s="347">
        <f t="shared" si="86"/>
        <v>6427</v>
      </c>
      <c r="AQ36" s="347">
        <f t="shared" si="86"/>
        <v>5880</v>
      </c>
      <c r="AR36" s="347">
        <f t="shared" si="86"/>
        <v>5862</v>
      </c>
      <c r="AS36" s="347">
        <f t="shared" si="86"/>
        <v>4980</v>
      </c>
      <c r="AT36" s="347">
        <f t="shared" si="86"/>
        <v>6122</v>
      </c>
      <c r="AU36" s="347">
        <f t="shared" si="86"/>
        <v>6531</v>
      </c>
      <c r="AV36" s="347">
        <f t="shared" ref="AV36:AW36" si="87">+AV24-AV33</f>
        <v>7946</v>
      </c>
      <c r="AW36" s="347">
        <f t="shared" si="87"/>
        <v>7072</v>
      </c>
      <c r="AX36" s="347">
        <f t="shared" ref="AX36:BC36" si="88">+AX24-AX33</f>
        <v>8067</v>
      </c>
      <c r="AY36" s="347">
        <f t="shared" si="88"/>
        <v>8137</v>
      </c>
      <c r="AZ36" s="347">
        <f t="shared" si="88"/>
        <v>8292</v>
      </c>
      <c r="BA36" s="347">
        <f t="shared" si="88"/>
        <v>7342</v>
      </c>
      <c r="BB36" s="347">
        <f t="shared" si="88"/>
        <v>8155</v>
      </c>
      <c r="BC36" s="347">
        <f t="shared" si="88"/>
        <v>8610</v>
      </c>
      <c r="BD36" s="347">
        <f t="shared" ref="BD36:BE36" si="89">+BD24-BD33</f>
        <v>8088</v>
      </c>
      <c r="BE36" s="347">
        <f t="shared" si="89"/>
        <v>6916</v>
      </c>
      <c r="BF36" s="347">
        <f t="shared" ref="BF36:BI36" ca="1" si="90">+BF24-BF33</f>
        <v>8443.0646836264532</v>
      </c>
      <c r="BG36" s="347">
        <f t="shared" ca="1" si="90"/>
        <v>8677.3884619941418</v>
      </c>
      <c r="BH36" s="347">
        <f t="shared" ca="1" si="90"/>
        <v>8839.9583148477068</v>
      </c>
      <c r="BI36" s="347">
        <f t="shared" ca="1" si="90"/>
        <v>7866.4747848075694</v>
      </c>
      <c r="BL36"/>
      <c r="BM36"/>
      <c r="BN36"/>
      <c r="BO36"/>
      <c r="BP36"/>
      <c r="BQ36"/>
      <c r="BS36" s="236"/>
      <c r="BT36" s="236"/>
      <c r="BX36" s="516"/>
      <c r="BY36" s="516"/>
    </row>
    <row r="37" spans="2:77" s="248" customFormat="1" ht="16.5" thickTop="1">
      <c r="B37" s="245" t="s">
        <v>258</v>
      </c>
      <c r="C37" s="245"/>
      <c r="D37" s="248">
        <f t="shared" ref="D37:J37" si="91">+D36/D$13</f>
        <v>0.18205542438175717</v>
      </c>
      <c r="E37" s="248">
        <f t="shared" si="91"/>
        <v>0.17477934570054438</v>
      </c>
      <c r="F37" s="248">
        <f t="shared" si="91"/>
        <v>0.18849326639464309</v>
      </c>
      <c r="G37" s="248">
        <f>+G36/G$13</f>
        <v>0.1943877987129547</v>
      </c>
      <c r="H37" s="248">
        <f>+H36/H$13</f>
        <v>0.19788098115181943</v>
      </c>
      <c r="I37" s="248">
        <f ca="1">+I36/I$13</f>
        <v>0.21025063619848794</v>
      </c>
      <c r="J37" s="248">
        <f t="shared" ca="1" si="91"/>
        <v>0.21278116069140521</v>
      </c>
      <c r="K37" s="248">
        <f t="shared" ref="K37:P37" ca="1" si="92">+K36/K$13</f>
        <v>0.21132604675361844</v>
      </c>
      <c r="L37" s="248">
        <f t="shared" ca="1" si="92"/>
        <v>0.20977366722160462</v>
      </c>
      <c r="M37" s="248">
        <f t="shared" ca="1" si="92"/>
        <v>0.21042403887300209</v>
      </c>
      <c r="N37" s="248">
        <f t="shared" ca="1" si="92"/>
        <v>0.21073672798829401</v>
      </c>
      <c r="O37" s="248">
        <f t="shared" ca="1" si="92"/>
        <v>0.21067194637681297</v>
      </c>
      <c r="P37" s="248">
        <f t="shared" ca="1" si="92"/>
        <v>0.21010866672092243</v>
      </c>
      <c r="Q37" s="245"/>
      <c r="R37" s="245"/>
      <c r="S37" s="245"/>
      <c r="T37" s="245"/>
      <c r="U37" s="245"/>
      <c r="V37" s="245"/>
      <c r="W37" s="245"/>
      <c r="X37" s="245"/>
      <c r="Y37" s="245"/>
      <c r="Z37" s="245"/>
      <c r="AA37" s="245"/>
      <c r="AB37" s="245"/>
      <c r="AC37" s="245"/>
      <c r="AD37" s="245"/>
      <c r="AE37" s="245"/>
      <c r="AF37" s="245"/>
      <c r="AG37" s="245"/>
      <c r="AH37" s="245"/>
      <c r="AI37" s="245"/>
      <c r="AJ37" s="245"/>
      <c r="AK37" s="245"/>
      <c r="AL37" s="248">
        <f t="shared" ref="AL37:AV37" si="93">+AL36/AL$13</f>
        <v>0.19048985840030616</v>
      </c>
      <c r="AM37" s="248">
        <f t="shared" si="93"/>
        <v>0.19320342946219798</v>
      </c>
      <c r="AN37" s="248">
        <f t="shared" si="93"/>
        <v>0.18807139747496734</v>
      </c>
      <c r="AO37" s="248">
        <f t="shared" si="93"/>
        <v>0.15746464433253929</v>
      </c>
      <c r="AP37" s="248">
        <f t="shared" si="93"/>
        <v>0.19789998768321221</v>
      </c>
      <c r="AQ37" s="248">
        <f t="shared" si="93"/>
        <v>0.1805065234075211</v>
      </c>
      <c r="AR37" s="248">
        <f t="shared" si="93"/>
        <v>0.17786813120126224</v>
      </c>
      <c r="AS37" s="248">
        <f t="shared" si="93"/>
        <v>0.14460350184383983</v>
      </c>
      <c r="AT37" s="248">
        <f t="shared" si="93"/>
        <v>0.18792976424361493</v>
      </c>
      <c r="AU37" s="248">
        <f t="shared" si="93"/>
        <v>0.19781917310313493</v>
      </c>
      <c r="AV37" s="248">
        <f t="shared" si="93"/>
        <v>0.20326929472257041</v>
      </c>
      <c r="AW37" s="248">
        <f t="shared" ref="AW37:BB37" si="94">+AW36/AW$13</f>
        <v>0.16790522092167431</v>
      </c>
      <c r="AX37" s="248">
        <f t="shared" si="94"/>
        <v>0.19901319847045762</v>
      </c>
      <c r="AY37" s="248">
        <f t="shared" si="94"/>
        <v>0.20081441263573543</v>
      </c>
      <c r="AZ37" s="248">
        <f t="shared" si="94"/>
        <v>0.20278796771826851</v>
      </c>
      <c r="BA37" s="248">
        <f t="shared" si="94"/>
        <v>0.17547381754738176</v>
      </c>
      <c r="BB37" s="248">
        <f t="shared" si="94"/>
        <v>0.20716372412041154</v>
      </c>
      <c r="BC37" s="248">
        <f t="shared" ref="BC37:BD37" si="95">+BC36/BC$13</f>
        <v>0.21613073273589878</v>
      </c>
      <c r="BD37" s="248">
        <f t="shared" si="95"/>
        <v>0.20389230614097006</v>
      </c>
      <c r="BE37" s="248">
        <f t="shared" ref="BE37" si="96">+BE36/BE$13</f>
        <v>0.16594682791054804</v>
      </c>
      <c r="BF37" s="248">
        <f t="shared" ref="BF37:BI37" ca="1" si="97">+BF36/BF$13</f>
        <v>0.21370793746663988</v>
      </c>
      <c r="BG37" s="248">
        <f t="shared" ca="1" si="97"/>
        <v>0.21838061951594029</v>
      </c>
      <c r="BH37" s="248">
        <f t="shared" ca="1" si="97"/>
        <v>0.22184833722525996</v>
      </c>
      <c r="BI37" s="248">
        <f t="shared" ca="1" si="97"/>
        <v>0.18819819684141992</v>
      </c>
      <c r="BL37"/>
      <c r="BM37"/>
      <c r="BN37"/>
      <c r="BO37"/>
      <c r="BP37"/>
      <c r="BQ37"/>
      <c r="BS37" s="236"/>
      <c r="BT37" s="236"/>
      <c r="BX37" s="515"/>
      <c r="BY37" s="515"/>
    </row>
    <row r="38" spans="2:77" s="248" customFormat="1">
      <c r="B38" s="245" t="s">
        <v>252</v>
      </c>
      <c r="C38" s="245"/>
      <c r="E38" s="244">
        <f t="shared" ref="E38:J38" si="98">+E36/D36-1</f>
        <v>-1.2414675767918104E-2</v>
      </c>
      <c r="F38" s="244">
        <f t="shared" si="98"/>
        <v>0.19534321136982169</v>
      </c>
      <c r="G38" s="244">
        <f t="shared" si="98"/>
        <v>0.15059087130931292</v>
      </c>
      <c r="H38" s="244">
        <f t="shared" si="98"/>
        <v>-2.1672215591431732E-3</v>
      </c>
      <c r="I38" s="244">
        <f t="shared" ca="1" si="98"/>
        <v>6.4776550891620044E-2</v>
      </c>
      <c r="J38" s="244">
        <f t="shared" ca="1" si="98"/>
        <v>1.8630261876706244E-2</v>
      </c>
      <c r="K38" s="244">
        <f t="shared" ref="K38" ca="1" si="99">+K36/J36-1</f>
        <v>-1.9362659903381374E-3</v>
      </c>
      <c r="L38" s="244">
        <f t="shared" ref="L38" ca="1" si="100">+L36/K36-1</f>
        <v>-3.9667879184028809E-3</v>
      </c>
      <c r="M38" s="244">
        <f t="shared" ref="M38" ca="1" si="101">+M36/L36-1</f>
        <v>5.5406532839332723E-3</v>
      </c>
      <c r="N38" s="244">
        <f t="shared" ref="N38" ca="1" si="102">+N36/M36-1</f>
        <v>3.1140890334848681E-3</v>
      </c>
      <c r="O38" s="244">
        <f t="shared" ref="O38" ca="1" si="103">+O36/N36-1</f>
        <v>2.1558511284691662E-3</v>
      </c>
      <c r="P38" s="244">
        <f t="shared" ref="P38" ca="1" si="104">+P36/O36-1</f>
        <v>1.686848315377576E-3</v>
      </c>
      <c r="Q38" s="245"/>
      <c r="R38" s="245"/>
      <c r="S38" s="245"/>
      <c r="T38" s="245"/>
      <c r="U38" s="245"/>
      <c r="V38" s="245"/>
      <c r="W38" s="245"/>
      <c r="X38" s="245"/>
      <c r="Y38" s="245"/>
      <c r="Z38" s="245"/>
      <c r="AA38" s="245"/>
      <c r="AB38" s="245"/>
      <c r="AC38" s="245"/>
      <c r="AD38" s="245"/>
      <c r="AE38" s="245"/>
      <c r="AF38" s="245"/>
      <c r="AG38" s="245"/>
      <c r="AH38" s="245"/>
      <c r="AI38" s="245"/>
      <c r="AJ38" s="245"/>
      <c r="AK38" s="245"/>
      <c r="AP38" s="248">
        <f t="shared" ref="AP38:AU38" si="105">+AP36/AL36-1</f>
        <v>7.6008705842959934E-2</v>
      </c>
      <c r="AQ38" s="248">
        <f t="shared" si="105"/>
        <v>-5.1153784089075338E-2</v>
      </c>
      <c r="AR38" s="248">
        <f t="shared" si="105"/>
        <v>-3.0753968253968256E-2</v>
      </c>
      <c r="AS38" s="248">
        <f t="shared" si="105"/>
        <v>-4.6342397548831848E-2</v>
      </c>
      <c r="AT38" s="248">
        <f t="shared" si="105"/>
        <v>-4.7456044810953779E-2</v>
      </c>
      <c r="AU38" s="248">
        <f t="shared" si="105"/>
        <v>0.11071428571428577</v>
      </c>
      <c r="AV38" s="248">
        <f t="shared" ref="AV38:BE38" si="106">+AV36/AR36-1</f>
        <v>0.35551006482429215</v>
      </c>
      <c r="AW38" s="248">
        <f t="shared" si="106"/>
        <v>0.4200803212851405</v>
      </c>
      <c r="AX38" s="248">
        <f t="shared" si="106"/>
        <v>0.31770663181966685</v>
      </c>
      <c r="AY38" s="248">
        <f t="shared" si="106"/>
        <v>0.24590414944112693</v>
      </c>
      <c r="AZ38" s="248">
        <f t="shared" si="106"/>
        <v>4.3543921469922031E-2</v>
      </c>
      <c r="BA38" s="248">
        <f t="shared" si="106"/>
        <v>3.8178733031674295E-2</v>
      </c>
      <c r="BB38" s="248">
        <f t="shared" si="106"/>
        <v>1.0908640138837189E-2</v>
      </c>
      <c r="BC38" s="248">
        <f t="shared" si="106"/>
        <v>5.8129531768465137E-2</v>
      </c>
      <c r="BD38" s="248">
        <f t="shared" si="106"/>
        <v>-2.4602026049204029E-2</v>
      </c>
      <c r="BE38" s="248">
        <f t="shared" si="106"/>
        <v>-5.8022337237809807E-2</v>
      </c>
      <c r="BF38" s="248">
        <f t="shared" ref="BF38" ca="1" si="107">+BF36/BB36-1</f>
        <v>3.5323688979332024E-2</v>
      </c>
      <c r="BG38" s="248">
        <f t="shared" ref="BG38" ca="1" si="108">+BG36/BC36-1</f>
        <v>7.8267667821303455E-3</v>
      </c>
      <c r="BH38" s="248">
        <f t="shared" ref="BH38" ca="1" si="109">+BH36/BD36-1</f>
        <v>9.2972096296699558E-2</v>
      </c>
      <c r="BI38" s="248">
        <f t="shared" ref="BI38" ca="1" si="110">+BI36/BE36-1</f>
        <v>0.13743128756616096</v>
      </c>
      <c r="BL38"/>
      <c r="BM38"/>
      <c r="BN38"/>
      <c r="BO38"/>
      <c r="BP38"/>
      <c r="BQ38"/>
      <c r="BS38" s="236"/>
      <c r="BT38" s="236"/>
      <c r="BX38" s="515"/>
      <c r="BY38" s="515"/>
    </row>
    <row r="39" spans="2:77">
      <c r="BS39" s="236"/>
      <c r="BT39" s="236"/>
      <c r="BX39" s="514"/>
      <c r="BY39" s="514"/>
    </row>
    <row r="40" spans="2:77" s="236" customFormat="1">
      <c r="B40" s="236" t="s">
        <v>5</v>
      </c>
      <c r="D40" s="236">
        <f>SUM(AL40:AO40)</f>
        <v>3940</v>
      </c>
      <c r="E40" s="236">
        <f>SUM(AP40:AS40)</f>
        <v>3613</v>
      </c>
      <c r="F40" s="236">
        <f>SUM(AT40:AW40)</f>
        <v>4120</v>
      </c>
      <c r="G40" s="236">
        <f>SUM(AX40:BA40)</f>
        <v>4910</v>
      </c>
      <c r="H40" s="236">
        <f>SUM(BB40:BE40)</f>
        <v>6300</v>
      </c>
      <c r="I40" s="236">
        <f>SUM(BF40:BI40)</f>
        <v>7395.57</v>
      </c>
      <c r="J40" s="236">
        <f>+'Balance Sheet'!J69</f>
        <v>7395.57</v>
      </c>
      <c r="K40" s="236">
        <f>+'Balance Sheet'!K69</f>
        <v>7395.57</v>
      </c>
      <c r="L40" s="236">
        <f>+'Balance Sheet'!L69</f>
        <v>7395.57</v>
      </c>
      <c r="M40" s="236">
        <f>+'Balance Sheet'!M69</f>
        <v>7395.57</v>
      </c>
      <c r="N40" s="236">
        <f>+'Balance Sheet'!N69</f>
        <v>7395.57</v>
      </c>
      <c r="O40" s="236">
        <f>+'Balance Sheet'!O69</f>
        <v>7395.57</v>
      </c>
      <c r="P40" s="236">
        <f>+'Balance Sheet'!P69</f>
        <v>7395.57</v>
      </c>
      <c r="AL40" s="261">
        <v>827</v>
      </c>
      <c r="AM40" s="261">
        <v>825</v>
      </c>
      <c r="AN40" s="261">
        <v>829</v>
      </c>
      <c r="AO40" s="261">
        <v>1459</v>
      </c>
      <c r="AP40" s="261">
        <v>860</v>
      </c>
      <c r="AQ40" s="261">
        <v>881</v>
      </c>
      <c r="AR40" s="261">
        <v>1016</v>
      </c>
      <c r="AS40" s="261">
        <v>856</v>
      </c>
      <c r="AT40" s="261">
        <v>899</v>
      </c>
      <c r="AU40" s="261">
        <v>932</v>
      </c>
      <c r="AV40" s="261">
        <v>1146</v>
      </c>
      <c r="AW40" s="261">
        <v>1143</v>
      </c>
      <c r="AX40" s="261">
        <v>1207</v>
      </c>
      <c r="AY40" s="261">
        <v>1258</v>
      </c>
      <c r="AZ40" s="261">
        <v>1224</v>
      </c>
      <c r="BA40" s="261">
        <v>1221</v>
      </c>
      <c r="BB40" s="261">
        <v>1293</v>
      </c>
      <c r="BC40" s="261">
        <v>1395</v>
      </c>
      <c r="BD40" s="261">
        <v>1686</v>
      </c>
      <c r="BE40" s="261">
        <v>1926</v>
      </c>
      <c r="BF40" s="389">
        <f>+'Balance Sheet'!BF69</f>
        <v>1848.8924999999999</v>
      </c>
      <c r="BG40" s="389">
        <f>+'Balance Sheet'!BG69</f>
        <v>1848.8924999999999</v>
      </c>
      <c r="BH40" s="389">
        <f>+'Balance Sheet'!BH69</f>
        <v>1848.8924999999999</v>
      </c>
      <c r="BI40" s="389">
        <f>+'Balance Sheet'!BI69</f>
        <v>1848.8924999999999</v>
      </c>
      <c r="BJ40" s="252"/>
      <c r="BL40"/>
      <c r="BM40"/>
      <c r="BN40"/>
      <c r="BO40"/>
      <c r="BP40"/>
      <c r="BQ40"/>
      <c r="BX40" s="514"/>
      <c r="BY40" s="514"/>
    </row>
    <row r="41" spans="2:77">
      <c r="BS41" s="236"/>
      <c r="BT41" s="236"/>
      <c r="BX41" s="514"/>
      <c r="BY41" s="514"/>
    </row>
    <row r="42" spans="2:77" s="236" customFormat="1">
      <c r="B42" s="236" t="s">
        <v>275</v>
      </c>
      <c r="D42" s="236">
        <f>SUM(AL42:AO42)</f>
        <v>642</v>
      </c>
      <c r="E42" s="236">
        <f>SUM(AP42:AS42)</f>
        <v>175</v>
      </c>
      <c r="F42" s="236">
        <f>SUM(AT42:AW42)</f>
        <v>79</v>
      </c>
      <c r="G42" s="236">
        <f>SUM(AX42:BA42)</f>
        <v>98</v>
      </c>
      <c r="H42" s="236">
        <f>SUM(BB42:BE42)</f>
        <v>-128</v>
      </c>
      <c r="I42" s="236">
        <f>SUM(BF42:BI42)</f>
        <v>0</v>
      </c>
      <c r="J42">
        <v>0</v>
      </c>
      <c r="K42" s="474">
        <v>0</v>
      </c>
      <c r="L42" s="474">
        <v>0</v>
      </c>
      <c r="M42" s="474">
        <v>0</v>
      </c>
      <c r="N42" s="474">
        <v>0</v>
      </c>
      <c r="O42" s="474">
        <v>0</v>
      </c>
      <c r="P42" s="474">
        <v>0</v>
      </c>
      <c r="AL42" s="261">
        <v>185</v>
      </c>
      <c r="AM42" s="261">
        <v>218</v>
      </c>
      <c r="AN42" s="261">
        <v>91</v>
      </c>
      <c r="AO42" s="261">
        <v>148</v>
      </c>
      <c r="AP42" s="261">
        <v>88</v>
      </c>
      <c r="AQ42" s="261">
        <v>102</v>
      </c>
      <c r="AR42" s="261">
        <v>-2</v>
      </c>
      <c r="AS42" s="261">
        <v>-13</v>
      </c>
      <c r="AT42" s="261"/>
      <c r="AU42" s="261">
        <v>33</v>
      </c>
      <c r="AV42" s="261">
        <v>15</v>
      </c>
      <c r="AW42" s="261">
        <v>31</v>
      </c>
      <c r="AX42" s="261">
        <v>13</v>
      </c>
      <c r="AY42" s="261">
        <v>28</v>
      </c>
      <c r="AZ42" s="261">
        <v>16</v>
      </c>
      <c r="BA42" s="261">
        <v>41</v>
      </c>
      <c r="BB42" s="261">
        <v>-173</v>
      </c>
      <c r="BC42" s="261">
        <v>14</v>
      </c>
      <c r="BD42" s="261">
        <v>11</v>
      </c>
      <c r="BE42" s="261">
        <v>20</v>
      </c>
      <c r="BF42" s="389">
        <v>0</v>
      </c>
      <c r="BG42" s="389">
        <v>0</v>
      </c>
      <c r="BH42" s="389">
        <v>0</v>
      </c>
      <c r="BI42" s="389">
        <v>0</v>
      </c>
      <c r="BL42"/>
      <c r="BM42"/>
      <c r="BN42"/>
      <c r="BO42"/>
      <c r="BP42"/>
      <c r="BQ42"/>
      <c r="BX42" s="514"/>
      <c r="BY42" s="514"/>
    </row>
    <row r="43" spans="2:77" s="236" customFormat="1">
      <c r="B43" s="236" t="s">
        <v>6</v>
      </c>
      <c r="D43" s="236">
        <f>SUM(AL43:AO43)</f>
        <v>596</v>
      </c>
      <c r="E43" s="236">
        <f>SUM(AP43:AS43)</f>
        <v>1581</v>
      </c>
      <c r="F43" s="236">
        <f>SUM(AT43:AW43)</f>
        <v>-52</v>
      </c>
      <c r="G43" s="236">
        <f>SUM(AX43:BA43)</f>
        <v>305</v>
      </c>
      <c r="H43" s="236">
        <f>SUM(BB43:BE43)</f>
        <v>2103</v>
      </c>
      <c r="I43" s="236">
        <f>SUM(BF43:BI43)</f>
        <v>2000</v>
      </c>
      <c r="J43" s="211">
        <f>+I43</f>
        <v>2000</v>
      </c>
      <c r="K43" s="211">
        <f t="shared" ref="K43:P43" si="111">+J43</f>
        <v>2000</v>
      </c>
      <c r="L43" s="211">
        <f t="shared" si="111"/>
        <v>2000</v>
      </c>
      <c r="M43" s="211">
        <f t="shared" si="111"/>
        <v>2000</v>
      </c>
      <c r="N43" s="211">
        <f t="shared" si="111"/>
        <v>2000</v>
      </c>
      <c r="O43" s="211">
        <f t="shared" si="111"/>
        <v>2000</v>
      </c>
      <c r="P43" s="211">
        <f t="shared" si="111"/>
        <v>2000</v>
      </c>
      <c r="AL43" s="261">
        <v>32</v>
      </c>
      <c r="AM43" s="261">
        <v>288</v>
      </c>
      <c r="AN43" s="261">
        <v>50</v>
      </c>
      <c r="AO43" s="261">
        <v>226</v>
      </c>
      <c r="AP43" s="261">
        <v>145</v>
      </c>
      <c r="AQ43" s="261">
        <v>1269</v>
      </c>
      <c r="AR43" s="261">
        <v>42</v>
      </c>
      <c r="AS43" s="261">
        <v>125</v>
      </c>
      <c r="AT43" s="261">
        <v>70</v>
      </c>
      <c r="AU43" s="261">
        <v>48</v>
      </c>
      <c r="AV43" s="261">
        <v>-57</v>
      </c>
      <c r="AW43" s="261">
        <v>-113</v>
      </c>
      <c r="AX43" s="261">
        <v>70</v>
      </c>
      <c r="AY43" s="261">
        <v>91</v>
      </c>
      <c r="AZ43" s="261">
        <v>-7</v>
      </c>
      <c r="BA43" s="260">
        <f>123+28</f>
        <v>151</v>
      </c>
      <c r="BB43" s="260">
        <f>-20+109+257</f>
        <v>346</v>
      </c>
      <c r="BC43" s="260">
        <f>128+158-36</f>
        <v>250</v>
      </c>
      <c r="BD43" s="260">
        <f>246+485-81</f>
        <v>650</v>
      </c>
      <c r="BE43" s="260">
        <f>264+432+161</f>
        <v>857</v>
      </c>
      <c r="BF43" s="511">
        <v>500</v>
      </c>
      <c r="BG43" s="511">
        <v>500</v>
      </c>
      <c r="BH43" s="511">
        <v>500</v>
      </c>
      <c r="BI43" s="511">
        <v>500</v>
      </c>
      <c r="BL43"/>
      <c r="BM43"/>
      <c r="BN43"/>
      <c r="BO43"/>
      <c r="BP43"/>
      <c r="BQ43"/>
      <c r="BX43" s="514"/>
      <c r="BY43" s="514"/>
    </row>
    <row r="44" spans="2:77" s="236" customFormat="1">
      <c r="B44" s="255" t="s">
        <v>173</v>
      </c>
      <c r="D44" s="255">
        <f t="shared" ref="D44:J44" si="112">+D36-D40+D42+D43</f>
        <v>20738</v>
      </c>
      <c r="E44" s="255">
        <f t="shared" si="112"/>
        <v>21292</v>
      </c>
      <c r="F44" s="255">
        <f t="shared" si="112"/>
        <v>23578</v>
      </c>
      <c r="G44" s="255">
        <f>+G36-G40+G42+G43</f>
        <v>27331</v>
      </c>
      <c r="H44" s="255">
        <f>+H36-H40+H42+H43</f>
        <v>27444</v>
      </c>
      <c r="I44" s="255">
        <f ca="1">+I36-I40+I42+I43</f>
        <v>28431.316245275877</v>
      </c>
      <c r="J44" s="255">
        <f t="shared" ca="1" si="112"/>
        <v>29061.519994498922</v>
      </c>
      <c r="K44" s="255">
        <f t="shared" ref="K44:P44" ca="1" si="113">+K36-K40+K42+K43</f>
        <v>28994.801903016552</v>
      </c>
      <c r="L44" s="255">
        <f t="shared" ca="1" si="113"/>
        <v>28858.382591242284</v>
      </c>
      <c r="M44" s="255">
        <f t="shared" ca="1" si="113"/>
        <v>29048.171866154647</v>
      </c>
      <c r="N44" s="255">
        <f t="shared" ca="1" si="113"/>
        <v>29155.432744972226</v>
      </c>
      <c r="O44" s="255">
        <f t="shared" ca="1" si="113"/>
        <v>29229.919563229712</v>
      </c>
      <c r="P44" s="255">
        <f t="shared" ca="1" si="113"/>
        <v>29288.327511968571</v>
      </c>
      <c r="AL44" s="255">
        <f t="shared" ref="AL44:AT44" si="114">+AL36-AL40+AL42+AL43</f>
        <v>5363</v>
      </c>
      <c r="AM44" s="255">
        <f t="shared" si="114"/>
        <v>5878</v>
      </c>
      <c r="AN44" s="255">
        <f t="shared" si="114"/>
        <v>5360</v>
      </c>
      <c r="AO44" s="255">
        <f t="shared" si="114"/>
        <v>4137</v>
      </c>
      <c r="AP44" s="255">
        <f t="shared" si="114"/>
        <v>5800</v>
      </c>
      <c r="AQ44" s="255">
        <f t="shared" si="114"/>
        <v>6370</v>
      </c>
      <c r="AR44" s="255">
        <f t="shared" si="114"/>
        <v>4886</v>
      </c>
      <c r="AS44" s="255">
        <f t="shared" si="114"/>
        <v>4236</v>
      </c>
      <c r="AT44" s="255">
        <f t="shared" si="114"/>
        <v>5293</v>
      </c>
      <c r="AU44" s="255">
        <f t="shared" ref="AU44:AW44" si="115">+AU36-AU40+AU42+AU43</f>
        <v>5680</v>
      </c>
      <c r="AV44" s="255">
        <f t="shared" si="115"/>
        <v>6758</v>
      </c>
      <c r="AW44" s="255">
        <f t="shared" si="115"/>
        <v>5847</v>
      </c>
      <c r="AX44" s="255">
        <f t="shared" ref="AX44:BC44" si="116">+AX36-AX40+AX42+AX43</f>
        <v>6943</v>
      </c>
      <c r="AY44" s="255">
        <f t="shared" si="116"/>
        <v>6998</v>
      </c>
      <c r="AZ44" s="255">
        <f t="shared" si="116"/>
        <v>7077</v>
      </c>
      <c r="BA44" s="255">
        <f t="shared" si="116"/>
        <v>6313</v>
      </c>
      <c r="BB44" s="255">
        <f t="shared" si="116"/>
        <v>7035</v>
      </c>
      <c r="BC44" s="255">
        <f t="shared" si="116"/>
        <v>7479</v>
      </c>
      <c r="BD44" s="255">
        <f t="shared" ref="BD44:BE44" si="117">+BD36-BD40+BD42+BD43</f>
        <v>7063</v>
      </c>
      <c r="BE44" s="255">
        <f t="shared" si="117"/>
        <v>5867</v>
      </c>
      <c r="BF44" s="255">
        <f t="shared" ref="BF44:BI44" ca="1" si="118">+BF36-BF40+BF42+BF43</f>
        <v>7094.1721836264533</v>
      </c>
      <c r="BG44" s="255">
        <f t="shared" ca="1" si="118"/>
        <v>7328.4959619941419</v>
      </c>
      <c r="BH44" s="255">
        <f t="shared" ca="1" si="118"/>
        <v>7491.0658148477069</v>
      </c>
      <c r="BI44" s="255">
        <f t="shared" ca="1" si="118"/>
        <v>6517.5822848075695</v>
      </c>
      <c r="BJ44" s="252"/>
      <c r="BL44"/>
      <c r="BM44"/>
      <c r="BN44"/>
      <c r="BO44"/>
      <c r="BP44"/>
      <c r="BQ44"/>
      <c r="BX44" s="514"/>
      <c r="BY44" s="514"/>
    </row>
    <row r="45" spans="2:77">
      <c r="BT45" s="236"/>
      <c r="BX45" s="514"/>
      <c r="BY45" s="514"/>
    </row>
    <row r="46" spans="2:77" s="236" customFormat="1">
      <c r="B46" s="236" t="s">
        <v>277</v>
      </c>
      <c r="D46" s="236">
        <f>SUM(AL46:AO46)</f>
        <v>6846.7250000000004</v>
      </c>
      <c r="E46" s="236">
        <f>SUM(AP46:AS46)</f>
        <v>7342.4600000000009</v>
      </c>
      <c r="F46" s="236">
        <f>SUM(AT46:AW46)</f>
        <v>7979.25</v>
      </c>
      <c r="G46" s="236">
        <f>SUM(AX46:BA46)</f>
        <v>9424.52</v>
      </c>
      <c r="H46" s="236">
        <f>SUM(BB46:BE46)</f>
        <v>8226</v>
      </c>
      <c r="I46" s="236">
        <f ca="1">SUM(BF46:BI46)</f>
        <v>6539.2027364134501</v>
      </c>
      <c r="J46" s="236">
        <f ca="1">+J44*J47</f>
        <v>6684.1495987347525</v>
      </c>
      <c r="K46" s="236">
        <f t="shared" ref="K46:P46" ca="1" si="119">+K44*K47</f>
        <v>6668.8044376938069</v>
      </c>
      <c r="L46" s="236">
        <f t="shared" ca="1" si="119"/>
        <v>6637.4279959857258</v>
      </c>
      <c r="M46" s="236">
        <f t="shared" ca="1" si="119"/>
        <v>6681.079529215569</v>
      </c>
      <c r="N46" s="236">
        <f t="shared" ca="1" si="119"/>
        <v>6705.749531343612</v>
      </c>
      <c r="O46" s="236">
        <f t="shared" ca="1" si="119"/>
        <v>6722.8814995428338</v>
      </c>
      <c r="P46" s="236">
        <f t="shared" ca="1" si="119"/>
        <v>6736.3153277527717</v>
      </c>
      <c r="AL46" s="260">
        <f>1569+0.03*AL57</f>
        <v>1734.9</v>
      </c>
      <c r="AM46" s="261">
        <v>1946</v>
      </c>
      <c r="AN46" s="260">
        <f>1628+0.03*AN57-229*0.35</f>
        <v>1707.78</v>
      </c>
      <c r="AO46" s="260">
        <f>4185-(7584-501)*0.385</f>
        <v>1458.0450000000001</v>
      </c>
      <c r="AP46" s="260">
        <f>1938+92*0.35</f>
        <v>1970.2</v>
      </c>
      <c r="AQ46" s="260">
        <f>2532+141*0.35</f>
        <v>2581.35</v>
      </c>
      <c r="AR46" s="260">
        <f>1444+255*0.35</f>
        <v>1533.25</v>
      </c>
      <c r="AS46" s="260">
        <f>-2295+(7869+2120+460)*0.34</f>
        <v>1257.6600000000003</v>
      </c>
      <c r="AT46" s="260">
        <f>1389+(348+217)*0.35+0.05*AT57</f>
        <v>1847.7</v>
      </c>
      <c r="AU46" s="260">
        <f>1738+(247+364+147)*0.25</f>
        <v>1927.5</v>
      </c>
      <c r="AV46" s="260">
        <f>1657+(1171+142+250+303+122+35)*0.32</f>
        <v>2304.36</v>
      </c>
      <c r="AW46" s="260">
        <f>2221+(-2152+79+55+249+36+1273)*0.295-0.03*AW57</f>
        <v>1899.6900000000003</v>
      </c>
      <c r="AX46" s="260">
        <f>2122+(42+254+25-736+1351)*0.32</f>
        <v>2421.52</v>
      </c>
      <c r="AY46" s="260">
        <f>1906+550</f>
        <v>2456</v>
      </c>
      <c r="AZ46" s="260">
        <f>1775+640</f>
        <v>2415</v>
      </c>
      <c r="BA46" s="260">
        <f>676+1097+359</f>
        <v>2132</v>
      </c>
      <c r="BB46" s="260">
        <f>1804+556</f>
        <v>2360</v>
      </c>
      <c r="BC46" s="260">
        <f>2056+445</f>
        <v>2501</v>
      </c>
      <c r="BD46" s="260">
        <f>1851+716-146</f>
        <v>2421</v>
      </c>
      <c r="BE46" s="260">
        <f>-20419+1908+19455</f>
        <v>944</v>
      </c>
      <c r="BF46" s="236">
        <f t="shared" ref="BF46:BI46" ca="1" si="120">+BF44*BF47</f>
        <v>1631.6596022340843</v>
      </c>
      <c r="BG46" s="236">
        <f t="shared" ca="1" si="120"/>
        <v>1685.5540712586528</v>
      </c>
      <c r="BH46" s="236">
        <f t="shared" ca="1" si="120"/>
        <v>1722.9451374149726</v>
      </c>
      <c r="BI46" s="236">
        <f t="shared" ca="1" si="120"/>
        <v>1499.0439255057411</v>
      </c>
      <c r="BJ46" s="252"/>
      <c r="BL46"/>
      <c r="BM46"/>
      <c r="BN46"/>
      <c r="BO46"/>
      <c r="BP46"/>
      <c r="BQ46"/>
      <c r="BX46" s="514"/>
      <c r="BY46" s="514"/>
    </row>
    <row r="47" spans="2:77" s="248" customFormat="1">
      <c r="B47" s="245" t="s">
        <v>278</v>
      </c>
      <c r="C47" s="245"/>
      <c r="D47" s="248">
        <f t="shared" ref="D47:I47" si="121">+D46/D$44</f>
        <v>0.33015358279486934</v>
      </c>
      <c r="E47" s="248">
        <f t="shared" si="121"/>
        <v>0.34484595153109154</v>
      </c>
      <c r="F47" s="248">
        <f t="shared" si="121"/>
        <v>0.33841928916786834</v>
      </c>
      <c r="G47" s="248">
        <f t="shared" si="121"/>
        <v>0.34482894881270354</v>
      </c>
      <c r="H47" s="248">
        <f t="shared" si="121"/>
        <v>0.29973764757324006</v>
      </c>
      <c r="I47" s="248">
        <f t="shared" ca="1" si="121"/>
        <v>0.22999999999999995</v>
      </c>
      <c r="J47" s="210">
        <v>0.23</v>
      </c>
      <c r="K47" s="210">
        <v>0.23</v>
      </c>
      <c r="L47" s="210">
        <v>0.23</v>
      </c>
      <c r="M47" s="210">
        <v>0.23</v>
      </c>
      <c r="N47" s="210">
        <v>0.23</v>
      </c>
      <c r="O47" s="210">
        <v>0.23</v>
      </c>
      <c r="P47" s="210">
        <v>0.23</v>
      </c>
      <c r="Q47" s="245"/>
      <c r="R47" s="245"/>
      <c r="S47" s="245"/>
      <c r="T47" s="245"/>
      <c r="U47" s="245"/>
      <c r="V47" s="245"/>
      <c r="W47" s="245"/>
      <c r="X47" s="245"/>
      <c r="Y47" s="245"/>
      <c r="Z47" s="245"/>
      <c r="AA47" s="245"/>
      <c r="AB47" s="245"/>
      <c r="AC47" s="245"/>
      <c r="AD47" s="245"/>
      <c r="AE47" s="245"/>
      <c r="AF47" s="245"/>
      <c r="AG47" s="245"/>
      <c r="AH47" s="245"/>
      <c r="AI47" s="245"/>
      <c r="AJ47" s="245"/>
      <c r="AK47" s="245"/>
      <c r="AL47" s="248">
        <f t="shared" ref="AL47:AV47" si="122">+AL46/AL$44</f>
        <v>0.32349431288457953</v>
      </c>
      <c r="AM47" s="248">
        <f t="shared" si="122"/>
        <v>0.33106498809118745</v>
      </c>
      <c r="AN47" s="248">
        <f t="shared" si="122"/>
        <v>0.31861567164179105</v>
      </c>
      <c r="AO47" s="248">
        <f t="shared" si="122"/>
        <v>0.35244017403915884</v>
      </c>
      <c r="AP47" s="248">
        <f t="shared" si="122"/>
        <v>0.33968965517241378</v>
      </c>
      <c r="AQ47" s="248">
        <f t="shared" si="122"/>
        <v>0.40523547880690736</v>
      </c>
      <c r="AR47" s="248">
        <f t="shared" si="122"/>
        <v>0.31380474826033566</v>
      </c>
      <c r="AS47" s="248">
        <f t="shared" si="122"/>
        <v>0.29689801699716722</v>
      </c>
      <c r="AT47" s="248">
        <f t="shared" si="122"/>
        <v>0.34908369544681656</v>
      </c>
      <c r="AU47" s="248">
        <f t="shared" si="122"/>
        <v>0.33934859154929575</v>
      </c>
      <c r="AV47" s="248">
        <f t="shared" si="122"/>
        <v>0.34098253921278487</v>
      </c>
      <c r="AW47" s="248">
        <f t="shared" ref="AW47:BB47" si="123">+AW46/AW$44</f>
        <v>0.3248999486916368</v>
      </c>
      <c r="AX47" s="248">
        <f t="shared" si="123"/>
        <v>0.34877142445628689</v>
      </c>
      <c r="AY47" s="248">
        <f t="shared" si="123"/>
        <v>0.35095741640468703</v>
      </c>
      <c r="AZ47" s="248">
        <f t="shared" si="123"/>
        <v>0.34124629080118696</v>
      </c>
      <c r="BA47" s="248">
        <f t="shared" si="123"/>
        <v>0.33771582448914939</v>
      </c>
      <c r="BB47" s="248">
        <f t="shared" si="123"/>
        <v>0.33546552949538022</v>
      </c>
      <c r="BC47" s="248">
        <f t="shared" ref="BC47:BD47" si="124">+BC46/BC$44</f>
        <v>0.33440299505281457</v>
      </c>
      <c r="BD47" s="248">
        <f t="shared" si="124"/>
        <v>0.3427721931190712</v>
      </c>
      <c r="BE47" s="248">
        <f t="shared" ref="BE47" si="125">+BE46/BE$44</f>
        <v>0.16089994886654169</v>
      </c>
      <c r="BF47" s="210">
        <v>0.23</v>
      </c>
      <c r="BG47" s="210">
        <v>0.23</v>
      </c>
      <c r="BH47" s="210">
        <v>0.23</v>
      </c>
      <c r="BI47" s="210">
        <v>0.23</v>
      </c>
      <c r="BJ47" s="252"/>
      <c r="BL47"/>
      <c r="BM47"/>
      <c r="BN47"/>
      <c r="BO47"/>
      <c r="BP47"/>
      <c r="BQ47"/>
      <c r="BT47" s="236"/>
    </row>
    <row r="48" spans="2:77">
      <c r="BT48" s="236"/>
    </row>
    <row r="49" spans="2:76" s="236" customFormat="1">
      <c r="B49" s="236" t="s">
        <v>13</v>
      </c>
      <c r="D49" s="236">
        <f t="shared" ref="D49:J49" si="126">+D44-D46</f>
        <v>13891.275</v>
      </c>
      <c r="E49" s="236">
        <f t="shared" si="126"/>
        <v>13949.539999999999</v>
      </c>
      <c r="F49" s="236">
        <f t="shared" si="126"/>
        <v>15598.75</v>
      </c>
      <c r="G49" s="236">
        <f>+G44-G46</f>
        <v>17906.48</v>
      </c>
      <c r="H49" s="236">
        <f>+H44-H46</f>
        <v>19218</v>
      </c>
      <c r="I49" s="236">
        <f ca="1">+I44-I46</f>
        <v>21892.113508862429</v>
      </c>
      <c r="J49" s="236">
        <f t="shared" ca="1" si="126"/>
        <v>22377.37039576417</v>
      </c>
      <c r="K49" s="236">
        <f t="shared" ref="K49:P49" ca="1" si="127">+K44-K46</f>
        <v>22325.997465322747</v>
      </c>
      <c r="L49" s="236">
        <f t="shared" ca="1" si="127"/>
        <v>22220.954595256557</v>
      </c>
      <c r="M49" s="236">
        <f t="shared" ca="1" si="127"/>
        <v>22367.09233693908</v>
      </c>
      <c r="N49" s="236">
        <f t="shared" ca="1" si="127"/>
        <v>22449.683213628614</v>
      </c>
      <c r="O49" s="236">
        <f t="shared" ca="1" si="127"/>
        <v>22507.038063686879</v>
      </c>
      <c r="P49" s="236">
        <f t="shared" ca="1" si="127"/>
        <v>22552.012184215801</v>
      </c>
      <c r="AL49" s="236">
        <f t="shared" ref="AL49:AT49" si="128">+AL44-AL46</f>
        <v>3628.1</v>
      </c>
      <c r="AM49" s="260">
        <f>+AM44-AM46-0.04*AM57</f>
        <v>3716.12</v>
      </c>
      <c r="AN49" s="260">
        <f>+AN44-AN46</f>
        <v>3652.2200000000003</v>
      </c>
      <c r="AO49" s="260">
        <f>+AO44-AO46+(0.07-0.02)*AO57</f>
        <v>2943.105</v>
      </c>
      <c r="AP49" s="236">
        <f t="shared" si="128"/>
        <v>3829.8</v>
      </c>
      <c r="AQ49" s="260">
        <f>+AQ44-AQ46-0.08*AQ57</f>
        <v>3371.05</v>
      </c>
      <c r="AR49" s="260">
        <f>+AR44-AR46+0.02*AR57</f>
        <v>3457.03</v>
      </c>
      <c r="AS49" s="236">
        <f t="shared" si="128"/>
        <v>2978.3399999999997</v>
      </c>
      <c r="AT49" s="236">
        <f t="shared" si="128"/>
        <v>3445.3</v>
      </c>
      <c r="AU49" s="236">
        <f t="shared" ref="AU49:AW49" si="129">+AU44-AU46</f>
        <v>3752.5</v>
      </c>
      <c r="AV49" s="236">
        <f t="shared" si="129"/>
        <v>4453.6399999999994</v>
      </c>
      <c r="AW49" s="236">
        <f t="shared" si="129"/>
        <v>3947.3099999999995</v>
      </c>
      <c r="AX49" s="236">
        <f t="shared" ref="AX49:BC49" si="130">+AX44-AX46</f>
        <v>4521.4799999999996</v>
      </c>
      <c r="AY49" s="236">
        <f t="shared" si="130"/>
        <v>4542</v>
      </c>
      <c r="AZ49" s="236">
        <f t="shared" si="130"/>
        <v>4662</v>
      </c>
      <c r="BA49" s="236">
        <f t="shared" si="130"/>
        <v>4181</v>
      </c>
      <c r="BB49" s="236">
        <f t="shared" si="130"/>
        <v>4675</v>
      </c>
      <c r="BC49" s="236">
        <f t="shared" si="130"/>
        <v>4978</v>
      </c>
      <c r="BD49" s="236">
        <f t="shared" ref="BD49:BE49" si="131">+BD44-BD46</f>
        <v>4642</v>
      </c>
      <c r="BE49" s="236">
        <f t="shared" si="131"/>
        <v>4923</v>
      </c>
      <c r="BF49" s="236">
        <f t="shared" ref="BF49:BI49" ca="1" si="132">+BF44-BF46</f>
        <v>5462.5125813923687</v>
      </c>
      <c r="BG49" s="236">
        <f t="shared" ca="1" si="132"/>
        <v>5642.9418907354893</v>
      </c>
      <c r="BH49" s="236">
        <f t="shared" ca="1" si="132"/>
        <v>5768.1206774327347</v>
      </c>
      <c r="BI49" s="236">
        <f t="shared" ca="1" si="132"/>
        <v>5018.5383593018287</v>
      </c>
      <c r="BJ49" s="252"/>
      <c r="BL49"/>
      <c r="BM49"/>
      <c r="BN49"/>
      <c r="BO49"/>
      <c r="BP49"/>
      <c r="BQ49"/>
      <c r="BX49" s="514"/>
    </row>
    <row r="50" spans="2:76">
      <c r="BE50" s="236"/>
      <c r="BF50" s="236"/>
      <c r="BT50" s="236"/>
    </row>
    <row r="51" spans="2:76" s="236" customFormat="1">
      <c r="B51" s="236" t="s">
        <v>279</v>
      </c>
      <c r="D51" s="236">
        <f>SUM(AL51:AO51)</f>
        <v>304</v>
      </c>
      <c r="E51" s="236">
        <f>SUM(AP51:AS51)</f>
        <v>294</v>
      </c>
      <c r="F51" s="236">
        <f>SUM(AT51:AW51)</f>
        <v>342</v>
      </c>
      <c r="G51" s="236">
        <f>SUM(AX51:BA51)</f>
        <v>357</v>
      </c>
      <c r="H51" s="236">
        <f>SUM(BB51:BE51)</f>
        <v>397</v>
      </c>
      <c r="I51" s="236">
        <f>SUM(BF51:BI51)</f>
        <v>392.97265625</v>
      </c>
      <c r="J51" s="211">
        <f>+I51</f>
        <v>392.97265625</v>
      </c>
      <c r="K51" s="211">
        <f t="shared" ref="K51:P51" si="133">+J51</f>
        <v>392.97265625</v>
      </c>
      <c r="L51" s="211">
        <f t="shared" si="133"/>
        <v>392.97265625</v>
      </c>
      <c r="M51" s="211">
        <f t="shared" si="133"/>
        <v>392.97265625</v>
      </c>
      <c r="N51" s="211">
        <f t="shared" si="133"/>
        <v>392.97265625</v>
      </c>
      <c r="O51" s="211">
        <f t="shared" si="133"/>
        <v>392.97265625</v>
      </c>
      <c r="P51" s="211">
        <f t="shared" si="133"/>
        <v>392.97265625</v>
      </c>
      <c r="AL51" s="261">
        <v>73</v>
      </c>
      <c r="AM51" s="261">
        <v>58</v>
      </c>
      <c r="AN51" s="261">
        <v>91</v>
      </c>
      <c r="AO51" s="261">
        <v>82</v>
      </c>
      <c r="AP51" s="261">
        <v>82</v>
      </c>
      <c r="AQ51" s="261">
        <v>74</v>
      </c>
      <c r="AR51" s="261">
        <v>57</v>
      </c>
      <c r="AS51" s="261">
        <v>81</v>
      </c>
      <c r="AT51" s="261">
        <v>76</v>
      </c>
      <c r="AU51" s="261">
        <v>102</v>
      </c>
      <c r="AV51" s="261">
        <v>84</v>
      </c>
      <c r="AW51" s="261">
        <v>80</v>
      </c>
      <c r="AX51" s="261">
        <v>82</v>
      </c>
      <c r="AY51" s="261">
        <v>107</v>
      </c>
      <c r="AZ51" s="261">
        <v>90</v>
      </c>
      <c r="BA51" s="261">
        <v>78</v>
      </c>
      <c r="BB51" s="261">
        <v>105</v>
      </c>
      <c r="BC51" s="261">
        <v>99</v>
      </c>
      <c r="BD51" s="261">
        <v>94</v>
      </c>
      <c r="BE51" s="261">
        <v>99</v>
      </c>
      <c r="BF51" s="211">
        <f t="shared" ref="BF51" si="134">+AVERAGE(BB51:BE51)</f>
        <v>99.25</v>
      </c>
      <c r="BG51" s="211">
        <f t="shared" ref="BG51" si="135">+AVERAGE(BC51:BF51)</f>
        <v>97.8125</v>
      </c>
      <c r="BH51" s="211">
        <f t="shared" ref="BH51" si="136">+AVERAGE(BD51:BG51)</f>
        <v>97.515625</v>
      </c>
      <c r="BI51" s="211">
        <f t="shared" ref="BI51" si="137">+AVERAGE(BE51:BH51)</f>
        <v>98.39453125</v>
      </c>
      <c r="BL51"/>
      <c r="BM51"/>
      <c r="BN51"/>
      <c r="BO51"/>
      <c r="BP51"/>
      <c r="BQ51"/>
      <c r="BX51" s="235"/>
    </row>
    <row r="52" spans="2:76">
      <c r="BT52" s="236"/>
    </row>
    <row r="53" spans="2:76" s="236" customFormat="1">
      <c r="B53" s="255" t="s">
        <v>280</v>
      </c>
      <c r="D53" s="255">
        <f t="shared" ref="D53:J53" si="138">+D49-D51</f>
        <v>13587.275</v>
      </c>
      <c r="E53" s="255">
        <f t="shared" si="138"/>
        <v>13655.539999999999</v>
      </c>
      <c r="F53" s="255">
        <f t="shared" si="138"/>
        <v>15256.75</v>
      </c>
      <c r="G53" s="255">
        <f>+G49-G51</f>
        <v>17549.48</v>
      </c>
      <c r="H53" s="255">
        <f>+H49-H51</f>
        <v>18821</v>
      </c>
      <c r="I53" s="255">
        <f ca="1">+I49-I51</f>
        <v>21499.140852612429</v>
      </c>
      <c r="J53" s="255">
        <f t="shared" ca="1" si="138"/>
        <v>21984.39773951417</v>
      </c>
      <c r="K53" s="255">
        <f t="shared" ref="K53:P53" ca="1" si="139">+K49-K51</f>
        <v>21933.024809072747</v>
      </c>
      <c r="L53" s="255">
        <f t="shared" ca="1" si="139"/>
        <v>21827.981939006557</v>
      </c>
      <c r="M53" s="255">
        <f t="shared" ca="1" si="139"/>
        <v>21974.11968068908</v>
      </c>
      <c r="N53" s="255">
        <f t="shared" ca="1" si="139"/>
        <v>22056.710557378614</v>
      </c>
      <c r="O53" s="255">
        <f t="shared" ca="1" si="139"/>
        <v>22114.065407436879</v>
      </c>
      <c r="P53" s="255">
        <f t="shared" ca="1" si="139"/>
        <v>22159.039527965801</v>
      </c>
      <c r="AL53" s="255">
        <f t="shared" ref="AL53:AT53" si="140">+AL49-AL51</f>
        <v>3555.1</v>
      </c>
      <c r="AM53" s="255">
        <f t="shared" si="140"/>
        <v>3658.12</v>
      </c>
      <c r="AN53" s="255">
        <f t="shared" si="140"/>
        <v>3561.2200000000003</v>
      </c>
      <c r="AO53" s="255">
        <f t="shared" si="140"/>
        <v>2861.105</v>
      </c>
      <c r="AP53" s="255">
        <f t="shared" si="140"/>
        <v>3747.8</v>
      </c>
      <c r="AQ53" s="255">
        <f t="shared" si="140"/>
        <v>3297.05</v>
      </c>
      <c r="AR53" s="255">
        <f t="shared" si="140"/>
        <v>3400.03</v>
      </c>
      <c r="AS53" s="255">
        <f t="shared" si="140"/>
        <v>2897.3399999999997</v>
      </c>
      <c r="AT53" s="255">
        <f t="shared" si="140"/>
        <v>3369.3</v>
      </c>
      <c r="AU53" s="255">
        <f t="shared" ref="AU53:AW53" si="141">+AU49-AU51</f>
        <v>3650.5</v>
      </c>
      <c r="AV53" s="255">
        <f t="shared" si="141"/>
        <v>4369.6399999999994</v>
      </c>
      <c r="AW53" s="255">
        <f t="shared" si="141"/>
        <v>3867.3099999999995</v>
      </c>
      <c r="AX53" s="255">
        <f t="shared" ref="AX53:BC53" si="142">+AX49-AX51</f>
        <v>4439.4799999999996</v>
      </c>
      <c r="AY53" s="255">
        <f t="shared" si="142"/>
        <v>4435</v>
      </c>
      <c r="AZ53" s="255">
        <f t="shared" si="142"/>
        <v>4572</v>
      </c>
      <c r="BA53" s="255">
        <f t="shared" si="142"/>
        <v>4103</v>
      </c>
      <c r="BB53" s="255">
        <f t="shared" si="142"/>
        <v>4570</v>
      </c>
      <c r="BC53" s="255">
        <f t="shared" si="142"/>
        <v>4879</v>
      </c>
      <c r="BD53" s="255">
        <f t="shared" ref="BD53:BE53" si="143">+BD49-BD51</f>
        <v>4548</v>
      </c>
      <c r="BE53" s="255">
        <f t="shared" si="143"/>
        <v>4824</v>
      </c>
      <c r="BF53" s="255">
        <f t="shared" ref="BF53:BI53" ca="1" si="144">+BF49-BF51</f>
        <v>5363.2625813923687</v>
      </c>
      <c r="BG53" s="255">
        <f t="shared" ca="1" si="144"/>
        <v>5545.1293907354893</v>
      </c>
      <c r="BH53" s="255">
        <f t="shared" ca="1" si="144"/>
        <v>5670.6050524327347</v>
      </c>
      <c r="BI53" s="255">
        <f t="shared" ca="1" si="144"/>
        <v>4920.1438280518287</v>
      </c>
      <c r="BL53"/>
      <c r="BM53"/>
      <c r="BN53"/>
      <c r="BO53"/>
      <c r="BP53"/>
      <c r="BQ53"/>
    </row>
    <row r="54" spans="2:76">
      <c r="AX54" s="236"/>
      <c r="BA54" s="236"/>
      <c r="BB54" s="236"/>
      <c r="BC54" s="236"/>
      <c r="BD54" s="236"/>
      <c r="BE54" s="236"/>
      <c r="BT54" s="236"/>
    </row>
    <row r="55" spans="2:76" s="236" customFormat="1">
      <c r="B55" s="236" t="s">
        <v>305</v>
      </c>
      <c r="D55" s="236">
        <f>+AO55</f>
        <v>5226</v>
      </c>
      <c r="E55" s="236">
        <f>+AS55</f>
        <v>5187</v>
      </c>
      <c r="F55" s="236">
        <f>+F57</f>
        <v>5642.25</v>
      </c>
      <c r="G55" s="236">
        <f>+G57</f>
        <v>6190.75</v>
      </c>
      <c r="H55" s="236">
        <f>+H57</f>
        <v>6183.5</v>
      </c>
      <c r="I55" s="236">
        <f>+I57</f>
        <v>6201.3429135340466</v>
      </c>
      <c r="J55" s="236">
        <f>+J57</f>
        <v>6232.349628101716</v>
      </c>
      <c r="K55" s="236">
        <f t="shared" ref="K55:P55" si="145">+K57</f>
        <v>6263.5113762422243</v>
      </c>
      <c r="L55" s="236">
        <f t="shared" si="145"/>
        <v>6294.8289331234346</v>
      </c>
      <c r="M55" s="236">
        <f t="shared" si="145"/>
        <v>6326.3030777890508</v>
      </c>
      <c r="N55" s="236">
        <f t="shared" si="145"/>
        <v>6357.9345931779953</v>
      </c>
      <c r="O55" s="236">
        <f t="shared" si="145"/>
        <v>6389.724266143885</v>
      </c>
      <c r="P55" s="236">
        <f t="shared" si="145"/>
        <v>6421.6728874746041</v>
      </c>
      <c r="AL55" s="261">
        <v>5423</v>
      </c>
      <c r="AM55" s="261">
        <v>5335</v>
      </c>
      <c r="AN55" s="261">
        <v>5280</v>
      </c>
      <c r="AO55" s="261">
        <v>5226</v>
      </c>
      <c r="AP55" s="261">
        <v>5195</v>
      </c>
      <c r="AQ55" s="261">
        <v>5191</v>
      </c>
      <c r="AR55" s="261">
        <v>5185</v>
      </c>
      <c r="AS55" s="261">
        <v>5187</v>
      </c>
      <c r="AT55" s="261">
        <v>5193</v>
      </c>
      <c r="AU55" s="261">
        <v>5193</v>
      </c>
      <c r="AV55" s="261">
        <v>6152</v>
      </c>
      <c r="AW55" s="261">
        <v>6145</v>
      </c>
      <c r="AX55" s="261">
        <v>6156</v>
      </c>
      <c r="AY55" s="261">
        <v>6152</v>
      </c>
      <c r="AZ55" s="261">
        <v>6141</v>
      </c>
      <c r="BA55" s="261">
        <v>6139</v>
      </c>
      <c r="BB55" s="261">
        <v>6147</v>
      </c>
      <c r="BC55" s="261">
        <v>6140</v>
      </c>
      <c r="BD55" s="261">
        <v>6139</v>
      </c>
      <c r="BE55" s="261">
        <v>6139</v>
      </c>
      <c r="BF55" s="236">
        <f t="shared" ref="BF55:BI55" si="146">+BF57</f>
        <v>6189.7275</v>
      </c>
      <c r="BG55" s="236">
        <f t="shared" si="146"/>
        <v>6197.4646593749994</v>
      </c>
      <c r="BH55" s="236">
        <f t="shared" si="146"/>
        <v>6205.2114901992181</v>
      </c>
      <c r="BI55" s="236">
        <f t="shared" si="146"/>
        <v>6212.9680045619671</v>
      </c>
      <c r="BL55"/>
      <c r="BM55"/>
      <c r="BN55"/>
      <c r="BO55"/>
      <c r="BP55"/>
      <c r="BQ55"/>
    </row>
    <row r="56" spans="2:76" s="236" customFormat="1" hidden="1" outlineLevel="1">
      <c r="B56" s="236" t="s">
        <v>281</v>
      </c>
      <c r="D56" s="262">
        <f t="shared" ref="D56:P56" si="147">+D57</f>
        <v>5385.25</v>
      </c>
      <c r="E56" s="262">
        <f t="shared" si="147"/>
        <v>5221.5</v>
      </c>
      <c r="F56" s="262">
        <f t="shared" si="147"/>
        <v>5642.25</v>
      </c>
      <c r="G56" s="262">
        <f t="shared" si="147"/>
        <v>6190.75</v>
      </c>
      <c r="H56" s="262">
        <f t="shared" si="147"/>
        <v>6183.5</v>
      </c>
      <c r="I56" s="262">
        <f t="shared" si="147"/>
        <v>6201.3429135340466</v>
      </c>
      <c r="J56" s="262">
        <f t="shared" si="147"/>
        <v>6232.349628101716</v>
      </c>
      <c r="K56" s="262">
        <f t="shared" si="147"/>
        <v>6263.5113762422243</v>
      </c>
      <c r="L56" s="262">
        <f t="shared" si="147"/>
        <v>6294.8289331234346</v>
      </c>
      <c r="M56" s="262">
        <f t="shared" si="147"/>
        <v>6326.3030777890508</v>
      </c>
      <c r="N56" s="262">
        <f t="shared" si="147"/>
        <v>6357.9345931779953</v>
      </c>
      <c r="O56" s="262">
        <f t="shared" si="147"/>
        <v>6389.724266143885</v>
      </c>
      <c r="P56" s="262">
        <f t="shared" si="147"/>
        <v>6421.6728874746041</v>
      </c>
      <c r="AL56" s="262">
        <f>+AL57</f>
        <v>5530</v>
      </c>
      <c r="AM56" s="262">
        <f t="shared" ref="AM56:BI56" si="148">+AM57</f>
        <v>5397</v>
      </c>
      <c r="AN56" s="262">
        <f t="shared" si="148"/>
        <v>5331</v>
      </c>
      <c r="AO56" s="262">
        <f t="shared" si="148"/>
        <v>5283</v>
      </c>
      <c r="AP56" s="262">
        <f t="shared" si="148"/>
        <v>5238</v>
      </c>
      <c r="AQ56" s="262">
        <f t="shared" si="148"/>
        <v>5220</v>
      </c>
      <c r="AR56" s="262">
        <f t="shared" si="148"/>
        <v>5214</v>
      </c>
      <c r="AS56" s="262">
        <f t="shared" si="148"/>
        <v>5214</v>
      </c>
      <c r="AT56" s="262">
        <f t="shared" si="148"/>
        <v>5219</v>
      </c>
      <c r="AU56" s="262">
        <f t="shared" si="148"/>
        <v>5220</v>
      </c>
      <c r="AV56" s="262">
        <f t="shared" si="148"/>
        <v>5943</v>
      </c>
      <c r="AW56" s="262">
        <f t="shared" si="148"/>
        <v>6187</v>
      </c>
      <c r="AX56" s="262">
        <f t="shared" si="148"/>
        <v>6190</v>
      </c>
      <c r="AY56" s="262">
        <f t="shared" si="148"/>
        <v>6195</v>
      </c>
      <c r="AZ56" s="262">
        <f t="shared" si="148"/>
        <v>6189</v>
      </c>
      <c r="BA56" s="262">
        <f t="shared" si="148"/>
        <v>6189</v>
      </c>
      <c r="BB56" s="262">
        <f t="shared" si="148"/>
        <v>6186</v>
      </c>
      <c r="BC56" s="262">
        <f t="shared" si="148"/>
        <v>6184</v>
      </c>
      <c r="BD56" s="262">
        <f t="shared" si="148"/>
        <v>6182</v>
      </c>
      <c r="BE56" s="262">
        <f t="shared" si="148"/>
        <v>6182</v>
      </c>
      <c r="BF56" s="170">
        <f t="shared" si="148"/>
        <v>6189.7275</v>
      </c>
      <c r="BG56" s="170">
        <f t="shared" si="148"/>
        <v>6197.4646593749994</v>
      </c>
      <c r="BH56" s="170">
        <f t="shared" si="148"/>
        <v>6205.2114901992181</v>
      </c>
      <c r="BI56" s="170">
        <f t="shared" si="148"/>
        <v>6212.9680045619671</v>
      </c>
      <c r="BL56"/>
      <c r="BM56"/>
      <c r="BN56"/>
      <c r="BO56"/>
      <c r="BP56"/>
      <c r="BQ56"/>
    </row>
    <row r="57" spans="2:76" s="236" customFormat="1" collapsed="1">
      <c r="B57" s="236" t="s">
        <v>172</v>
      </c>
      <c r="D57" s="236">
        <f>AVERAGE(AL57:AO57)</f>
        <v>5385.25</v>
      </c>
      <c r="E57" s="236">
        <f>AVERAGE(AP57:AS57)</f>
        <v>5221.5</v>
      </c>
      <c r="F57" s="236">
        <f>AVERAGE(AT57:AW57)</f>
        <v>5642.25</v>
      </c>
      <c r="G57" s="236">
        <f>AVERAGE(AX57:BA57)</f>
        <v>6190.75</v>
      </c>
      <c r="H57" s="236">
        <f>AVERAGE(BB57:BE57)</f>
        <v>6183.5</v>
      </c>
      <c r="I57" s="236">
        <f>AVERAGE(BF57:BI57)</f>
        <v>6201.3429135340466</v>
      </c>
      <c r="J57" s="236">
        <f>I57*(1+J58)</f>
        <v>6232.349628101716</v>
      </c>
      <c r="K57" s="236">
        <f t="shared" ref="K57:P57" si="149">J57*(1+K58)</f>
        <v>6263.5113762422243</v>
      </c>
      <c r="L57" s="236">
        <f t="shared" si="149"/>
        <v>6294.8289331234346</v>
      </c>
      <c r="M57" s="236">
        <f t="shared" si="149"/>
        <v>6326.3030777890508</v>
      </c>
      <c r="N57" s="236">
        <f t="shared" si="149"/>
        <v>6357.9345931779953</v>
      </c>
      <c r="O57" s="236">
        <f t="shared" si="149"/>
        <v>6389.724266143885</v>
      </c>
      <c r="P57" s="236">
        <f t="shared" si="149"/>
        <v>6421.6728874746041</v>
      </c>
      <c r="AL57" s="261">
        <v>5530</v>
      </c>
      <c r="AM57" s="261">
        <v>5397</v>
      </c>
      <c r="AN57" s="261">
        <v>5331</v>
      </c>
      <c r="AO57" s="261">
        <v>5283</v>
      </c>
      <c r="AP57" s="261">
        <v>5238</v>
      </c>
      <c r="AQ57" s="261">
        <v>5220</v>
      </c>
      <c r="AR57" s="261">
        <v>5214</v>
      </c>
      <c r="AS57" s="261">
        <v>5214</v>
      </c>
      <c r="AT57" s="261">
        <v>5219</v>
      </c>
      <c r="AU57" s="261">
        <v>5220</v>
      </c>
      <c r="AV57" s="261">
        <v>5943</v>
      </c>
      <c r="AW57" s="261">
        <v>6187</v>
      </c>
      <c r="AX57" s="261">
        <v>6190</v>
      </c>
      <c r="AY57" s="261">
        <v>6195</v>
      </c>
      <c r="AZ57" s="261">
        <v>6189</v>
      </c>
      <c r="BA57" s="261">
        <v>6189</v>
      </c>
      <c r="BB57" s="261">
        <v>6186</v>
      </c>
      <c r="BC57" s="261">
        <v>6184</v>
      </c>
      <c r="BD57" s="261">
        <v>6182</v>
      </c>
      <c r="BE57" s="261">
        <v>6182</v>
      </c>
      <c r="BF57" s="262">
        <f t="shared" ref="BF57" si="150">+BE57*(1+BF58)</f>
        <v>6189.7275</v>
      </c>
      <c r="BG57" s="262">
        <f t="shared" ref="BG57" si="151">+BF57*(1+BG58)</f>
        <v>6197.4646593749994</v>
      </c>
      <c r="BH57" s="262">
        <f t="shared" ref="BH57" si="152">+BG57*(1+BH58)</f>
        <v>6205.2114901992181</v>
      </c>
      <c r="BI57" s="262">
        <f t="shared" ref="BI57" si="153">+BH57*(1+BI58)</f>
        <v>6212.9680045619671</v>
      </c>
      <c r="BL57"/>
      <c r="BM57"/>
      <c r="BN57"/>
      <c r="BO57"/>
      <c r="BP57"/>
      <c r="BQ57"/>
    </row>
    <row r="58" spans="2:76" s="248" customFormat="1">
      <c r="B58" s="245" t="s">
        <v>349</v>
      </c>
      <c r="J58" s="210">
        <v>5.0000000000000001E-3</v>
      </c>
      <c r="K58" s="210">
        <v>5.0000000000000001E-3</v>
      </c>
      <c r="L58" s="210">
        <v>5.0000000000000001E-3</v>
      </c>
      <c r="M58" s="210">
        <v>5.0000000000000001E-3</v>
      </c>
      <c r="N58" s="210">
        <v>5.0000000000000001E-3</v>
      </c>
      <c r="O58" s="210">
        <v>5.0000000000000001E-3</v>
      </c>
      <c r="P58" s="210">
        <v>5.0000000000000001E-3</v>
      </c>
      <c r="AL58" s="263"/>
      <c r="AM58" s="263"/>
      <c r="AN58" s="263"/>
      <c r="AO58" s="263"/>
      <c r="AP58" s="263"/>
      <c r="AQ58" s="263"/>
      <c r="AR58" s="263"/>
      <c r="AS58" s="263"/>
      <c r="AT58" s="263"/>
      <c r="AU58" s="263"/>
      <c r="AV58" s="263"/>
      <c r="AW58" s="263"/>
      <c r="AX58" s="263"/>
      <c r="AY58" s="263"/>
      <c r="AZ58" s="263"/>
      <c r="BA58" s="263"/>
      <c r="BB58" s="263"/>
      <c r="BC58" s="263"/>
      <c r="BD58" s="263"/>
      <c r="BE58" s="263"/>
      <c r="BF58" s="210">
        <v>1.25E-3</v>
      </c>
      <c r="BG58" s="210">
        <v>1.25E-3</v>
      </c>
      <c r="BH58" s="210">
        <v>1.25E-3</v>
      </c>
      <c r="BI58" s="210">
        <v>1.25E-3</v>
      </c>
      <c r="BL58"/>
      <c r="BM58"/>
      <c r="BN58"/>
      <c r="BO58"/>
      <c r="BP58"/>
      <c r="BQ58"/>
      <c r="BT58" s="236"/>
    </row>
    <row r="60" spans="2:76" s="253" customFormat="1" ht="16.5" thickBot="1">
      <c r="B60" s="502" t="s">
        <v>7</v>
      </c>
      <c r="C60" s="249"/>
      <c r="D60" s="502">
        <f>SUM(AL60:AO60)</f>
        <v>2.5302706615983199</v>
      </c>
      <c r="E60" s="502">
        <f>SUM(AP60:AS60)</f>
        <v>2.5549018482845045</v>
      </c>
      <c r="F60" s="502">
        <f>SUM(AT60:AW60)</f>
        <v>2.7052415427923568</v>
      </c>
      <c r="G60" s="502">
        <f>SUM(AX60:BA60)</f>
        <v>2.8347822586113511</v>
      </c>
      <c r="H60" s="502">
        <f>SUM(BB60:BE60)</f>
        <v>3.0437507274520552</v>
      </c>
      <c r="I60" s="502">
        <f ca="1">SUM(BF60:BI60)</f>
        <v>3.4669803492150484</v>
      </c>
      <c r="J60" s="502">
        <f ca="1">+J53/J57</f>
        <v>3.5274654105389627</v>
      </c>
      <c r="K60" s="502">
        <f t="shared" ref="K60:P60" ca="1" si="154">+K53/K57</f>
        <v>3.5017138936261345</v>
      </c>
      <c r="L60" s="502">
        <f t="shared" ca="1" si="154"/>
        <v>3.4676052631307517</v>
      </c>
      <c r="M60" s="502">
        <f t="shared" ca="1" si="154"/>
        <v>3.4734535178748835</v>
      </c>
      <c r="N60" s="502">
        <f t="shared" ca="1" si="154"/>
        <v>3.4691628600654778</v>
      </c>
      <c r="O60" s="502">
        <f t="shared" ca="1" si="154"/>
        <v>3.4608794505592066</v>
      </c>
      <c r="P60" s="502">
        <f t="shared" ca="1" si="154"/>
        <v>3.4506646346292009</v>
      </c>
      <c r="Q60" s="249"/>
      <c r="R60" s="249"/>
      <c r="S60" s="249"/>
      <c r="T60" s="249"/>
      <c r="U60" s="249"/>
      <c r="V60" s="249"/>
      <c r="W60" s="249"/>
      <c r="X60" s="249"/>
      <c r="Y60" s="249"/>
      <c r="Z60" s="249"/>
      <c r="AA60" s="249"/>
      <c r="AB60" s="249"/>
      <c r="AC60" s="249"/>
      <c r="AD60" s="249"/>
      <c r="AE60" s="249"/>
      <c r="AF60" s="249"/>
      <c r="AG60" s="249"/>
      <c r="AH60" s="249"/>
      <c r="AI60" s="249"/>
      <c r="AJ60" s="249"/>
      <c r="AK60" s="249"/>
      <c r="AL60" s="502">
        <f t="shared" ref="AL60:AV60" si="155">+AL53/AL57</f>
        <v>0.64287522603978298</v>
      </c>
      <c r="AM60" s="502">
        <f t="shared" si="155"/>
        <v>0.67780618862330921</v>
      </c>
      <c r="AN60" s="502">
        <f t="shared" si="155"/>
        <v>0.6680210091915213</v>
      </c>
      <c r="AO60" s="502">
        <f t="shared" si="155"/>
        <v>0.54156823774370622</v>
      </c>
      <c r="AP60" s="502">
        <f t="shared" si="155"/>
        <v>0.7155021000381826</v>
      </c>
      <c r="AQ60" s="502">
        <f t="shared" si="155"/>
        <v>0.63161877394636023</v>
      </c>
      <c r="AR60" s="502">
        <f t="shared" si="155"/>
        <v>0.65209627924817803</v>
      </c>
      <c r="AS60" s="502">
        <f t="shared" si="155"/>
        <v>0.55568469505178364</v>
      </c>
      <c r="AT60" s="502">
        <f t="shared" si="155"/>
        <v>0.64558344510442622</v>
      </c>
      <c r="AU60" s="502">
        <f t="shared" si="155"/>
        <v>0.69932950191570886</v>
      </c>
      <c r="AV60" s="502">
        <f t="shared" si="155"/>
        <v>0.73525828706040708</v>
      </c>
      <c r="AW60" s="502">
        <f t="shared" ref="AW60:BB60" si="156">+AW53/AW57</f>
        <v>0.62507030871181501</v>
      </c>
      <c r="AX60" s="502">
        <f t="shared" si="156"/>
        <v>0.71720193861066228</v>
      </c>
      <c r="AY60" s="502">
        <f t="shared" si="156"/>
        <v>0.71589991928974983</v>
      </c>
      <c r="AZ60" s="502">
        <f t="shared" si="156"/>
        <v>0.73873000484730977</v>
      </c>
      <c r="BA60" s="502">
        <f t="shared" si="156"/>
        <v>0.66295039586362903</v>
      </c>
      <c r="BB60" s="502">
        <f t="shared" si="156"/>
        <v>0.73876495311994828</v>
      </c>
      <c r="BC60" s="502">
        <f t="shared" ref="BC60:BD60" si="157">+BC53/BC57</f>
        <v>0.78897153945666232</v>
      </c>
      <c r="BD60" s="502">
        <f t="shared" si="157"/>
        <v>0.73568424458104176</v>
      </c>
      <c r="BE60" s="502">
        <f t="shared" ref="BE60" si="158">+BE53/BE57</f>
        <v>0.78032999029440309</v>
      </c>
      <c r="BF60" s="502">
        <f t="shared" ref="BF60:BI60" ca="1" si="159">+BF53/BF57</f>
        <v>0.86647798007139554</v>
      </c>
      <c r="BG60" s="502">
        <f t="shared" ca="1" si="159"/>
        <v>0.89474159120008656</v>
      </c>
      <c r="BH60" s="502">
        <f t="shared" ca="1" si="159"/>
        <v>0.91384557341665729</v>
      </c>
      <c r="BI60" s="502">
        <f t="shared" ca="1" si="159"/>
        <v>0.79191520452690845</v>
      </c>
      <c r="BL60"/>
      <c r="BM60"/>
      <c r="BN60"/>
      <c r="BO60"/>
      <c r="BP60"/>
      <c r="BQ60"/>
    </row>
    <row r="61" spans="2:76" s="244" customFormat="1" ht="16.5" thickTop="1">
      <c r="B61" s="245" t="s">
        <v>252</v>
      </c>
      <c r="E61" s="244">
        <f t="shared" ref="E61:J61" si="160">+E60/D60-1</f>
        <v>9.7346054949811744E-3</v>
      </c>
      <c r="F61" s="244">
        <f t="shared" si="160"/>
        <v>5.8843628223447464E-2</v>
      </c>
      <c r="G61" s="244">
        <f t="shared" si="160"/>
        <v>4.7885083002711104E-2</v>
      </c>
      <c r="H61" s="244">
        <f t="shared" si="160"/>
        <v>7.3715880013680346E-2</v>
      </c>
      <c r="I61" s="244">
        <f t="shared" ca="1" si="160"/>
        <v>0.13904871313732103</v>
      </c>
      <c r="J61" s="244">
        <f t="shared" ca="1" si="160"/>
        <v>1.7446035232824064E-2</v>
      </c>
      <c r="K61" s="244">
        <f t="shared" ref="K61" ca="1" si="161">+K60/J60-1</f>
        <v>-7.3002889938738047E-3</v>
      </c>
      <c r="L61" s="244">
        <f t="shared" ref="L61" ca="1" si="162">+L60/K60-1</f>
        <v>-9.7405532066647815E-3</v>
      </c>
      <c r="M61" s="244">
        <f t="shared" ref="M61" ca="1" si="163">+M60/L60-1</f>
        <v>1.6865399318408691E-3</v>
      </c>
      <c r="N61" s="244">
        <f t="shared" ref="N61" ca="1" si="164">+N60/M60-1</f>
        <v>-1.2352714056270697E-3</v>
      </c>
      <c r="O61" s="244">
        <f t="shared" ref="O61" ca="1" si="165">+O60/N60-1</f>
        <v>-2.3877257541361496E-3</v>
      </c>
      <c r="P61" s="244">
        <f t="shared" ref="P61" ca="1" si="166">+P60/O60-1</f>
        <v>-2.9515087352595115E-3</v>
      </c>
      <c r="AP61" s="244">
        <f t="shared" ref="AP61:BE61" si="167">+AP60/AL60-1</f>
        <v>0.11297195949794658</v>
      </c>
      <c r="AQ61" s="244">
        <f t="shared" si="167"/>
        <v>-6.8142509543561602E-2</v>
      </c>
      <c r="AR61" s="244">
        <f t="shared" si="167"/>
        <v>-2.3838666335683545E-2</v>
      </c>
      <c r="AS61" s="244">
        <f t="shared" si="167"/>
        <v>2.6065888514603008E-2</v>
      </c>
      <c r="AT61" s="244">
        <f t="shared" si="167"/>
        <v>-9.7719706105719562E-2</v>
      </c>
      <c r="AU61" s="244">
        <f t="shared" si="167"/>
        <v>0.10720189260096147</v>
      </c>
      <c r="AV61" s="244">
        <f t="shared" si="167"/>
        <v>0.12753025965446252</v>
      </c>
      <c r="AW61" s="244">
        <f t="shared" si="167"/>
        <v>0.12486507956380799</v>
      </c>
      <c r="AX61" s="244">
        <f t="shared" si="167"/>
        <v>0.11093607503310654</v>
      </c>
      <c r="AY61" s="244">
        <f t="shared" si="167"/>
        <v>2.3694720912887046E-2</v>
      </c>
      <c r="AZ61" s="244">
        <f t="shared" si="167"/>
        <v>4.7217662799596827E-3</v>
      </c>
      <c r="BA61" s="244">
        <f t="shared" si="167"/>
        <v>6.0601322161469628E-2</v>
      </c>
      <c r="BB61" s="244">
        <f t="shared" si="167"/>
        <v>3.0065471589573622E-2</v>
      </c>
      <c r="BC61" s="244">
        <f t="shared" si="167"/>
        <v>0.1020696024653942</v>
      </c>
      <c r="BD61" s="244">
        <f t="shared" si="167"/>
        <v>-4.1229681294691067E-3</v>
      </c>
      <c r="BE61" s="244">
        <f t="shared" si="167"/>
        <v>0.17705637580601041</v>
      </c>
      <c r="BF61" s="244">
        <f t="shared" ref="BF61" ca="1" si="168">+BF60/BB60-1</f>
        <v>0.1728736946874514</v>
      </c>
      <c r="BG61" s="244">
        <f t="shared" ref="BG61" ca="1" si="169">+BG60/BC60-1</f>
        <v>0.13406066816588136</v>
      </c>
      <c r="BH61" s="244">
        <f t="shared" ref="BH61" ca="1" si="170">+BH60/BD60-1</f>
        <v>0.24217091795553536</v>
      </c>
      <c r="BI61" s="244">
        <f t="shared" ref="BI61" ca="1" si="171">+BI60/BE60-1</f>
        <v>1.4846557708405594E-2</v>
      </c>
      <c r="BL61"/>
      <c r="BM61"/>
      <c r="BN61"/>
      <c r="BO61"/>
      <c r="BP61"/>
      <c r="BQ61"/>
    </row>
    <row r="63" spans="2:76" s="250" customFormat="1">
      <c r="B63" s="250" t="s">
        <v>398</v>
      </c>
      <c r="D63" s="250">
        <f>SUM(AL63:AO63)</f>
        <v>1.81</v>
      </c>
      <c r="E63" s="250">
        <f>SUM(AP63:AS63)</f>
        <v>1.85</v>
      </c>
      <c r="F63" s="250">
        <f>SUM(AT63:AW63)</f>
        <v>1.89</v>
      </c>
      <c r="G63" s="250">
        <f>SUM(AX63:BA63)</f>
        <v>1.93</v>
      </c>
      <c r="H63" s="250">
        <f>SUM(BB63:BE63)</f>
        <v>1.97</v>
      </c>
      <c r="I63" s="250">
        <f>SUM(BF63:BI63)</f>
        <v>2.0099999999999998</v>
      </c>
      <c r="J63" s="265">
        <f>+I63+0.04</f>
        <v>2.0499999999999998</v>
      </c>
      <c r="K63" s="265">
        <f t="shared" ref="K63:P63" si="172">+J63+0.04</f>
        <v>2.09</v>
      </c>
      <c r="L63" s="265">
        <f t="shared" si="172"/>
        <v>2.13</v>
      </c>
      <c r="M63" s="265">
        <f t="shared" si="172"/>
        <v>2.17</v>
      </c>
      <c r="N63" s="265">
        <f t="shared" si="172"/>
        <v>2.21</v>
      </c>
      <c r="O63" s="265">
        <f t="shared" si="172"/>
        <v>2.25</v>
      </c>
      <c r="P63" s="265">
        <f t="shared" si="172"/>
        <v>2.29</v>
      </c>
      <c r="AL63" s="264">
        <v>0.45</v>
      </c>
      <c r="AM63" s="264">
        <v>0.45</v>
      </c>
      <c r="AN63" s="264">
        <v>0.45</v>
      </c>
      <c r="AO63" s="264">
        <v>0.46</v>
      </c>
      <c r="AP63" s="264">
        <v>0.46</v>
      </c>
      <c r="AQ63" s="264">
        <v>0.46</v>
      </c>
      <c r="AR63" s="264">
        <v>0.46</v>
      </c>
      <c r="AS63" s="264">
        <v>0.47</v>
      </c>
      <c r="AT63" s="265">
        <v>0.47</v>
      </c>
      <c r="AU63" s="265">
        <v>0.47</v>
      </c>
      <c r="AV63" s="264">
        <v>0.47</v>
      </c>
      <c r="AW63" s="264">
        <v>0.48</v>
      </c>
      <c r="AX63" s="264">
        <v>0.48</v>
      </c>
      <c r="AY63" s="264">
        <v>0.48</v>
      </c>
      <c r="AZ63" s="264">
        <v>0.48</v>
      </c>
      <c r="BA63" s="264">
        <v>0.49</v>
      </c>
      <c r="BB63" s="264">
        <v>0.49</v>
      </c>
      <c r="BC63" s="264">
        <v>0.49</v>
      </c>
      <c r="BD63" s="264">
        <v>0.49</v>
      </c>
      <c r="BE63" s="264">
        <v>0.5</v>
      </c>
      <c r="BF63" s="265">
        <v>0.5</v>
      </c>
      <c r="BG63" s="265">
        <v>0.5</v>
      </c>
      <c r="BH63" s="265">
        <v>0.5</v>
      </c>
      <c r="BI63" s="510">
        <v>0.51</v>
      </c>
      <c r="BL63"/>
      <c r="BM63"/>
      <c r="BN63"/>
      <c r="BO63"/>
      <c r="BP63"/>
      <c r="BQ63"/>
    </row>
    <row r="64" spans="2:76" s="244" customFormat="1">
      <c r="B64" s="245" t="s">
        <v>252</v>
      </c>
      <c r="E64" s="244">
        <f t="shared" ref="E64:J64" si="173">+E63/D63-1</f>
        <v>2.2099447513812098E-2</v>
      </c>
      <c r="F64" s="244">
        <f t="shared" si="173"/>
        <v>2.1621621621621623E-2</v>
      </c>
      <c r="G64" s="244">
        <f t="shared" si="173"/>
        <v>2.1164021164021163E-2</v>
      </c>
      <c r="H64" s="244">
        <f t="shared" si="173"/>
        <v>2.0725388601036343E-2</v>
      </c>
      <c r="I64" s="244">
        <f t="shared" si="173"/>
        <v>2.0304568527918621E-2</v>
      </c>
      <c r="J64" s="244">
        <f t="shared" si="173"/>
        <v>1.990049751243772E-2</v>
      </c>
      <c r="K64" s="244">
        <f t="shared" ref="K64" si="174">+K63/J63-1</f>
        <v>1.9512195121951237E-2</v>
      </c>
      <c r="L64" s="244">
        <f t="shared" ref="L64" si="175">+L63/K63-1</f>
        <v>1.9138755980861344E-2</v>
      </c>
      <c r="M64" s="244">
        <f t="shared" ref="M64" si="176">+M63/L63-1</f>
        <v>1.8779342723004744E-2</v>
      </c>
      <c r="N64" s="244">
        <f t="shared" ref="N64" si="177">+N63/M63-1</f>
        <v>1.8433179723502224E-2</v>
      </c>
      <c r="O64" s="244">
        <f t="shared" ref="O64" si="178">+O63/N63-1</f>
        <v>1.8099547511312153E-2</v>
      </c>
      <c r="P64" s="244">
        <f t="shared" ref="P64" si="179">+P63/O63-1</f>
        <v>1.7777777777777892E-2</v>
      </c>
      <c r="AP64" s="244">
        <f t="shared" ref="AP64:BE64" si="180">+AP63/AL63-1</f>
        <v>2.2222222222222143E-2</v>
      </c>
      <c r="AQ64" s="244">
        <f t="shared" si="180"/>
        <v>2.2222222222222143E-2</v>
      </c>
      <c r="AR64" s="244">
        <f t="shared" si="180"/>
        <v>2.2222222222222143E-2</v>
      </c>
      <c r="AS64" s="244">
        <f t="shared" si="180"/>
        <v>2.1739130434782483E-2</v>
      </c>
      <c r="AT64" s="244">
        <f t="shared" si="180"/>
        <v>2.1739130434782483E-2</v>
      </c>
      <c r="AU64" s="244">
        <f t="shared" si="180"/>
        <v>2.1739130434782483E-2</v>
      </c>
      <c r="AV64" s="244">
        <f t="shared" si="180"/>
        <v>2.1739130434782483E-2</v>
      </c>
      <c r="AW64" s="244">
        <f t="shared" si="180"/>
        <v>2.1276595744680771E-2</v>
      </c>
      <c r="AX64" s="244">
        <f t="shared" si="180"/>
        <v>2.1276595744680771E-2</v>
      </c>
      <c r="AY64" s="244">
        <f t="shared" si="180"/>
        <v>2.1276595744680771E-2</v>
      </c>
      <c r="AZ64" s="244">
        <f t="shared" si="180"/>
        <v>2.1276595744680771E-2</v>
      </c>
      <c r="BA64" s="244">
        <f t="shared" si="180"/>
        <v>2.0833333333333259E-2</v>
      </c>
      <c r="BB64" s="244">
        <f t="shared" si="180"/>
        <v>2.0833333333333259E-2</v>
      </c>
      <c r="BC64" s="244">
        <f t="shared" si="180"/>
        <v>2.0833333333333259E-2</v>
      </c>
      <c r="BD64" s="244">
        <f t="shared" si="180"/>
        <v>2.0833333333333259E-2</v>
      </c>
      <c r="BE64" s="244">
        <f t="shared" si="180"/>
        <v>2.0408163265306145E-2</v>
      </c>
      <c r="BF64" s="244">
        <f t="shared" ref="BF64" si="181">+BF63/BB63-1</f>
        <v>2.0408163265306145E-2</v>
      </c>
      <c r="BG64" s="244">
        <f t="shared" ref="BG64" si="182">+BG63/BC63-1</f>
        <v>2.0408163265306145E-2</v>
      </c>
      <c r="BH64" s="244">
        <f t="shared" ref="BH64" si="183">+BH63/BD63-1</f>
        <v>2.0408163265306145E-2</v>
      </c>
      <c r="BI64" s="244">
        <f t="shared" ref="BI64" si="184">+BI63/BE63-1</f>
        <v>2.0000000000000018E-2</v>
      </c>
      <c r="BL64"/>
      <c r="BM64"/>
      <c r="BN64"/>
      <c r="BO64"/>
      <c r="BP64"/>
      <c r="BQ64"/>
    </row>
    <row r="65" spans="9:49">
      <c r="AL65" s="266"/>
      <c r="AM65" s="266"/>
      <c r="AN65" s="266"/>
      <c r="AO65" s="266"/>
      <c r="AP65" s="266"/>
      <c r="AQ65" s="266"/>
      <c r="AR65" s="266"/>
      <c r="AS65" s="266"/>
      <c r="AV65" s="266"/>
      <c r="AW65" s="266"/>
    </row>
    <row r="66" spans="9:49" customFormat="1" ht="15"/>
    <row r="67" spans="9:49">
      <c r="AL67" s="266"/>
      <c r="AM67" s="266"/>
      <c r="AN67" s="266"/>
      <c r="AO67" s="266"/>
      <c r="AP67" s="266"/>
      <c r="AQ67" s="266"/>
      <c r="AR67" s="266"/>
      <c r="AS67" s="266"/>
      <c r="AV67" s="266"/>
    </row>
    <row r="68" spans="9:49">
      <c r="AL68" s="266"/>
      <c r="AM68" s="266"/>
      <c r="AN68" s="266"/>
      <c r="AO68" s="266"/>
      <c r="AP68" s="266"/>
      <c r="AQ68" s="266"/>
      <c r="AR68" s="266"/>
      <c r="AS68" s="266"/>
      <c r="AV68" s="266"/>
    </row>
    <row r="69" spans="9:49">
      <c r="AL69" s="266"/>
      <c r="AM69" s="266"/>
      <c r="AN69" s="266"/>
      <c r="AO69" s="266"/>
      <c r="AP69" s="266"/>
      <c r="AQ69" s="266"/>
      <c r="AR69" s="266"/>
      <c r="AS69" s="266"/>
      <c r="AV69" s="266"/>
    </row>
    <row r="70" spans="9:49">
      <c r="AL70" s="266"/>
      <c r="AM70" s="266"/>
      <c r="AN70" s="266"/>
      <c r="AO70" s="266"/>
      <c r="AP70" s="266"/>
      <c r="AQ70" s="266"/>
      <c r="AR70" s="266"/>
      <c r="AS70" s="266"/>
      <c r="AV70" s="266"/>
    </row>
    <row r="71" spans="9:49">
      <c r="AL71" s="266"/>
      <c r="AM71" s="266"/>
      <c r="AN71" s="266"/>
      <c r="AO71" s="266"/>
      <c r="AP71" s="266"/>
      <c r="AQ71" s="266"/>
      <c r="AR71" s="266"/>
      <c r="AS71" s="266"/>
      <c r="AV71" s="266"/>
    </row>
    <row r="72" spans="9:49">
      <c r="AL72" s="266"/>
      <c r="AM72" s="266"/>
      <c r="AN72" s="266"/>
      <c r="AO72" s="266"/>
      <c r="AP72" s="266"/>
      <c r="AQ72" s="266"/>
      <c r="AR72" s="266"/>
      <c r="AS72" s="266"/>
      <c r="AV72" s="266"/>
    </row>
    <row r="73" spans="9:49">
      <c r="AL73" s="266"/>
      <c r="AM73" s="266"/>
      <c r="AN73" s="266"/>
      <c r="AO73" s="266"/>
      <c r="AP73" s="266"/>
      <c r="AQ73" s="266"/>
      <c r="AR73" s="266"/>
      <c r="AS73" s="266"/>
      <c r="AV73" s="266"/>
    </row>
    <row r="74" spans="9:49">
      <c r="AL74" s="266"/>
      <c r="AM74" s="266"/>
      <c r="AN74" s="266"/>
      <c r="AO74" s="266"/>
      <c r="AP74" s="266"/>
      <c r="AQ74" s="266"/>
      <c r="AR74" s="266"/>
      <c r="AS74" s="266"/>
      <c r="AV74" s="266"/>
    </row>
    <row r="75" spans="9:49">
      <c r="I75" s="236"/>
      <c r="AL75" s="266"/>
      <c r="AM75" s="266"/>
      <c r="AN75" s="266"/>
      <c r="AO75" s="266"/>
      <c r="AP75" s="266"/>
      <c r="AQ75" s="266"/>
      <c r="AR75" s="266"/>
      <c r="AS75" s="266"/>
      <c r="AV75" s="266"/>
    </row>
    <row r="76" spans="9:49">
      <c r="AL76" s="266"/>
      <c r="AM76" s="266"/>
      <c r="AN76" s="266"/>
      <c r="AO76" s="266"/>
      <c r="AP76" s="266"/>
      <c r="AQ76" s="266"/>
      <c r="AR76" s="266"/>
      <c r="AS76" s="266"/>
      <c r="AV76" s="266"/>
    </row>
    <row r="77" spans="9:49">
      <c r="AL77" s="266"/>
      <c r="AM77" s="266"/>
      <c r="AN77" s="266"/>
      <c r="AO77" s="266"/>
      <c r="AP77" s="266"/>
      <c r="AQ77" s="266"/>
      <c r="AR77" s="266"/>
      <c r="AS77" s="266"/>
      <c r="AV77" s="266"/>
    </row>
    <row r="78" spans="9:49">
      <c r="AL78" s="266"/>
      <c r="AM78" s="266"/>
      <c r="AN78" s="266"/>
      <c r="AO78" s="266"/>
      <c r="AP78" s="266"/>
      <c r="AQ78" s="266"/>
      <c r="AR78" s="266"/>
      <c r="AS78" s="266"/>
      <c r="AV78" s="266"/>
    </row>
    <row r="79" spans="9:49">
      <c r="AL79" s="266"/>
      <c r="AM79" s="266"/>
      <c r="AN79" s="266"/>
      <c r="AO79" s="266"/>
      <c r="AP79" s="266"/>
      <c r="AQ79" s="266"/>
      <c r="AR79" s="266"/>
      <c r="AS79" s="266"/>
      <c r="AV79" s="266"/>
    </row>
    <row r="80" spans="9:49">
      <c r="AL80" s="266"/>
      <c r="AM80" s="266"/>
      <c r="AN80" s="266"/>
      <c r="AO80" s="266"/>
      <c r="AP80" s="266"/>
      <c r="AQ80" s="266"/>
      <c r="AR80" s="266"/>
      <c r="AS80" s="266"/>
      <c r="AV80" s="266"/>
    </row>
    <row r="81" spans="38:48">
      <c r="AL81" s="266"/>
      <c r="AM81" s="266"/>
      <c r="AN81" s="266"/>
      <c r="AO81" s="266"/>
      <c r="AP81" s="266"/>
      <c r="AQ81" s="266"/>
      <c r="AR81" s="266"/>
      <c r="AS81" s="266"/>
      <c r="AV81" s="266"/>
    </row>
    <row r="82" spans="38:48">
      <c r="AL82" s="266"/>
      <c r="AM82" s="266"/>
      <c r="AN82" s="266"/>
      <c r="AO82" s="266"/>
      <c r="AP82" s="266"/>
      <c r="AQ82" s="266"/>
      <c r="AR82" s="266"/>
      <c r="AS82" s="266"/>
      <c r="AV82" s="266"/>
    </row>
    <row r="83" spans="38:48">
      <c r="AL83" s="266"/>
      <c r="AM83" s="266"/>
      <c r="AN83" s="266"/>
      <c r="AO83" s="266"/>
      <c r="AP83" s="266"/>
      <c r="AQ83" s="266"/>
      <c r="AR83" s="266"/>
      <c r="AS83" s="266"/>
      <c r="AV83" s="266"/>
    </row>
    <row r="84" spans="38:48">
      <c r="AL84" s="266"/>
      <c r="AM84" s="266"/>
      <c r="AN84" s="266"/>
      <c r="AO84" s="266"/>
      <c r="AP84" s="266"/>
      <c r="AQ84" s="266"/>
      <c r="AR84" s="266"/>
      <c r="AS84" s="266"/>
      <c r="AV84" s="266"/>
    </row>
    <row r="85" spans="38:48">
      <c r="AL85" s="266"/>
      <c r="AM85" s="266"/>
      <c r="AN85" s="266"/>
      <c r="AO85" s="266"/>
      <c r="AP85" s="266"/>
      <c r="AQ85" s="266"/>
      <c r="AR85" s="266"/>
      <c r="AS85" s="266"/>
      <c r="AV85" s="266"/>
    </row>
    <row r="86" spans="38:48">
      <c r="AL86" s="266"/>
      <c r="AM86" s="266"/>
      <c r="AN86" s="266"/>
      <c r="AO86" s="266"/>
      <c r="AP86" s="266"/>
      <c r="AQ86" s="266"/>
      <c r="AR86" s="266"/>
      <c r="AS86" s="266"/>
      <c r="AV86" s="266"/>
    </row>
    <row r="87" spans="38:48">
      <c r="AL87" s="266"/>
      <c r="AM87" s="266"/>
      <c r="AN87" s="266"/>
      <c r="AO87" s="266"/>
      <c r="AP87" s="266"/>
      <c r="AQ87" s="266"/>
      <c r="AR87" s="266"/>
      <c r="AS87" s="266"/>
      <c r="AV87" s="266"/>
    </row>
    <row r="88" spans="38:48">
      <c r="AL88" s="266"/>
      <c r="AM88" s="266"/>
      <c r="AN88" s="266"/>
      <c r="AO88" s="266"/>
      <c r="AP88" s="266"/>
      <c r="AQ88" s="266"/>
      <c r="AR88" s="266"/>
      <c r="AS88" s="266"/>
      <c r="AV88" s="266"/>
    </row>
    <row r="89" spans="38:48">
      <c r="AL89" s="266"/>
      <c r="AM89" s="266"/>
      <c r="AN89" s="266"/>
      <c r="AO89" s="266"/>
      <c r="AP89" s="266"/>
      <c r="AQ89" s="266"/>
      <c r="AR89" s="266"/>
      <c r="AS89" s="266"/>
      <c r="AV89" s="266"/>
    </row>
    <row r="90" spans="38:48">
      <c r="AL90" s="266"/>
      <c r="AM90" s="266"/>
      <c r="AN90" s="266"/>
      <c r="AO90" s="266"/>
      <c r="AP90" s="266"/>
      <c r="AQ90" s="266"/>
      <c r="AR90" s="266"/>
      <c r="AS90" s="266"/>
      <c r="AV90" s="266"/>
    </row>
    <row r="91" spans="38:48">
      <c r="AL91" s="266"/>
      <c r="AM91" s="266"/>
      <c r="AN91" s="266"/>
      <c r="AO91" s="266"/>
      <c r="AP91" s="266"/>
      <c r="AQ91" s="266"/>
      <c r="AR91" s="266"/>
      <c r="AS91" s="266"/>
      <c r="AV91" s="266"/>
    </row>
    <row r="92" spans="38:48">
      <c r="AL92" s="266"/>
      <c r="AM92" s="266"/>
      <c r="AN92" s="266"/>
      <c r="AO92" s="266"/>
      <c r="AP92" s="266"/>
      <c r="AQ92" s="266"/>
      <c r="AR92" s="266"/>
      <c r="AS92" s="266"/>
      <c r="AV92" s="266"/>
    </row>
    <row r="93" spans="38:48">
      <c r="AL93" s="266"/>
      <c r="AM93" s="266"/>
      <c r="AN93" s="266"/>
      <c r="AO93" s="266"/>
      <c r="AP93" s="266"/>
      <c r="AQ93" s="266"/>
      <c r="AR93" s="266"/>
      <c r="AS93" s="266"/>
      <c r="AV93" s="266"/>
    </row>
    <row r="94" spans="38:48">
      <c r="AL94" s="266"/>
      <c r="AM94" s="266"/>
      <c r="AN94" s="266"/>
      <c r="AO94" s="266"/>
      <c r="AP94" s="266"/>
      <c r="AQ94" s="266"/>
      <c r="AR94" s="266"/>
      <c r="AS94" s="266"/>
      <c r="AV94" s="266"/>
    </row>
    <row r="95" spans="38:48">
      <c r="AL95" s="266"/>
      <c r="AM95" s="266"/>
      <c r="AN95" s="266"/>
      <c r="AO95" s="266"/>
      <c r="AP95" s="266"/>
      <c r="AQ95" s="266"/>
      <c r="AR95" s="266"/>
      <c r="AS95" s="266"/>
      <c r="AV95" s="266"/>
    </row>
    <row r="96" spans="38:48">
      <c r="AL96" s="266"/>
      <c r="AM96" s="266"/>
      <c r="AN96" s="266"/>
      <c r="AO96" s="266"/>
      <c r="AP96" s="266"/>
      <c r="AQ96" s="266"/>
      <c r="AR96" s="266"/>
      <c r="AS96" s="266"/>
      <c r="AV96" s="266"/>
    </row>
    <row r="97" spans="38:48">
      <c r="AL97" s="266"/>
      <c r="AM97" s="266"/>
      <c r="AN97" s="266"/>
      <c r="AO97" s="266"/>
      <c r="AP97" s="266"/>
      <c r="AQ97" s="266"/>
      <c r="AR97" s="266"/>
      <c r="AS97" s="266"/>
      <c r="AV97" s="266"/>
    </row>
    <row r="98" spans="38:48">
      <c r="AL98" s="266"/>
      <c r="AM98" s="266"/>
      <c r="AN98" s="266"/>
      <c r="AO98" s="266"/>
      <c r="AP98" s="266"/>
      <c r="AQ98" s="266"/>
      <c r="AR98" s="266"/>
      <c r="AS98" s="266"/>
      <c r="AV98" s="266"/>
    </row>
    <row r="99" spans="38:48">
      <c r="AL99" s="266"/>
      <c r="AM99" s="266"/>
      <c r="AN99" s="266"/>
      <c r="AO99" s="266"/>
      <c r="AP99" s="266"/>
      <c r="AQ99" s="266"/>
      <c r="AR99" s="266"/>
      <c r="AS99" s="266"/>
      <c r="AV99" s="266"/>
    </row>
    <row r="100" spans="38:48">
      <c r="AL100" s="266"/>
      <c r="AM100" s="266"/>
      <c r="AN100" s="266"/>
      <c r="AO100" s="266"/>
      <c r="AP100" s="266"/>
      <c r="AQ100" s="266"/>
      <c r="AR100" s="266"/>
      <c r="AS100" s="266"/>
      <c r="AV100" s="266"/>
    </row>
    <row r="101" spans="38:48">
      <c r="AL101" s="266"/>
      <c r="AM101" s="266"/>
      <c r="AN101" s="266"/>
      <c r="AO101" s="266"/>
      <c r="AP101" s="266"/>
      <c r="AQ101" s="266"/>
      <c r="AR101" s="266"/>
      <c r="AS101" s="266"/>
      <c r="AV101" s="266"/>
    </row>
    <row r="102" spans="38:48">
      <c r="AL102" s="266"/>
      <c r="AM102" s="266"/>
      <c r="AN102" s="266"/>
      <c r="AO102" s="266"/>
      <c r="AP102" s="266"/>
      <c r="AQ102" s="266"/>
      <c r="AR102" s="266"/>
      <c r="AS102" s="266"/>
      <c r="AV102" s="266"/>
    </row>
    <row r="103" spans="38:48">
      <c r="AL103" s="266"/>
      <c r="AM103" s="266"/>
      <c r="AN103" s="266"/>
      <c r="AO103" s="266"/>
      <c r="AP103" s="266"/>
      <c r="AQ103" s="266"/>
      <c r="AR103" s="266"/>
      <c r="AS103" s="266"/>
      <c r="AV103" s="266"/>
    </row>
    <row r="104" spans="38:48">
      <c r="AL104" s="266"/>
      <c r="AM104" s="266"/>
      <c r="AN104" s="266"/>
      <c r="AO104" s="266"/>
      <c r="AP104" s="266"/>
      <c r="AQ104" s="266"/>
      <c r="AR104" s="266"/>
      <c r="AS104" s="266"/>
      <c r="AV104" s="266"/>
    </row>
    <row r="105" spans="38:48">
      <c r="AL105" s="266"/>
      <c r="AM105" s="266"/>
      <c r="AN105" s="266"/>
      <c r="AO105" s="266"/>
      <c r="AP105" s="266"/>
      <c r="AQ105" s="266"/>
      <c r="AR105" s="266"/>
      <c r="AS105" s="266"/>
      <c r="AV105" s="266"/>
    </row>
    <row r="106" spans="38:48">
      <c r="AL106" s="266"/>
      <c r="AM106" s="266"/>
      <c r="AN106" s="266"/>
      <c r="AO106" s="266"/>
      <c r="AP106" s="266"/>
      <c r="AQ106" s="266"/>
      <c r="AR106" s="266"/>
      <c r="AS106" s="266"/>
      <c r="AV106" s="266"/>
    </row>
    <row r="107" spans="38:48">
      <c r="AL107" s="266"/>
      <c r="AM107" s="266"/>
      <c r="AN107" s="266"/>
      <c r="AO107" s="266"/>
      <c r="AP107" s="266"/>
      <c r="AQ107" s="266"/>
      <c r="AR107" s="266"/>
      <c r="AS107" s="266"/>
      <c r="AV107" s="266"/>
    </row>
    <row r="108" spans="38:48">
      <c r="AL108" s="266"/>
      <c r="AM108" s="266"/>
      <c r="AN108" s="266"/>
      <c r="AO108" s="266"/>
      <c r="AP108" s="266"/>
      <c r="AQ108" s="266"/>
      <c r="AR108" s="266"/>
      <c r="AS108" s="266"/>
      <c r="AV108" s="266"/>
    </row>
    <row r="109" spans="38:48">
      <c r="AL109" s="266"/>
      <c r="AM109" s="266"/>
      <c r="AN109" s="266"/>
      <c r="AO109" s="266"/>
      <c r="AP109" s="266"/>
      <c r="AQ109" s="266"/>
      <c r="AR109" s="266"/>
      <c r="AS109" s="266"/>
      <c r="AV109" s="266"/>
    </row>
    <row r="110" spans="38:48">
      <c r="AL110" s="266"/>
      <c r="AM110" s="266"/>
      <c r="AN110" s="266"/>
      <c r="AO110" s="266"/>
      <c r="AP110" s="266"/>
      <c r="AQ110" s="266"/>
      <c r="AR110" s="266"/>
      <c r="AS110" s="266"/>
      <c r="AV110" s="266"/>
    </row>
    <row r="111" spans="38:48">
      <c r="AL111" s="266"/>
      <c r="AM111" s="266"/>
      <c r="AN111" s="266"/>
      <c r="AO111" s="266"/>
      <c r="AP111" s="266"/>
      <c r="AQ111" s="266"/>
      <c r="AR111" s="266"/>
      <c r="AS111" s="266"/>
      <c r="AV111" s="266"/>
    </row>
    <row r="112" spans="38:48">
      <c r="AL112" s="266"/>
      <c r="AM112" s="266"/>
      <c r="AN112" s="266"/>
      <c r="AO112" s="266"/>
      <c r="AP112" s="266"/>
      <c r="AQ112" s="266"/>
      <c r="AR112" s="266"/>
      <c r="AS112" s="266"/>
      <c r="AV112" s="266"/>
    </row>
    <row r="113" spans="38:48">
      <c r="AL113" s="266"/>
      <c r="AM113" s="266"/>
      <c r="AN113" s="266"/>
      <c r="AO113" s="266"/>
      <c r="AP113" s="266"/>
      <c r="AQ113" s="266"/>
      <c r="AR113" s="266"/>
      <c r="AS113" s="266"/>
      <c r="AV113" s="266"/>
    </row>
    <row r="114" spans="38:48">
      <c r="AL114" s="266"/>
      <c r="AM114" s="266"/>
      <c r="AN114" s="266"/>
      <c r="AO114" s="266"/>
      <c r="AP114" s="266"/>
      <c r="AQ114" s="266"/>
      <c r="AR114" s="266"/>
      <c r="AS114" s="266"/>
      <c r="AV114" s="266"/>
    </row>
    <row r="115" spans="38:48">
      <c r="AL115" s="266"/>
      <c r="AM115" s="266"/>
      <c r="AN115" s="266"/>
      <c r="AO115" s="266"/>
      <c r="AP115" s="266"/>
      <c r="AQ115" s="266"/>
      <c r="AR115" s="266"/>
      <c r="AS115" s="266"/>
      <c r="AV115" s="266"/>
    </row>
    <row r="116" spans="38:48">
      <c r="AL116" s="266"/>
      <c r="AM116" s="266"/>
      <c r="AN116" s="266"/>
      <c r="AO116" s="266"/>
      <c r="AP116" s="266"/>
      <c r="AQ116" s="266"/>
      <c r="AR116" s="266"/>
      <c r="AS116" s="266"/>
      <c r="AV116" s="266"/>
    </row>
    <row r="117" spans="38:48">
      <c r="AL117" s="266"/>
      <c r="AM117" s="266"/>
      <c r="AN117" s="266"/>
      <c r="AO117" s="266"/>
      <c r="AP117" s="266"/>
      <c r="AQ117" s="266"/>
      <c r="AR117" s="266"/>
      <c r="AS117" s="266"/>
      <c r="AV117" s="266"/>
    </row>
    <row r="118" spans="38:48">
      <c r="AL118" s="266"/>
      <c r="AM118" s="266"/>
      <c r="AN118" s="266"/>
      <c r="AO118" s="266"/>
      <c r="AP118" s="266"/>
      <c r="AQ118" s="266"/>
      <c r="AR118" s="266"/>
      <c r="AS118" s="266"/>
      <c r="AV118" s="266"/>
    </row>
    <row r="119" spans="38:48">
      <c r="AL119" s="266"/>
      <c r="AM119" s="266"/>
      <c r="AN119" s="266"/>
      <c r="AO119" s="266"/>
      <c r="AP119" s="266"/>
      <c r="AQ119" s="266"/>
      <c r="AR119" s="266"/>
      <c r="AS119" s="266"/>
      <c r="AV119" s="266"/>
    </row>
    <row r="120" spans="38:48">
      <c r="AL120" s="266"/>
      <c r="AM120" s="266"/>
      <c r="AN120" s="266"/>
      <c r="AO120" s="266"/>
      <c r="AP120" s="266"/>
      <c r="AQ120" s="266"/>
      <c r="AR120" s="266"/>
      <c r="AS120" s="266"/>
      <c r="AV120" s="266"/>
    </row>
    <row r="121" spans="38:48">
      <c r="AL121" s="266"/>
      <c r="AM121" s="266"/>
      <c r="AN121" s="266"/>
      <c r="AO121" s="266"/>
      <c r="AP121" s="266"/>
      <c r="AQ121" s="266"/>
      <c r="AR121" s="266"/>
      <c r="AS121" s="266"/>
      <c r="AV121" s="266"/>
    </row>
    <row r="122" spans="38:48">
      <c r="AL122" s="266"/>
      <c r="AM122" s="266"/>
      <c r="AN122" s="266"/>
      <c r="AO122" s="266"/>
      <c r="AP122" s="266"/>
      <c r="AQ122" s="266"/>
      <c r="AR122" s="266"/>
      <c r="AS122" s="266"/>
      <c r="AV122" s="266"/>
    </row>
    <row r="123" spans="38:48">
      <c r="AL123" s="266"/>
      <c r="AM123" s="266"/>
      <c r="AN123" s="266"/>
      <c r="AO123" s="266"/>
      <c r="AP123" s="266"/>
      <c r="AQ123" s="266"/>
      <c r="AR123" s="266"/>
      <c r="AS123" s="266"/>
      <c r="AV123" s="266"/>
    </row>
    <row r="124" spans="38:48">
      <c r="AL124" s="266"/>
      <c r="AM124" s="266"/>
      <c r="AN124" s="266"/>
      <c r="AO124" s="266"/>
      <c r="AP124" s="266"/>
      <c r="AQ124" s="266"/>
      <c r="AR124" s="266"/>
      <c r="AS124" s="266"/>
      <c r="AV124" s="266"/>
    </row>
    <row r="125" spans="38:48">
      <c r="AL125" s="266"/>
      <c r="AM125" s="266"/>
      <c r="AN125" s="266"/>
      <c r="AO125" s="266"/>
      <c r="AP125" s="266"/>
      <c r="AQ125" s="266"/>
      <c r="AR125" s="266"/>
      <c r="AS125" s="266"/>
      <c r="AV125" s="266"/>
    </row>
    <row r="126" spans="38:48">
      <c r="AL126" s="266"/>
      <c r="AM126" s="266"/>
      <c r="AN126" s="266"/>
      <c r="AO126" s="266"/>
      <c r="AP126" s="266"/>
      <c r="AQ126" s="266"/>
      <c r="AR126" s="266"/>
      <c r="AS126" s="266"/>
      <c r="AV126" s="266"/>
    </row>
    <row r="127" spans="38:48">
      <c r="AL127" s="266"/>
      <c r="AM127" s="266"/>
      <c r="AN127" s="266"/>
      <c r="AO127" s="266"/>
      <c r="AP127" s="266"/>
      <c r="AQ127" s="266"/>
      <c r="AR127" s="266"/>
      <c r="AS127" s="266"/>
      <c r="AV127" s="266"/>
    </row>
    <row r="128" spans="38:48">
      <c r="AL128" s="266"/>
      <c r="AM128" s="266"/>
      <c r="AN128" s="266"/>
      <c r="AO128" s="266"/>
      <c r="AP128" s="266"/>
      <c r="AQ128" s="266"/>
      <c r="AR128" s="266"/>
      <c r="AS128" s="266"/>
      <c r="AV128" s="266"/>
    </row>
    <row r="129" spans="38:48">
      <c r="AL129" s="266"/>
      <c r="AM129" s="266"/>
      <c r="AN129" s="266"/>
      <c r="AO129" s="266"/>
      <c r="AP129" s="266"/>
      <c r="AQ129" s="266"/>
      <c r="AR129" s="266"/>
      <c r="AS129" s="266"/>
      <c r="AV129" s="266"/>
    </row>
    <row r="130" spans="38:48">
      <c r="AL130" s="266"/>
      <c r="AM130" s="266"/>
      <c r="AN130" s="266"/>
      <c r="AO130" s="266"/>
      <c r="AP130" s="266"/>
      <c r="AQ130" s="266"/>
      <c r="AR130" s="266"/>
      <c r="AS130" s="266"/>
      <c r="AV130" s="266"/>
    </row>
  </sheetData>
  <pageMargins left="0" right="0" top="0" bottom="0" header="0" footer="0"/>
  <pageSetup scale="86"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pageSetUpPr fitToPage="1"/>
  </sheetPr>
  <dimension ref="A2:BP76"/>
  <sheetViews>
    <sheetView showGridLines="0" zoomScale="70" zoomScaleNormal="70" workbookViewId="0">
      <pane xSplit="2" ySplit="6" topLeftCell="C7" activePane="bottomRight" state="frozen"/>
      <selection activeCell="C7" sqref="C7"/>
      <selection pane="topRight" activeCell="C7" sqref="C7"/>
      <selection pane="bottomLeft" activeCell="C7" sqref="C7"/>
      <selection pane="bottomRight" activeCell="B6" sqref="B6:BI49"/>
    </sheetView>
  </sheetViews>
  <sheetFormatPr defaultRowHeight="15.75" outlineLevelRow="1" outlineLevelCol="1"/>
  <cols>
    <col min="1" max="1" width="1.6640625" style="235" customWidth="1"/>
    <col min="2" max="2" width="25.77734375" style="235" customWidth="1"/>
    <col min="3" max="3" width="1.6640625" style="235" customWidth="1"/>
    <col min="4" max="4" width="0" style="235" hidden="1" customWidth="1" outlineLevel="1"/>
    <col min="5" max="6" width="0" style="235" hidden="1" customWidth="1" outlineLevel="1" collapsed="1"/>
    <col min="7" max="7" width="8.88671875" style="235" collapsed="1"/>
    <col min="8" max="8" width="8.88671875" style="235"/>
    <col min="9" max="10" width="8.88671875" style="235" customWidth="1"/>
    <col min="11" max="16" width="8.88671875" style="235" hidden="1" customWidth="1" outlineLevel="1"/>
    <col min="17" max="17" width="1.6640625" style="235" customWidth="1" collapsed="1"/>
    <col min="18" max="37" width="1.6640625" style="235" hidden="1" customWidth="1" outlineLevel="1"/>
    <col min="38" max="41" width="8.88671875" style="235" hidden="1" customWidth="1" outlineLevel="1"/>
    <col min="42" max="42" width="8.88671875" style="235" hidden="1" customWidth="1" outlineLevel="1" collapsed="1"/>
    <col min="43" max="45" width="8.88671875" style="235" hidden="1" customWidth="1" outlineLevel="1"/>
    <col min="46" max="46" width="8.88671875" style="235" hidden="1" customWidth="1" outlineLevel="1" collapsed="1"/>
    <col min="47" max="49" width="8.88671875" style="235" hidden="1" customWidth="1" outlineLevel="1"/>
    <col min="50" max="50" width="0" style="235" hidden="1" customWidth="1" outlineLevel="1" collapsed="1"/>
    <col min="51" max="53" width="0" style="235" hidden="1" customWidth="1" outlineLevel="1"/>
    <col min="54" max="54" width="8.88671875" style="235" collapsed="1"/>
    <col min="55" max="61" width="8.88671875" style="235"/>
    <col min="62" max="62" width="1.6640625" style="235" customWidth="1"/>
    <col min="69" max="16384" width="8.88671875" style="235"/>
  </cols>
  <sheetData>
    <row r="2" spans="1:68">
      <c r="B2" s="240" t="s">
        <v>197</v>
      </c>
    </row>
    <row r="3" spans="1:68">
      <c r="B3" s="240" t="s">
        <v>198</v>
      </c>
      <c r="G3" s="273"/>
    </row>
    <row r="4" spans="1:68">
      <c r="B4" s="235" t="s">
        <v>165</v>
      </c>
    </row>
    <row r="5" spans="1:68" ht="16.5" thickBot="1"/>
    <row r="6" spans="1:68" s="198" customFormat="1" ht="16.5" thickBot="1">
      <c r="A6" s="251"/>
      <c r="B6" s="194" t="s">
        <v>256</v>
      </c>
      <c r="C6" s="276"/>
      <c r="D6" s="195">
        <f>'Income Statement'!D6</f>
        <v>2013</v>
      </c>
      <c r="E6" s="196">
        <f>'Income Statement'!E6</f>
        <v>2014</v>
      </c>
      <c r="F6" s="196">
        <f>'Income Statement'!F6</f>
        <v>2015</v>
      </c>
      <c r="G6" s="196">
        <f>'Income Statement'!G6</f>
        <v>2016</v>
      </c>
      <c r="H6" s="196">
        <f>'Income Statement'!H6</f>
        <v>2017</v>
      </c>
      <c r="I6" s="196" t="str">
        <f>'Income Statement'!I6</f>
        <v>2018E</v>
      </c>
      <c r="J6" s="196" t="str">
        <f>'Income Statement'!J6</f>
        <v>2019E</v>
      </c>
      <c r="K6" s="196" t="str">
        <f>'Income Statement'!K6</f>
        <v>2020E</v>
      </c>
      <c r="L6" s="196" t="str">
        <f>'Income Statement'!L6</f>
        <v>2021E</v>
      </c>
      <c r="M6" s="196" t="str">
        <f>'Income Statement'!M6</f>
        <v>2022E</v>
      </c>
      <c r="N6" s="196" t="str">
        <f>'Income Statement'!N6</f>
        <v>2023E</v>
      </c>
      <c r="O6" s="196" t="str">
        <f>'Income Statement'!O6</f>
        <v>2024E</v>
      </c>
      <c r="P6" s="197" t="str">
        <f>'Income Statement'!P6</f>
        <v>2025E</v>
      </c>
      <c r="Q6" s="241"/>
      <c r="R6" s="196"/>
      <c r="S6" s="196"/>
      <c r="T6" s="196"/>
      <c r="U6" s="196"/>
      <c r="V6" s="196"/>
      <c r="W6" s="196"/>
      <c r="X6" s="196"/>
      <c r="Y6" s="196"/>
      <c r="Z6" s="196"/>
      <c r="AA6" s="196"/>
      <c r="AB6" s="196"/>
      <c r="AC6" s="196"/>
      <c r="AD6" s="196"/>
      <c r="AE6" s="196"/>
      <c r="AF6" s="196"/>
      <c r="AG6" s="196"/>
      <c r="AH6" s="196"/>
      <c r="AI6" s="196"/>
      <c r="AJ6" s="196"/>
      <c r="AK6" s="196"/>
      <c r="AL6" s="196" t="s">
        <v>248</v>
      </c>
      <c r="AM6" s="196" t="s">
        <v>249</v>
      </c>
      <c r="AN6" s="196" t="s">
        <v>250</v>
      </c>
      <c r="AO6" s="196" t="s">
        <v>251</v>
      </c>
      <c r="AP6" s="196" t="str">
        <f>'Income Statement'!AP6</f>
        <v>1Q14</v>
      </c>
      <c r="AQ6" s="196" t="str">
        <f>'Income Statement'!AQ6</f>
        <v>2Q14</v>
      </c>
      <c r="AR6" s="196" t="str">
        <f>'Income Statement'!AR6</f>
        <v>3Q14</v>
      </c>
      <c r="AS6" s="196" t="str">
        <f>'Income Statement'!AS6</f>
        <v>4Q14</v>
      </c>
      <c r="AT6" s="196" t="str">
        <f>'Income Statement'!AT6</f>
        <v>1Q15</v>
      </c>
      <c r="AU6" s="196" t="str">
        <f>'Income Statement'!AU6</f>
        <v>2Q15</v>
      </c>
      <c r="AV6" s="196" t="str">
        <f>'Income Statement'!AV6</f>
        <v>3Q15</v>
      </c>
      <c r="AW6" s="196" t="str">
        <f>'Income Statement'!AW6</f>
        <v>4Q15</v>
      </c>
      <c r="AX6" s="196" t="str">
        <f>'Income Statement'!AX6</f>
        <v>1Q16</v>
      </c>
      <c r="AY6" s="196" t="str">
        <f>'Income Statement'!AY6</f>
        <v>2Q16</v>
      </c>
      <c r="AZ6" s="196" t="str">
        <f>'Income Statement'!AZ6</f>
        <v>3Q16</v>
      </c>
      <c r="BA6" s="196" t="str">
        <f>'Income Statement'!BA6</f>
        <v>4Q16</v>
      </c>
      <c r="BB6" s="196" t="str">
        <f>'Income Statement'!BB6</f>
        <v>1Q17</v>
      </c>
      <c r="BC6" s="196" t="str">
        <f>'Income Statement'!BC6</f>
        <v>2Q17</v>
      </c>
      <c r="BD6" s="196" t="str">
        <f>'Income Statement'!BD6</f>
        <v>3Q17</v>
      </c>
      <c r="BE6" s="196" t="str">
        <f>'Income Statement'!BE6</f>
        <v>4Q17</v>
      </c>
      <c r="BF6" s="196" t="str">
        <f>'Income Statement'!BF6</f>
        <v>1Q18E</v>
      </c>
      <c r="BG6" s="196" t="str">
        <f>'Income Statement'!BG6</f>
        <v>2Q18E</v>
      </c>
      <c r="BH6" s="196" t="str">
        <f>'Income Statement'!BH6</f>
        <v>3Q18E</v>
      </c>
      <c r="BI6" s="197" t="str">
        <f>'Income Statement'!BI6</f>
        <v>4Q18E</v>
      </c>
      <c r="BJ6" s="251"/>
      <c r="BK6"/>
      <c r="BL6"/>
      <c r="BM6"/>
      <c r="BN6"/>
      <c r="BO6"/>
      <c r="BP6"/>
    </row>
    <row r="7" spans="1:68" s="161" customFormat="1">
      <c r="A7" s="235"/>
      <c r="B7" s="235"/>
      <c r="C7" s="235"/>
      <c r="D7" s="235"/>
      <c r="E7" s="235"/>
      <c r="F7" s="235"/>
      <c r="G7" s="235"/>
      <c r="H7" s="235"/>
      <c r="I7" s="235"/>
      <c r="J7" s="235"/>
      <c r="K7" s="235"/>
      <c r="L7" s="235"/>
      <c r="M7" s="235"/>
      <c r="N7" s="235"/>
      <c r="O7" s="235"/>
      <c r="P7" s="235"/>
      <c r="Q7" s="235"/>
      <c r="R7" s="235"/>
      <c r="S7" s="235"/>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c r="BI7" s="235"/>
      <c r="BJ7" s="235"/>
      <c r="BK7"/>
      <c r="BL7"/>
      <c r="BM7"/>
      <c r="BN7"/>
      <c r="BO7"/>
      <c r="BP7"/>
    </row>
    <row r="8" spans="1:68" s="161" customFormat="1">
      <c r="A8" s="235"/>
      <c r="B8" s="236" t="s">
        <v>353</v>
      </c>
      <c r="C8" s="236"/>
      <c r="D8" s="236">
        <f>+AO8</f>
        <v>3339</v>
      </c>
      <c r="E8" s="236">
        <f>+AS8</f>
        <v>8603</v>
      </c>
      <c r="F8" s="236">
        <f>+AW8</f>
        <v>5121</v>
      </c>
      <c r="G8" s="236">
        <f>+BA8</f>
        <v>5788</v>
      </c>
      <c r="H8" s="236">
        <f>+BE8</f>
        <v>50498</v>
      </c>
      <c r="I8" s="236">
        <f ca="1">+BI8</f>
        <v>59582.178808378638</v>
      </c>
      <c r="J8" s="236">
        <f ca="1">+'Cash Flow'!J47</f>
        <v>65465.168598940902</v>
      </c>
      <c r="K8" s="236">
        <f ca="1">+'Cash Flow'!K47</f>
        <v>70418.036207976853</v>
      </c>
      <c r="L8" s="236">
        <f ca="1">+'Cash Flow'!L47</f>
        <v>74925.910712232668</v>
      </c>
      <c r="M8" s="236">
        <f ca="1">+'Cash Flow'!M47</f>
        <v>79129.662705306851</v>
      </c>
      <c r="N8" s="236">
        <f ca="1">+'Cash Flow'!N47</f>
        <v>83075.939812376571</v>
      </c>
      <c r="O8" s="236">
        <f ca="1">+'Cash Flow'!O47</f>
        <v>86751.984999202687</v>
      </c>
      <c r="P8" s="236">
        <f ca="1">+'Cash Flow'!P47</f>
        <v>90137.642747404898</v>
      </c>
      <c r="Q8" s="236"/>
      <c r="R8" s="236"/>
      <c r="S8" s="236"/>
      <c r="T8" s="236"/>
      <c r="U8" s="236"/>
      <c r="V8" s="236"/>
      <c r="W8" s="236"/>
      <c r="X8" s="236"/>
      <c r="Y8" s="236"/>
      <c r="Z8" s="236"/>
      <c r="AA8" s="236"/>
      <c r="AB8" s="236"/>
      <c r="AC8" s="236"/>
      <c r="AD8" s="236"/>
      <c r="AE8" s="236"/>
      <c r="AF8" s="236"/>
      <c r="AG8" s="236"/>
      <c r="AH8" s="236"/>
      <c r="AI8" s="236"/>
      <c r="AJ8" s="236"/>
      <c r="AK8" s="236"/>
      <c r="AL8" s="261">
        <v>3875</v>
      </c>
      <c r="AM8" s="261">
        <v>4548</v>
      </c>
      <c r="AN8" s="261">
        <v>1371</v>
      </c>
      <c r="AO8" s="261">
        <v>3339</v>
      </c>
      <c r="AP8" s="261">
        <v>3611</v>
      </c>
      <c r="AQ8" s="261">
        <v>11305</v>
      </c>
      <c r="AR8" s="261">
        <v>2458</v>
      </c>
      <c r="AS8" s="261">
        <v>8603</v>
      </c>
      <c r="AT8" s="261">
        <v>4444</v>
      </c>
      <c r="AU8" s="261">
        <v>20956</v>
      </c>
      <c r="AV8" s="261">
        <v>6202</v>
      </c>
      <c r="AW8" s="261">
        <f>+'Cash Flow'!AX46</f>
        <v>5121</v>
      </c>
      <c r="AX8" s="424">
        <f>+'Cash Flow'!AY46</f>
        <v>10008</v>
      </c>
      <c r="AY8" s="424">
        <f>+'Cash Flow'!AZ46</f>
        <v>7208</v>
      </c>
      <c r="AZ8" s="424">
        <f>+'Cash Flow'!BA46</f>
        <v>5895</v>
      </c>
      <c r="BA8" s="424">
        <f>+'Cash Flow'!BB46</f>
        <v>5788</v>
      </c>
      <c r="BB8" s="424">
        <f>+'Cash Flow'!BC46</f>
        <v>14884</v>
      </c>
      <c r="BC8" s="424">
        <f>+'Cash Flow'!BD46</f>
        <v>25617</v>
      </c>
      <c r="BD8" s="424">
        <f>+'Cash Flow'!BE46</f>
        <v>48499</v>
      </c>
      <c r="BE8" s="424">
        <f>+'Cash Flow'!BF46</f>
        <v>50498</v>
      </c>
      <c r="BF8" s="236">
        <f ca="1">+'Cash Flow'!BF47</f>
        <v>51189.667751389796</v>
      </c>
      <c r="BG8" s="236">
        <f ca="1">+'Cash Flow'!BG47</f>
        <v>53290.41175839799</v>
      </c>
      <c r="BH8" s="236">
        <f ca="1">+'Cash Flow'!BH47</f>
        <v>55479.263875134282</v>
      </c>
      <c r="BI8" s="236">
        <f ca="1">+'Cash Flow'!BI47</f>
        <v>59582.178808378638</v>
      </c>
      <c r="BJ8" s="235"/>
      <c r="BK8"/>
      <c r="BL8"/>
      <c r="BM8"/>
      <c r="BN8"/>
      <c r="BO8"/>
      <c r="BP8"/>
    </row>
    <row r="9" spans="1:68" s="161" customFormat="1">
      <c r="A9" s="235"/>
      <c r="B9" s="236" t="s">
        <v>15</v>
      </c>
      <c r="C9" s="236"/>
      <c r="D9" s="236">
        <f>+AO9</f>
        <v>12918</v>
      </c>
      <c r="E9" s="236">
        <f>+AS9</f>
        <v>14527</v>
      </c>
      <c r="F9" s="236">
        <f>+AW9</f>
        <v>16532</v>
      </c>
      <c r="G9" s="236">
        <f>+BA9</f>
        <v>16794</v>
      </c>
      <c r="H9" s="236">
        <f t="shared" ref="H9:H11" si="0">+BE9</f>
        <v>16522</v>
      </c>
      <c r="I9" s="236">
        <f ca="1">+BI9</f>
        <v>15326.257829097132</v>
      </c>
      <c r="J9" s="236">
        <f ca="1">+J55*'Income Statement'!J13/360</f>
        <v>15538.581090298236</v>
      </c>
      <c r="K9" s="236">
        <f ca="1">+K55*'Income Statement'!K13/360</f>
        <v>15728.291253642754</v>
      </c>
      <c r="L9" s="236">
        <f ca="1">+L55*'Income Statement'!L13/360</f>
        <v>15895.228051492628</v>
      </c>
      <c r="M9" s="236">
        <f ca="1">+M55*'Income Statement'!M13/360</f>
        <v>16047.569083909437</v>
      </c>
      <c r="N9" s="236">
        <f ca="1">+N55*'Income Statement'!N13/360</f>
        <v>16187.513791737834</v>
      </c>
      <c r="O9" s="236">
        <f ca="1">+O55*'Income Statement'!O13/360</f>
        <v>16341.537123092261</v>
      </c>
      <c r="P9" s="236">
        <f ca="1">+P55*'Income Statement'!P13/360</f>
        <v>16527.622801717283</v>
      </c>
      <c r="Q9" s="236"/>
      <c r="R9" s="236"/>
      <c r="S9" s="236"/>
      <c r="T9" s="236"/>
      <c r="U9" s="236"/>
      <c r="V9" s="236"/>
      <c r="W9" s="236"/>
      <c r="X9" s="236"/>
      <c r="Y9" s="236"/>
      <c r="Z9" s="236"/>
      <c r="AA9" s="236"/>
      <c r="AB9" s="236"/>
      <c r="AC9" s="236"/>
      <c r="AD9" s="236"/>
      <c r="AE9" s="236"/>
      <c r="AF9" s="236"/>
      <c r="AG9" s="236"/>
      <c r="AH9" s="236"/>
      <c r="AI9" s="236"/>
      <c r="AJ9" s="236"/>
      <c r="AK9" s="236"/>
      <c r="AL9" s="261">
        <v>12100</v>
      </c>
      <c r="AM9" s="261">
        <v>12508</v>
      </c>
      <c r="AN9" s="261">
        <v>12444</v>
      </c>
      <c r="AO9" s="261">
        <v>12918</v>
      </c>
      <c r="AP9" s="261">
        <v>13120</v>
      </c>
      <c r="AQ9" s="261">
        <v>13001</v>
      </c>
      <c r="AR9" s="261">
        <v>13445</v>
      </c>
      <c r="AS9" s="261">
        <v>14527</v>
      </c>
      <c r="AT9" s="261">
        <v>13592</v>
      </c>
      <c r="AU9" s="261">
        <v>13821</v>
      </c>
      <c r="AV9" s="261">
        <v>16329</v>
      </c>
      <c r="AW9" s="261">
        <v>16532</v>
      </c>
      <c r="AX9" s="261">
        <v>16070</v>
      </c>
      <c r="AY9" s="261">
        <v>15830</v>
      </c>
      <c r="AZ9" s="261">
        <v>16855</v>
      </c>
      <c r="BA9" s="261">
        <v>16794</v>
      </c>
      <c r="BB9" s="261">
        <v>15078</v>
      </c>
      <c r="BC9" s="261">
        <v>14997</v>
      </c>
      <c r="BD9" s="261">
        <v>15876</v>
      </c>
      <c r="BE9" s="261">
        <v>16522</v>
      </c>
      <c r="BF9" s="236">
        <f ca="1">+BF55*'Income Statement'!BF13/90</f>
        <v>14486.080492352436</v>
      </c>
      <c r="BG9" s="236">
        <f ca="1">+BG55*'Income Statement'!BG13/90</f>
        <v>14569.55800282883</v>
      </c>
      <c r="BH9" s="236">
        <f ca="1">+BH55*'Income Statement'!BH13/90</f>
        <v>14610.51315199324</v>
      </c>
      <c r="BI9" s="236">
        <f ca="1">+BI55*'Income Statement'!BI13/90</f>
        <v>15326.257829097132</v>
      </c>
      <c r="BJ9" s="235"/>
      <c r="BK9"/>
      <c r="BL9"/>
      <c r="BM9"/>
      <c r="BN9"/>
      <c r="BO9"/>
      <c r="BP9"/>
    </row>
    <row r="10" spans="1:68" s="161" customFormat="1">
      <c r="A10" s="235"/>
      <c r="B10" s="236" t="s">
        <v>107</v>
      </c>
      <c r="C10" s="236"/>
      <c r="D10" s="236">
        <f>+AO10</f>
        <v>960</v>
      </c>
      <c r="E10" s="236">
        <f>+AS10</f>
        <v>831</v>
      </c>
      <c r="F10" s="236">
        <f>+AW10</f>
        <v>1072</v>
      </c>
      <c r="G10" s="236">
        <f>+BA10</f>
        <v>1555</v>
      </c>
      <c r="H10" s="236">
        <f t="shared" si="0"/>
        <v>1369</v>
      </c>
      <c r="I10" s="236">
        <f>+BI10</f>
        <v>1369</v>
      </c>
      <c r="J10" s="236">
        <f>+I10</f>
        <v>1369</v>
      </c>
      <c r="K10" s="236">
        <f t="shared" ref="K10:P10" si="1">+J10</f>
        <v>1369</v>
      </c>
      <c r="L10" s="236">
        <f t="shared" si="1"/>
        <v>1369</v>
      </c>
      <c r="M10" s="236">
        <f t="shared" si="1"/>
        <v>1369</v>
      </c>
      <c r="N10" s="236">
        <f t="shared" si="1"/>
        <v>1369</v>
      </c>
      <c r="O10" s="236">
        <f t="shared" si="1"/>
        <v>1369</v>
      </c>
      <c r="P10" s="236">
        <f t="shared" si="1"/>
        <v>1369</v>
      </c>
      <c r="Q10" s="236"/>
      <c r="R10" s="236"/>
      <c r="S10" s="236"/>
      <c r="T10" s="236"/>
      <c r="U10" s="236"/>
      <c r="V10" s="236"/>
      <c r="W10" s="236"/>
      <c r="X10" s="236"/>
      <c r="Y10" s="236"/>
      <c r="Z10" s="236"/>
      <c r="AA10" s="236"/>
      <c r="AB10" s="236"/>
      <c r="AC10" s="236"/>
      <c r="AD10" s="236"/>
      <c r="AE10" s="236"/>
      <c r="AF10" s="236"/>
      <c r="AG10" s="236"/>
      <c r="AH10" s="236"/>
      <c r="AI10" s="236"/>
      <c r="AJ10" s="236"/>
      <c r="AK10" s="236"/>
      <c r="AL10" s="261">
        <v>1021</v>
      </c>
      <c r="AM10" s="261">
        <v>1038</v>
      </c>
      <c r="AN10" s="261">
        <v>1022</v>
      </c>
      <c r="AO10" s="261">
        <v>960</v>
      </c>
      <c r="AP10" s="261">
        <v>1000</v>
      </c>
      <c r="AQ10" s="261">
        <v>928</v>
      </c>
      <c r="AR10" s="261">
        <v>869</v>
      </c>
      <c r="AS10" s="261">
        <v>831</v>
      </c>
      <c r="AT10" s="261">
        <v>930</v>
      </c>
      <c r="AU10" s="261">
        <v>834</v>
      </c>
      <c r="AV10" s="261">
        <v>1166</v>
      </c>
      <c r="AW10" s="261">
        <v>1072</v>
      </c>
      <c r="AX10" s="261">
        <v>1378</v>
      </c>
      <c r="AY10" s="261">
        <v>1197</v>
      </c>
      <c r="AZ10" s="261">
        <v>1333</v>
      </c>
      <c r="BA10" s="261">
        <v>1555</v>
      </c>
      <c r="BB10" s="261">
        <v>1418</v>
      </c>
      <c r="BC10" s="261">
        <v>1371</v>
      </c>
      <c r="BD10" s="261">
        <v>1258</v>
      </c>
      <c r="BE10" s="261">
        <v>1369</v>
      </c>
      <c r="BF10" s="236">
        <f t="shared" ref="BF10" si="2">+BE10</f>
        <v>1369</v>
      </c>
      <c r="BG10" s="236">
        <f t="shared" ref="BG10" si="3">+BF10</f>
        <v>1369</v>
      </c>
      <c r="BH10" s="236">
        <f t="shared" ref="BH10" si="4">+BG10</f>
        <v>1369</v>
      </c>
      <c r="BI10" s="236">
        <f t="shared" ref="BI10" si="5">+BH10</f>
        <v>1369</v>
      </c>
      <c r="BJ10" s="235"/>
      <c r="BK10"/>
      <c r="BL10"/>
      <c r="BM10"/>
      <c r="BN10"/>
      <c r="BO10"/>
      <c r="BP10"/>
    </row>
    <row r="11" spans="1:68" s="161" customFormat="1">
      <c r="A11" s="235"/>
      <c r="B11" s="236" t="s">
        <v>16</v>
      </c>
      <c r="C11" s="236"/>
      <c r="D11" s="236">
        <f>+AO11</f>
        <v>5979</v>
      </c>
      <c r="E11" s="236">
        <f>+AS11</f>
        <v>9802</v>
      </c>
      <c r="F11" s="236">
        <f>+AW11</f>
        <v>13267</v>
      </c>
      <c r="G11" s="236">
        <f>+BA11</f>
        <v>14232</v>
      </c>
      <c r="H11" s="236">
        <f t="shared" si="0"/>
        <v>10757</v>
      </c>
      <c r="I11" s="236">
        <f>+BI11</f>
        <v>10757</v>
      </c>
      <c r="J11" s="236">
        <f>+I11-'Cash Flow'!J19</f>
        <v>10757</v>
      </c>
      <c r="K11" s="236">
        <f>+J11-'Cash Flow'!K19</f>
        <v>10757</v>
      </c>
      <c r="L11" s="236">
        <f>+K11-'Cash Flow'!L19</f>
        <v>10757</v>
      </c>
      <c r="M11" s="236">
        <f>+L11-'Cash Flow'!M19</f>
        <v>10757</v>
      </c>
      <c r="N11" s="236">
        <f>+M11-'Cash Flow'!N19</f>
        <v>10757</v>
      </c>
      <c r="O11" s="236">
        <f>+N11-'Cash Flow'!O19</f>
        <v>10757</v>
      </c>
      <c r="P11" s="236">
        <f>+O11-'Cash Flow'!P19</f>
        <v>10757</v>
      </c>
      <c r="Q11" s="236"/>
      <c r="R11" s="236"/>
      <c r="S11" s="236"/>
      <c r="T11" s="236"/>
      <c r="U11" s="236"/>
      <c r="V11" s="236"/>
      <c r="W11" s="236"/>
      <c r="X11" s="236"/>
      <c r="Y11" s="236"/>
      <c r="Z11" s="236"/>
      <c r="AA11" s="236"/>
      <c r="AB11" s="236"/>
      <c r="AC11" s="236"/>
      <c r="AD11" s="236"/>
      <c r="AE11" s="236"/>
      <c r="AF11" s="236"/>
      <c r="AG11" s="236"/>
      <c r="AH11" s="236"/>
      <c r="AI11" s="236"/>
      <c r="AJ11" s="236"/>
      <c r="AK11" s="236"/>
      <c r="AL11" s="261">
        <f>980+2396</f>
        <v>3376</v>
      </c>
      <c r="AM11" s="261">
        <f>953+2381</f>
        <v>3334</v>
      </c>
      <c r="AN11" s="261">
        <f>682+2916</f>
        <v>3598</v>
      </c>
      <c r="AO11" s="261">
        <f>1199+4780</f>
        <v>5979</v>
      </c>
      <c r="AP11" s="261">
        <f>1171+5187</f>
        <v>6358</v>
      </c>
      <c r="AQ11" s="261">
        <f>1180+6698</f>
        <v>7878</v>
      </c>
      <c r="AR11" s="261">
        <f>1030+8033</f>
        <v>9063</v>
      </c>
      <c r="AS11" s="261">
        <v>9802</v>
      </c>
      <c r="AT11" s="261">
        <f>1538+6906</f>
        <v>8444</v>
      </c>
      <c r="AU11" s="261">
        <f>1131+6421</f>
        <v>7552</v>
      </c>
      <c r="AV11" s="261">
        <v>11254</v>
      </c>
      <c r="AW11" s="261">
        <v>13267</v>
      </c>
      <c r="AX11" s="261">
        <v>10545</v>
      </c>
      <c r="AY11" s="261">
        <v>11770</v>
      </c>
      <c r="AZ11" s="261">
        <v>13291</v>
      </c>
      <c r="BA11" s="261">
        <v>14232</v>
      </c>
      <c r="BB11" s="261">
        <v>14347</v>
      </c>
      <c r="BC11" s="261">
        <v>11562</v>
      </c>
      <c r="BD11" s="261">
        <v>10724</v>
      </c>
      <c r="BE11" s="261">
        <v>10757</v>
      </c>
      <c r="BF11" s="236">
        <f>+BE11-'Cash Flow'!BF19</f>
        <v>10757</v>
      </c>
      <c r="BG11" s="236">
        <f>+BF11-'Cash Flow'!BG19</f>
        <v>10757</v>
      </c>
      <c r="BH11" s="236">
        <f>+BG11-'Cash Flow'!BH19</f>
        <v>10757</v>
      </c>
      <c r="BI11" s="236">
        <f>+BH11-'Cash Flow'!BI19</f>
        <v>10757</v>
      </c>
      <c r="BJ11" s="235"/>
      <c r="BK11"/>
      <c r="BL11"/>
      <c r="BM11"/>
      <c r="BN11"/>
      <c r="BO11"/>
      <c r="BP11"/>
    </row>
    <row r="12" spans="1:68" s="162" customFormat="1">
      <c r="A12" s="240"/>
      <c r="B12" s="277" t="s">
        <v>354</v>
      </c>
      <c r="C12" s="252"/>
      <c r="D12" s="252">
        <f t="shared" ref="D12:J12" si="6">SUM(D8:D11)</f>
        <v>23196</v>
      </c>
      <c r="E12" s="252">
        <f t="shared" si="6"/>
        <v>33763</v>
      </c>
      <c r="F12" s="252">
        <f t="shared" si="6"/>
        <v>35992</v>
      </c>
      <c r="G12" s="252">
        <f>SUM(G8:G11)</f>
        <v>38369</v>
      </c>
      <c r="H12" s="252">
        <f>SUM(H8:H11)</f>
        <v>79146</v>
      </c>
      <c r="I12" s="252">
        <f ca="1">SUM(I8:I11)</f>
        <v>87034.436637475766</v>
      </c>
      <c r="J12" s="252">
        <f t="shared" ca="1" si="6"/>
        <v>93129.749689239135</v>
      </c>
      <c r="K12" s="252">
        <f t="shared" ref="K12:P12" ca="1" si="7">SUM(K8:K11)</f>
        <v>98272.327461619599</v>
      </c>
      <c r="L12" s="252">
        <f t="shared" ca="1" si="7"/>
        <v>102947.13876372529</v>
      </c>
      <c r="M12" s="252">
        <f t="shared" ca="1" si="7"/>
        <v>107303.23178921628</v>
      </c>
      <c r="N12" s="252">
        <f t="shared" ca="1" si="7"/>
        <v>111389.4536041144</v>
      </c>
      <c r="O12" s="252">
        <f t="shared" ca="1" si="7"/>
        <v>115219.52212229495</v>
      </c>
      <c r="P12" s="252">
        <f t="shared" ca="1" si="7"/>
        <v>118791.26554912218</v>
      </c>
      <c r="Q12" s="252"/>
      <c r="R12" s="252"/>
      <c r="S12" s="252"/>
      <c r="T12" s="252"/>
      <c r="U12" s="252"/>
      <c r="V12" s="252"/>
      <c r="W12" s="252"/>
      <c r="X12" s="252"/>
      <c r="Y12" s="252"/>
      <c r="Z12" s="252"/>
      <c r="AA12" s="252"/>
      <c r="AB12" s="252"/>
      <c r="AC12" s="252"/>
      <c r="AD12" s="252"/>
      <c r="AE12" s="252"/>
      <c r="AF12" s="252"/>
      <c r="AG12" s="252"/>
      <c r="AH12" s="252"/>
      <c r="AI12" s="252"/>
      <c r="AJ12" s="252"/>
      <c r="AK12" s="252"/>
      <c r="AL12" s="252">
        <f t="shared" ref="AL12:AV12" si="8">SUM(AL8:AL11)</f>
        <v>20372</v>
      </c>
      <c r="AM12" s="252">
        <f t="shared" si="8"/>
        <v>21428</v>
      </c>
      <c r="AN12" s="252">
        <f t="shared" si="8"/>
        <v>18435</v>
      </c>
      <c r="AO12" s="252">
        <f t="shared" si="8"/>
        <v>23196</v>
      </c>
      <c r="AP12" s="252">
        <f t="shared" si="8"/>
        <v>24089</v>
      </c>
      <c r="AQ12" s="252">
        <f t="shared" si="8"/>
        <v>33112</v>
      </c>
      <c r="AR12" s="252">
        <f t="shared" si="8"/>
        <v>25835</v>
      </c>
      <c r="AS12" s="252">
        <f t="shared" si="8"/>
        <v>33763</v>
      </c>
      <c r="AT12" s="252">
        <f t="shared" si="8"/>
        <v>27410</v>
      </c>
      <c r="AU12" s="252">
        <f t="shared" si="8"/>
        <v>43163</v>
      </c>
      <c r="AV12" s="252">
        <f t="shared" si="8"/>
        <v>34951</v>
      </c>
      <c r="AW12" s="252">
        <f t="shared" ref="AW12:BB12" si="9">SUM(AW8:AW11)</f>
        <v>35992</v>
      </c>
      <c r="AX12" s="252">
        <f t="shared" si="9"/>
        <v>38001</v>
      </c>
      <c r="AY12" s="252">
        <f t="shared" si="9"/>
        <v>36005</v>
      </c>
      <c r="AZ12" s="252">
        <f t="shared" si="9"/>
        <v>37374</v>
      </c>
      <c r="BA12" s="252">
        <f t="shared" si="9"/>
        <v>38369</v>
      </c>
      <c r="BB12" s="252">
        <f t="shared" si="9"/>
        <v>45727</v>
      </c>
      <c r="BC12" s="252">
        <f t="shared" ref="BC12:BD12" si="10">SUM(BC8:BC11)</f>
        <v>53547</v>
      </c>
      <c r="BD12" s="252">
        <f t="shared" si="10"/>
        <v>76357</v>
      </c>
      <c r="BE12" s="252">
        <f t="shared" ref="BE12" si="11">SUM(BE8:BE11)</f>
        <v>79146</v>
      </c>
      <c r="BF12" s="252">
        <f t="shared" ref="BF12:BI12" ca="1" si="12">SUM(BF8:BF11)</f>
        <v>77801.74824374223</v>
      </c>
      <c r="BG12" s="252">
        <f t="shared" ca="1" si="12"/>
        <v>79985.969761226821</v>
      </c>
      <c r="BH12" s="252">
        <f t="shared" ca="1" si="12"/>
        <v>82215.777027127522</v>
      </c>
      <c r="BI12" s="252">
        <f t="shared" ca="1" si="12"/>
        <v>87034.436637475766</v>
      </c>
      <c r="BJ12" s="240"/>
      <c r="BK12"/>
      <c r="BL12"/>
      <c r="BM12"/>
      <c r="BN12"/>
      <c r="BO12"/>
      <c r="BP12"/>
    </row>
    <row r="13" spans="1:68" s="161" customFormat="1">
      <c r="A13" s="235"/>
      <c r="B13" s="236"/>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6"/>
      <c r="AS13" s="236"/>
      <c r="AT13" s="236"/>
      <c r="AU13" s="236"/>
      <c r="AV13" s="236"/>
      <c r="AW13" s="236"/>
      <c r="AX13" s="236"/>
      <c r="AY13" s="236"/>
      <c r="AZ13" s="236"/>
      <c r="BA13" s="236"/>
      <c r="BB13" s="236"/>
      <c r="BC13" s="236"/>
      <c r="BD13" s="236"/>
      <c r="BE13" s="236"/>
      <c r="BF13" s="236"/>
      <c r="BG13" s="236"/>
      <c r="BH13" s="236"/>
      <c r="BI13" s="236"/>
      <c r="BJ13" s="235"/>
      <c r="BK13"/>
      <c r="BL13"/>
      <c r="BM13"/>
      <c r="BN13"/>
      <c r="BO13"/>
      <c r="BP13"/>
    </row>
    <row r="14" spans="1:68" s="161" customFormat="1" hidden="1" outlineLevel="1">
      <c r="A14" s="235"/>
      <c r="B14" s="236" t="s">
        <v>411</v>
      </c>
      <c r="C14" s="236"/>
      <c r="D14" s="236">
        <f t="shared" ref="D14:J14" si="13">+D16+D15</f>
        <v>274798</v>
      </c>
      <c r="E14" s="236">
        <f t="shared" si="13"/>
        <v>282295</v>
      </c>
      <c r="F14" s="236">
        <f t="shared" si="13"/>
        <v>303808</v>
      </c>
      <c r="G14" s="236">
        <f>+G16+G15</f>
        <v>304257</v>
      </c>
      <c r="H14" s="236">
        <f>+H16+H15</f>
        <v>304580</v>
      </c>
      <c r="I14" s="236">
        <f ca="1">+I16+I15</f>
        <v>310679.04269727739</v>
      </c>
      <c r="J14" s="236">
        <f t="shared" ca="1" si="13"/>
        <v>333673.88197187643</v>
      </c>
      <c r="K14" s="236">
        <f t="shared" ref="K14:P14" ca="1" si="14">+K16+K15</f>
        <v>356750.21971752332</v>
      </c>
      <c r="L14" s="236">
        <f t="shared" ca="1" si="14"/>
        <v>379874.17608522781</v>
      </c>
      <c r="M14" s="236">
        <f t="shared" ca="1" si="14"/>
        <v>403025.48054974061</v>
      </c>
      <c r="N14" s="236">
        <f t="shared" ca="1" si="14"/>
        <v>426204.88472168287</v>
      </c>
      <c r="O14" s="236">
        <f t="shared" ca="1" si="14"/>
        <v>449437.43752490345</v>
      </c>
      <c r="P14" s="236">
        <f t="shared" ca="1" si="14"/>
        <v>472775.98835387116</v>
      </c>
      <c r="Q14" s="236"/>
      <c r="R14" s="236"/>
      <c r="S14" s="236"/>
      <c r="T14" s="236"/>
      <c r="U14" s="236"/>
      <c r="V14" s="236"/>
      <c r="W14" s="236"/>
      <c r="X14" s="236"/>
      <c r="Y14" s="236"/>
      <c r="Z14" s="236"/>
      <c r="AA14" s="236"/>
      <c r="AB14" s="236"/>
      <c r="AC14" s="236"/>
      <c r="AD14" s="236"/>
      <c r="AE14" s="236"/>
      <c r="AF14" s="236"/>
      <c r="AG14" s="236"/>
      <c r="AH14" s="236"/>
      <c r="AI14" s="236"/>
      <c r="AJ14" s="236"/>
      <c r="AK14" s="236"/>
      <c r="AL14" s="236">
        <f>+AL16+AL15</f>
        <v>274035</v>
      </c>
      <c r="AM14" s="236">
        <f t="shared" ref="AM14:AV14" si="15">+AM16+AM15</f>
        <v>276833</v>
      </c>
      <c r="AN14" s="236">
        <f t="shared" si="15"/>
        <v>282445</v>
      </c>
      <c r="AO14" s="236">
        <f t="shared" si="15"/>
        <v>274798</v>
      </c>
      <c r="AP14" s="236">
        <f t="shared" si="15"/>
        <v>278862</v>
      </c>
      <c r="AQ14" s="236">
        <f t="shared" si="15"/>
        <v>283252</v>
      </c>
      <c r="AR14" s="236">
        <f t="shared" si="15"/>
        <v>286987</v>
      </c>
      <c r="AS14" s="236">
        <f t="shared" si="15"/>
        <v>282295</v>
      </c>
      <c r="AT14" s="236">
        <f t="shared" si="15"/>
        <v>285133</v>
      </c>
      <c r="AU14" s="236">
        <f t="shared" si="15"/>
        <v>289856</v>
      </c>
      <c r="AV14" s="236">
        <f t="shared" si="15"/>
        <v>302194</v>
      </c>
      <c r="AW14" s="236">
        <f t="shared" ref="AW14:BB14" si="16">+AW16+AW15</f>
        <v>303808</v>
      </c>
      <c r="AX14" s="236">
        <f t="shared" si="16"/>
        <v>302812</v>
      </c>
      <c r="AY14" s="236">
        <f t="shared" si="16"/>
        <v>302895</v>
      </c>
      <c r="AZ14" s="236">
        <f t="shared" si="16"/>
        <v>303280</v>
      </c>
      <c r="BA14" s="236">
        <f t="shared" si="16"/>
        <v>304257</v>
      </c>
      <c r="BB14" s="236">
        <f t="shared" si="16"/>
        <v>304650</v>
      </c>
      <c r="BC14" s="236">
        <f t="shared" ref="BC14:BD14" si="17">+BC16+BC15</f>
        <v>305542</v>
      </c>
      <c r="BD14" s="236">
        <f t="shared" si="17"/>
        <v>305820</v>
      </c>
      <c r="BE14" s="236">
        <f t="shared" ref="BE14" si="18">+BE16+BE15</f>
        <v>304580</v>
      </c>
      <c r="BF14" s="236">
        <f t="shared" ref="BF14:BI14" ca="1" si="19">+BF16+BF15</f>
        <v>310445.99783643481</v>
      </c>
      <c r="BG14" s="236">
        <f t="shared" ca="1" si="19"/>
        <v>316574.02890224324</v>
      </c>
      <c r="BH14" s="236">
        <f t="shared" ca="1" si="19"/>
        <v>322965.5063587249</v>
      </c>
      <c r="BI14" s="236">
        <f t="shared" ca="1" si="19"/>
        <v>329648.71260541177</v>
      </c>
      <c r="BJ14" s="235"/>
      <c r="BK14"/>
      <c r="BL14"/>
      <c r="BM14"/>
      <c r="BN14"/>
      <c r="BO14"/>
      <c r="BP14"/>
    </row>
    <row r="15" spans="1:68" s="234" customFormat="1" hidden="1" outlineLevel="1">
      <c r="A15" s="267"/>
      <c r="B15" s="262" t="s">
        <v>410</v>
      </c>
      <c r="C15" s="261"/>
      <c r="D15" s="262">
        <f>+AO15</f>
        <v>163830</v>
      </c>
      <c r="E15" s="262">
        <f>+AS15</f>
        <v>169397</v>
      </c>
      <c r="F15" s="262">
        <f t="shared" ref="F15:F22" si="20">+AW15</f>
        <v>179358</v>
      </c>
      <c r="G15" s="262">
        <f t="shared" ref="G15:I22" si="21">+BA15</f>
        <v>179358</v>
      </c>
      <c r="H15" s="262">
        <f t="shared" si="21"/>
        <v>179358</v>
      </c>
      <c r="I15" s="262">
        <f t="shared" si="21"/>
        <v>179358</v>
      </c>
      <c r="J15" s="262">
        <f ca="1">+I15+'Income Statement'!J33</f>
        <v>198995.00034941244</v>
      </c>
      <c r="K15" s="262">
        <f ca="1">+J15+'Income Statement'!K33</f>
        <v>218761.94892126389</v>
      </c>
      <c r="L15" s="262">
        <f ca="1">+K15+'Income Statement'!L33</f>
        <v>238637.15793283709</v>
      </c>
      <c r="M15" s="262">
        <f ca="1">+L15+'Income Statement'!M33</f>
        <v>258605.31261296425</v>
      </c>
      <c r="N15" s="262">
        <f ca="1">+M15+'Income Statement'!N33</f>
        <v>278651.10829162085</v>
      </c>
      <c r="O15" s="262">
        <f ca="1">+N15+'Income Statement'!O33</f>
        <v>298786.33534630103</v>
      </c>
      <c r="P15" s="262">
        <f ca="1">+O15+'Income Statement'!P33</f>
        <v>319040.2436809038</v>
      </c>
      <c r="Q15" s="261"/>
      <c r="R15" s="261"/>
      <c r="S15" s="261"/>
      <c r="T15" s="261"/>
      <c r="U15" s="261"/>
      <c r="V15" s="261"/>
      <c r="W15" s="261"/>
      <c r="X15" s="261"/>
      <c r="Y15" s="261"/>
      <c r="Z15" s="261"/>
      <c r="AA15" s="261"/>
      <c r="AB15" s="261"/>
      <c r="AC15" s="261"/>
      <c r="AD15" s="261"/>
      <c r="AE15" s="261"/>
      <c r="AF15" s="261"/>
      <c r="AG15" s="261"/>
      <c r="AH15" s="261"/>
      <c r="AI15" s="261"/>
      <c r="AJ15" s="261"/>
      <c r="AK15" s="261"/>
      <c r="AL15" s="261">
        <v>164333</v>
      </c>
      <c r="AM15" s="261">
        <v>166099</v>
      </c>
      <c r="AN15" s="261">
        <v>170021</v>
      </c>
      <c r="AO15" s="261">
        <v>163830</v>
      </c>
      <c r="AP15" s="261">
        <v>166053</v>
      </c>
      <c r="AQ15" s="261">
        <v>168892</v>
      </c>
      <c r="AR15" s="261">
        <v>171853</v>
      </c>
      <c r="AS15" s="261">
        <v>169397</v>
      </c>
      <c r="AT15" s="261">
        <v>171935</v>
      </c>
      <c r="AU15" s="261">
        <v>175508</v>
      </c>
      <c r="AV15" s="261">
        <v>179358</v>
      </c>
      <c r="AW15">
        <v>179358</v>
      </c>
      <c r="AX15" s="414">
        <v>179358</v>
      </c>
      <c r="AY15" s="433">
        <v>179358</v>
      </c>
      <c r="AZ15" s="440">
        <v>179358</v>
      </c>
      <c r="BA15" s="445">
        <v>179358</v>
      </c>
      <c r="BB15" s="452">
        <v>179358</v>
      </c>
      <c r="BC15" s="475">
        <v>179358</v>
      </c>
      <c r="BD15" s="501">
        <v>179358</v>
      </c>
      <c r="BE15" s="512">
        <v>179358</v>
      </c>
      <c r="BF15" s="262">
        <f ca="1">+BE15+'Income Statement'!BF33</f>
        <v>184040.18905147788</v>
      </c>
      <c r="BG15" s="262">
        <f ca="1">+BF15+'Income Statement'!BG33</f>
        <v>188734.9556964974</v>
      </c>
      <c r="BH15" s="262">
        <f ca="1">+BG15+'Income Statement'!BH33</f>
        <v>193431.44875271432</v>
      </c>
      <c r="BI15" s="262">
        <f ca="1">+BH15+'Income Statement'!BI33</f>
        <v>198327.66990813438</v>
      </c>
      <c r="BJ15" s="267"/>
      <c r="BK15"/>
      <c r="BL15"/>
      <c r="BM15"/>
      <c r="BN15"/>
      <c r="BO15"/>
      <c r="BP15"/>
    </row>
    <row r="16" spans="1:68" s="161" customFormat="1" collapsed="1">
      <c r="A16" s="235"/>
      <c r="B16" s="236" t="s">
        <v>406</v>
      </c>
      <c r="C16" s="236"/>
      <c r="D16" s="236">
        <f t="shared" ref="D16:D22" si="22">+AO16</f>
        <v>110968</v>
      </c>
      <c r="E16" s="236">
        <f t="shared" ref="E16:E22" si="23">+AS16</f>
        <v>112898</v>
      </c>
      <c r="F16" s="236">
        <f t="shared" si="20"/>
        <v>124450</v>
      </c>
      <c r="G16" s="236">
        <f t="shared" si="21"/>
        <v>124899</v>
      </c>
      <c r="H16" s="236">
        <f t="shared" ref="H16:H22" si="24">+BE16</f>
        <v>125222</v>
      </c>
      <c r="I16" s="236">
        <f t="shared" ref="I16:I22" ca="1" si="25">+BI16</f>
        <v>131321.04269727741</v>
      </c>
      <c r="J16" s="236">
        <f ca="1">+I16-'Cash Flow'!J27-'Cash Flow'!J28-'Cash Flow'!J29-'Cash Flow'!J11</f>
        <v>134678.88162246399</v>
      </c>
      <c r="K16" s="236">
        <f ca="1">+J16-'Cash Flow'!K27-'Cash Flow'!K28-'Cash Flow'!K29-'Cash Flow'!K11</f>
        <v>137988.27079625943</v>
      </c>
      <c r="L16" s="236">
        <f ca="1">+K16-'Cash Flow'!L27-'Cash Flow'!L28-'Cash Flow'!L29-'Cash Flow'!L11</f>
        <v>141237.01815239072</v>
      </c>
      <c r="M16" s="236">
        <f ca="1">+L16-'Cash Flow'!M27-'Cash Flow'!M28-'Cash Flow'!M29-'Cash Flow'!M11</f>
        <v>144420.16793677636</v>
      </c>
      <c r="N16" s="236">
        <f ca="1">+M16-'Cash Flow'!N27-'Cash Flow'!N28-'Cash Flow'!N29-'Cash Flow'!N11</f>
        <v>147553.77643006202</v>
      </c>
      <c r="O16" s="236">
        <f ca="1">+N16-'Cash Flow'!O27-'Cash Flow'!O28-'Cash Flow'!O29-'Cash Flow'!O11</f>
        <v>150651.10217860239</v>
      </c>
      <c r="P16" s="236">
        <f ca="1">+O16-'Cash Flow'!P27-'Cash Flow'!P28-'Cash Flow'!P29-'Cash Flow'!P11</f>
        <v>153735.74467296732</v>
      </c>
      <c r="Q16" s="236"/>
      <c r="R16" s="236"/>
      <c r="S16" s="236"/>
      <c r="T16" s="236"/>
      <c r="U16" s="236"/>
      <c r="V16" s="236"/>
      <c r="W16" s="236"/>
      <c r="X16" s="236"/>
      <c r="Y16" s="236"/>
      <c r="Z16" s="236"/>
      <c r="AA16" s="236"/>
      <c r="AB16" s="236"/>
      <c r="AC16" s="236"/>
      <c r="AD16" s="236"/>
      <c r="AE16" s="236"/>
      <c r="AF16" s="236"/>
      <c r="AG16" s="236"/>
      <c r="AH16" s="236"/>
      <c r="AI16" s="236"/>
      <c r="AJ16" s="236"/>
      <c r="AK16" s="236"/>
      <c r="AL16" s="261">
        <v>109702</v>
      </c>
      <c r="AM16" s="261">
        <v>110734</v>
      </c>
      <c r="AN16" s="261">
        <v>112424</v>
      </c>
      <c r="AO16" s="261">
        <v>110968</v>
      </c>
      <c r="AP16" s="261">
        <v>112809</v>
      </c>
      <c r="AQ16" s="261">
        <v>114360</v>
      </c>
      <c r="AR16" s="261">
        <v>115134</v>
      </c>
      <c r="AS16" s="261">
        <v>112898</v>
      </c>
      <c r="AT16" s="261">
        <v>113198</v>
      </c>
      <c r="AU16" s="261">
        <v>114348</v>
      </c>
      <c r="AV16" s="261">
        <v>122836</v>
      </c>
      <c r="AW16" s="261">
        <v>124450</v>
      </c>
      <c r="AX16" s="261">
        <v>123454</v>
      </c>
      <c r="AY16" s="261">
        <v>123537</v>
      </c>
      <c r="AZ16" s="261">
        <v>123922</v>
      </c>
      <c r="BA16" s="261">
        <v>124899</v>
      </c>
      <c r="BB16" s="261">
        <v>125292</v>
      </c>
      <c r="BC16" s="261">
        <v>126184</v>
      </c>
      <c r="BD16" s="261">
        <v>126462</v>
      </c>
      <c r="BE16" s="261">
        <v>125222</v>
      </c>
      <c r="BF16" s="236">
        <f ca="1">+BE16-'Cash Flow'!BF27-'Cash Flow'!BF28-'Cash Flow'!BF29-'Cash Flow'!BF11</f>
        <v>126405.80878495693</v>
      </c>
      <c r="BG16" s="236">
        <f ca="1">+BF16-'Cash Flow'!BG27-'Cash Flow'!BG28-'Cash Flow'!BG29-'Cash Flow'!BG11</f>
        <v>127839.07320574584</v>
      </c>
      <c r="BH16" s="236">
        <f ca="1">+BG16-'Cash Flow'!BH27-'Cash Flow'!BH28-'Cash Flow'!BH29-'Cash Flow'!BH11</f>
        <v>129534.0576060106</v>
      </c>
      <c r="BI16" s="236">
        <f ca="1">+BH16-'Cash Flow'!BI27-'Cash Flow'!BI28-'Cash Flow'!BI29-'Cash Flow'!BI11</f>
        <v>131321.04269727741</v>
      </c>
      <c r="BJ16" s="235"/>
      <c r="BK16"/>
      <c r="BL16"/>
      <c r="BM16"/>
      <c r="BN16"/>
      <c r="BO16"/>
      <c r="BP16"/>
    </row>
    <row r="17" spans="1:68" s="161" customFormat="1">
      <c r="A17" s="235"/>
      <c r="B17" s="236" t="s">
        <v>355</v>
      </c>
      <c r="C17" s="236"/>
      <c r="D17" s="236">
        <f t="shared" si="22"/>
        <v>69273</v>
      </c>
      <c r="E17" s="236">
        <f t="shared" si="23"/>
        <v>69692</v>
      </c>
      <c r="F17" s="236">
        <f t="shared" si="20"/>
        <v>104568</v>
      </c>
      <c r="G17" s="236">
        <f t="shared" si="21"/>
        <v>105207</v>
      </c>
      <c r="H17" s="236">
        <f t="shared" si="24"/>
        <v>105449</v>
      </c>
      <c r="I17" s="236">
        <f t="shared" si="25"/>
        <v>105449</v>
      </c>
      <c r="J17" s="236">
        <f t="shared" ref="J17:J20" si="26">+I17</f>
        <v>105449</v>
      </c>
      <c r="K17" s="236">
        <f t="shared" ref="K17:K20" si="27">+J17</f>
        <v>105449</v>
      </c>
      <c r="L17" s="236">
        <f t="shared" ref="L17:L20" si="28">+K17</f>
        <v>105449</v>
      </c>
      <c r="M17" s="236">
        <f t="shared" ref="M17:M20" si="29">+L17</f>
        <v>105449</v>
      </c>
      <c r="N17" s="236">
        <f t="shared" ref="N17:N20" si="30">+M17</f>
        <v>105449</v>
      </c>
      <c r="O17" s="236">
        <f t="shared" ref="O17:O20" si="31">+N17</f>
        <v>105449</v>
      </c>
      <c r="P17" s="236">
        <f t="shared" ref="P17:P20" si="32">+O17</f>
        <v>105449</v>
      </c>
      <c r="Q17" s="236"/>
      <c r="R17" s="236"/>
      <c r="S17" s="236"/>
      <c r="T17" s="236"/>
      <c r="U17" s="236"/>
      <c r="V17" s="236"/>
      <c r="W17" s="236"/>
      <c r="X17" s="236"/>
      <c r="Y17" s="236"/>
      <c r="Z17" s="236"/>
      <c r="AA17" s="236"/>
      <c r="AB17" s="236"/>
      <c r="AC17" s="236"/>
      <c r="AD17" s="236"/>
      <c r="AE17" s="236"/>
      <c r="AF17" s="236"/>
      <c r="AG17" s="236"/>
      <c r="AH17" s="236"/>
      <c r="AI17" s="236"/>
      <c r="AJ17" s="236"/>
      <c r="AK17" s="236"/>
      <c r="AL17" s="261">
        <v>69772</v>
      </c>
      <c r="AM17" s="261">
        <v>69770</v>
      </c>
      <c r="AN17" s="261">
        <v>70014</v>
      </c>
      <c r="AO17" s="261">
        <v>69273</v>
      </c>
      <c r="AP17" s="261">
        <v>69720</v>
      </c>
      <c r="AQ17" s="261">
        <v>70094</v>
      </c>
      <c r="AR17" s="261">
        <v>70131</v>
      </c>
      <c r="AS17" s="261">
        <v>69692</v>
      </c>
      <c r="AT17" s="261">
        <v>70341</v>
      </c>
      <c r="AU17" s="261">
        <v>70920</v>
      </c>
      <c r="AV17" s="261">
        <v>105966</v>
      </c>
      <c r="AW17" s="261">
        <v>104568</v>
      </c>
      <c r="AX17" s="261">
        <v>104651</v>
      </c>
      <c r="AY17" s="261">
        <v>105252</v>
      </c>
      <c r="AZ17" s="261">
        <v>105271</v>
      </c>
      <c r="BA17" s="261">
        <v>105207</v>
      </c>
      <c r="BB17" s="261">
        <v>105593</v>
      </c>
      <c r="BC17" s="261">
        <v>105546</v>
      </c>
      <c r="BD17" s="261">
        <v>105668</v>
      </c>
      <c r="BE17" s="261">
        <v>105449</v>
      </c>
      <c r="BF17" s="236">
        <f t="shared" ref="BF17:BF20" si="33">+BE17</f>
        <v>105449</v>
      </c>
      <c r="BG17" s="236">
        <f t="shared" ref="BG17:BG20" si="34">+BF17</f>
        <v>105449</v>
      </c>
      <c r="BH17" s="236">
        <f t="shared" ref="BH17:BH20" si="35">+BG17</f>
        <v>105449</v>
      </c>
      <c r="BI17" s="236">
        <f t="shared" ref="BI17:BI20" si="36">+BH17</f>
        <v>105449</v>
      </c>
      <c r="BJ17" s="235"/>
      <c r="BK17"/>
      <c r="BL17"/>
      <c r="BM17"/>
      <c r="BN17"/>
      <c r="BO17"/>
      <c r="BP17"/>
    </row>
    <row r="18" spans="1:68" s="161" customFormat="1">
      <c r="A18" s="235"/>
      <c r="B18" s="236" t="s">
        <v>356</v>
      </c>
      <c r="C18" s="236"/>
      <c r="D18" s="236">
        <f t="shared" si="22"/>
        <v>56433</v>
      </c>
      <c r="E18" s="236">
        <f t="shared" si="23"/>
        <v>60824</v>
      </c>
      <c r="F18" s="236">
        <f t="shared" si="20"/>
        <v>93093</v>
      </c>
      <c r="G18" s="236">
        <f t="shared" si="21"/>
        <v>94176</v>
      </c>
      <c r="H18" s="236">
        <f t="shared" si="24"/>
        <v>96136</v>
      </c>
      <c r="I18" s="236">
        <f t="shared" si="25"/>
        <v>96136</v>
      </c>
      <c r="J18" s="236">
        <f t="shared" si="26"/>
        <v>96136</v>
      </c>
      <c r="K18" s="236">
        <f t="shared" si="27"/>
        <v>96136</v>
      </c>
      <c r="L18" s="236">
        <f t="shared" si="28"/>
        <v>96136</v>
      </c>
      <c r="M18" s="236">
        <f t="shared" si="29"/>
        <v>96136</v>
      </c>
      <c r="N18" s="236">
        <f t="shared" si="30"/>
        <v>96136</v>
      </c>
      <c r="O18" s="236">
        <f t="shared" si="31"/>
        <v>96136</v>
      </c>
      <c r="P18" s="236">
        <f t="shared" si="32"/>
        <v>96136</v>
      </c>
      <c r="Q18" s="236"/>
      <c r="R18" s="236"/>
      <c r="S18" s="236"/>
      <c r="T18" s="236"/>
      <c r="U18" s="236"/>
      <c r="V18" s="236"/>
      <c r="W18" s="236"/>
      <c r="X18" s="236"/>
      <c r="Y18" s="236"/>
      <c r="Z18" s="236"/>
      <c r="AA18" s="236"/>
      <c r="AB18" s="236"/>
      <c r="AC18" s="236"/>
      <c r="AD18" s="236"/>
      <c r="AE18" s="236"/>
      <c r="AF18" s="236"/>
      <c r="AG18" s="236"/>
      <c r="AH18" s="236"/>
      <c r="AI18" s="236"/>
      <c r="AJ18" s="236"/>
      <c r="AK18" s="236"/>
      <c r="AL18" s="261">
        <v>53507</v>
      </c>
      <c r="AM18" s="261">
        <v>53665</v>
      </c>
      <c r="AN18" s="261">
        <v>56304</v>
      </c>
      <c r="AO18" s="261">
        <v>56433</v>
      </c>
      <c r="AP18" s="261">
        <v>59584</v>
      </c>
      <c r="AQ18" s="261">
        <v>59655</v>
      </c>
      <c r="AR18" s="261">
        <v>60784</v>
      </c>
      <c r="AS18" s="261">
        <v>60824</v>
      </c>
      <c r="AT18" s="261">
        <v>80560</v>
      </c>
      <c r="AU18" s="261">
        <v>80922</v>
      </c>
      <c r="AV18" s="261">
        <v>93063</v>
      </c>
      <c r="AW18" s="261">
        <v>93093</v>
      </c>
      <c r="AX18" s="261">
        <v>94130</v>
      </c>
      <c r="AY18" s="261">
        <v>94098</v>
      </c>
      <c r="AZ18" s="261">
        <v>94241</v>
      </c>
      <c r="BA18" s="261">
        <v>94176</v>
      </c>
      <c r="BB18" s="261">
        <v>94617</v>
      </c>
      <c r="BC18" s="261">
        <v>95864</v>
      </c>
      <c r="BD18" s="261">
        <v>96071</v>
      </c>
      <c r="BE18" s="261">
        <v>96136</v>
      </c>
      <c r="BF18" s="236">
        <f t="shared" si="33"/>
        <v>96136</v>
      </c>
      <c r="BG18" s="236">
        <f t="shared" si="34"/>
        <v>96136</v>
      </c>
      <c r="BH18" s="236">
        <f t="shared" si="35"/>
        <v>96136</v>
      </c>
      <c r="BI18" s="236">
        <f t="shared" si="36"/>
        <v>96136</v>
      </c>
      <c r="BJ18" s="235"/>
      <c r="BK18"/>
      <c r="BL18"/>
      <c r="BM18"/>
      <c r="BN18"/>
      <c r="BO18"/>
      <c r="BP18"/>
    </row>
    <row r="19" spans="1:68" s="161" customFormat="1">
      <c r="A19" s="235"/>
      <c r="B19" s="236" t="s">
        <v>357</v>
      </c>
      <c r="C19" s="236"/>
      <c r="D19" s="236">
        <f t="shared" si="22"/>
        <v>763</v>
      </c>
      <c r="E19" s="236">
        <f t="shared" si="23"/>
        <v>812</v>
      </c>
      <c r="F19" s="236">
        <f t="shared" si="20"/>
        <v>18208</v>
      </c>
      <c r="G19" s="236">
        <f t="shared" si="21"/>
        <v>14243</v>
      </c>
      <c r="H19" s="236">
        <f t="shared" si="24"/>
        <v>10676</v>
      </c>
      <c r="I19" s="236">
        <f t="shared" si="25"/>
        <v>10676</v>
      </c>
      <c r="J19" s="236">
        <f t="shared" si="26"/>
        <v>10676</v>
      </c>
      <c r="K19" s="236">
        <f t="shared" si="27"/>
        <v>10676</v>
      </c>
      <c r="L19" s="236">
        <f t="shared" si="28"/>
        <v>10676</v>
      </c>
      <c r="M19" s="236">
        <f t="shared" si="29"/>
        <v>10676</v>
      </c>
      <c r="N19" s="236">
        <f t="shared" si="30"/>
        <v>10676</v>
      </c>
      <c r="O19" s="236">
        <f t="shared" si="31"/>
        <v>10676</v>
      </c>
      <c r="P19" s="236">
        <f t="shared" si="32"/>
        <v>10676</v>
      </c>
      <c r="Q19" s="236"/>
      <c r="R19" s="236"/>
      <c r="S19" s="236"/>
      <c r="T19" s="236"/>
      <c r="U19" s="236"/>
      <c r="V19" s="236"/>
      <c r="W19" s="236"/>
      <c r="X19" s="236"/>
      <c r="Y19" s="236"/>
      <c r="Z19" s="236"/>
      <c r="AA19" s="236"/>
      <c r="AB19" s="236"/>
      <c r="AC19" s="236"/>
      <c r="AD19" s="236"/>
      <c r="AE19" s="236"/>
      <c r="AF19" s="236"/>
      <c r="AG19" s="236"/>
      <c r="AH19" s="236"/>
      <c r="AI19" s="236"/>
      <c r="AJ19" s="236"/>
      <c r="AK19" s="236"/>
      <c r="AL19" s="261">
        <v>1190</v>
      </c>
      <c r="AM19" s="261">
        <v>1015</v>
      </c>
      <c r="AN19" s="261">
        <v>876</v>
      </c>
      <c r="AO19" s="261">
        <v>763</v>
      </c>
      <c r="AP19" s="261"/>
      <c r="AQ19" s="261"/>
      <c r="AR19" s="261"/>
      <c r="AS19" s="261">
        <v>812</v>
      </c>
      <c r="AT19" s="261"/>
      <c r="AU19" s="261"/>
      <c r="AV19" s="261">
        <v>19608</v>
      </c>
      <c r="AW19" s="261">
        <v>18208</v>
      </c>
      <c r="AX19" s="261">
        <v>17197</v>
      </c>
      <c r="AY19" s="261">
        <v>16259</v>
      </c>
      <c r="AZ19" s="261">
        <v>15227</v>
      </c>
      <c r="BA19" s="261">
        <v>14243</v>
      </c>
      <c r="BB19" s="261">
        <v>13366</v>
      </c>
      <c r="BC19" s="261">
        <v>12414</v>
      </c>
      <c r="BD19" s="261">
        <v>11573</v>
      </c>
      <c r="BE19" s="261">
        <v>10676</v>
      </c>
      <c r="BF19" s="236">
        <f t="shared" si="33"/>
        <v>10676</v>
      </c>
      <c r="BG19" s="236">
        <f t="shared" si="34"/>
        <v>10676</v>
      </c>
      <c r="BH19" s="236">
        <f t="shared" si="35"/>
        <v>10676</v>
      </c>
      <c r="BI19" s="236">
        <f t="shared" si="36"/>
        <v>10676</v>
      </c>
      <c r="BJ19" s="235"/>
      <c r="BK19"/>
      <c r="BL19"/>
      <c r="BM19"/>
      <c r="BN19"/>
      <c r="BO19"/>
      <c r="BP19"/>
    </row>
    <row r="20" spans="1:68" s="161" customFormat="1">
      <c r="A20" s="235"/>
      <c r="B20" s="236" t="s">
        <v>358</v>
      </c>
      <c r="C20" s="236"/>
      <c r="D20" s="236">
        <f t="shared" si="22"/>
        <v>5016</v>
      </c>
      <c r="E20" s="236">
        <f t="shared" si="23"/>
        <v>5327</v>
      </c>
      <c r="F20" s="236">
        <f t="shared" si="20"/>
        <v>9409</v>
      </c>
      <c r="G20" s="236">
        <f t="shared" si="21"/>
        <v>8441</v>
      </c>
      <c r="H20" s="236">
        <f t="shared" si="24"/>
        <v>7464</v>
      </c>
      <c r="I20" s="236">
        <f t="shared" si="25"/>
        <v>7464</v>
      </c>
      <c r="J20" s="236">
        <f t="shared" si="26"/>
        <v>7464</v>
      </c>
      <c r="K20" s="236">
        <f t="shared" si="27"/>
        <v>7464</v>
      </c>
      <c r="L20" s="236">
        <f t="shared" si="28"/>
        <v>7464</v>
      </c>
      <c r="M20" s="236">
        <f t="shared" si="29"/>
        <v>7464</v>
      </c>
      <c r="N20" s="236">
        <f t="shared" si="30"/>
        <v>7464</v>
      </c>
      <c r="O20" s="236">
        <f t="shared" si="31"/>
        <v>7464</v>
      </c>
      <c r="P20" s="236">
        <f t="shared" si="32"/>
        <v>7464</v>
      </c>
      <c r="Q20" s="236"/>
      <c r="R20" s="236"/>
      <c r="S20" s="236"/>
      <c r="T20" s="236"/>
      <c r="U20" s="236"/>
      <c r="V20" s="236"/>
      <c r="W20" s="236"/>
      <c r="X20" s="236"/>
      <c r="Y20" s="236"/>
      <c r="Z20" s="236"/>
      <c r="AA20" s="236"/>
      <c r="AB20" s="236"/>
      <c r="AC20" s="236"/>
      <c r="AD20" s="236"/>
      <c r="AE20" s="236"/>
      <c r="AF20" s="236"/>
      <c r="AG20" s="236"/>
      <c r="AH20" s="236"/>
      <c r="AI20" s="236"/>
      <c r="AJ20" s="236"/>
      <c r="AK20" s="236"/>
      <c r="AL20" s="261">
        <v>5022</v>
      </c>
      <c r="AM20" s="261">
        <v>5018</v>
      </c>
      <c r="AN20" s="261">
        <v>5020</v>
      </c>
      <c r="AO20" s="261">
        <v>5016</v>
      </c>
      <c r="AP20" s="261">
        <v>6515</v>
      </c>
      <c r="AQ20" s="261">
        <v>6380</v>
      </c>
      <c r="AR20" s="261">
        <v>6252</v>
      </c>
      <c r="AS20" s="261">
        <v>5327</v>
      </c>
      <c r="AT20" s="261">
        <v>6423</v>
      </c>
      <c r="AU20" s="261">
        <v>6385</v>
      </c>
      <c r="AV20" s="261">
        <v>8236</v>
      </c>
      <c r="AW20" s="261">
        <v>9409</v>
      </c>
      <c r="AX20" s="261">
        <v>9108</v>
      </c>
      <c r="AY20" s="261">
        <v>9107</v>
      </c>
      <c r="AZ20" s="261">
        <v>8734</v>
      </c>
      <c r="BA20" s="261">
        <v>8441</v>
      </c>
      <c r="BB20" s="261">
        <v>8295</v>
      </c>
      <c r="BC20" s="261">
        <v>7980</v>
      </c>
      <c r="BD20" s="261">
        <v>7775</v>
      </c>
      <c r="BE20" s="261">
        <v>7464</v>
      </c>
      <c r="BF20" s="236">
        <f t="shared" si="33"/>
        <v>7464</v>
      </c>
      <c r="BG20" s="236">
        <f t="shared" si="34"/>
        <v>7464</v>
      </c>
      <c r="BH20" s="236">
        <f t="shared" si="35"/>
        <v>7464</v>
      </c>
      <c r="BI20" s="236">
        <f t="shared" si="36"/>
        <v>7464</v>
      </c>
      <c r="BJ20" s="235"/>
      <c r="BK20"/>
      <c r="BL20"/>
      <c r="BM20"/>
      <c r="BN20"/>
      <c r="BO20"/>
      <c r="BP20"/>
    </row>
    <row r="21" spans="1:68" s="161" customFormat="1">
      <c r="A21" s="235"/>
      <c r="B21" s="236" t="s">
        <v>8</v>
      </c>
      <c r="C21" s="236"/>
      <c r="D21" s="236">
        <f t="shared" si="22"/>
        <v>3860</v>
      </c>
      <c r="E21" s="236">
        <f t="shared" si="23"/>
        <v>250</v>
      </c>
      <c r="F21" s="236">
        <f t="shared" si="20"/>
        <v>1606</v>
      </c>
      <c r="G21" s="236">
        <f t="shared" si="21"/>
        <v>1674</v>
      </c>
      <c r="H21" s="236">
        <f t="shared" si="24"/>
        <v>1560</v>
      </c>
      <c r="I21" s="236">
        <f t="shared" si="25"/>
        <v>1560</v>
      </c>
      <c r="J21" s="236">
        <f>+I21-'Cash Flow'!J12</f>
        <v>1560</v>
      </c>
      <c r="K21" s="236">
        <f>+J21-'Cash Flow'!K12</f>
        <v>1560</v>
      </c>
      <c r="L21" s="236">
        <f>+K21-'Cash Flow'!L12</f>
        <v>1560</v>
      </c>
      <c r="M21" s="236">
        <f>+L21-'Cash Flow'!M12</f>
        <v>1560</v>
      </c>
      <c r="N21" s="236">
        <f>+M21-'Cash Flow'!N12</f>
        <v>1560</v>
      </c>
      <c r="O21" s="236">
        <f>+N21-'Cash Flow'!O12</f>
        <v>1560</v>
      </c>
      <c r="P21" s="236">
        <f>+O21-'Cash Flow'!P12</f>
        <v>1560</v>
      </c>
      <c r="Q21" s="236"/>
      <c r="R21" s="236"/>
      <c r="S21" s="236"/>
      <c r="T21" s="236"/>
      <c r="U21" s="236"/>
      <c r="V21" s="236"/>
      <c r="W21" s="236"/>
      <c r="X21" s="236"/>
      <c r="Y21" s="236"/>
      <c r="Z21" s="236"/>
      <c r="AA21" s="236"/>
      <c r="AB21" s="236"/>
      <c r="AC21" s="236"/>
      <c r="AD21" s="236"/>
      <c r="AE21" s="236"/>
      <c r="AF21" s="236"/>
      <c r="AG21" s="236"/>
      <c r="AH21" s="236"/>
      <c r="AI21" s="236"/>
      <c r="AJ21" s="236"/>
      <c r="AK21" s="236"/>
      <c r="AL21" s="261">
        <v>4998</v>
      </c>
      <c r="AM21" s="261">
        <v>3888</v>
      </c>
      <c r="AN21" s="261">
        <v>3949</v>
      </c>
      <c r="AO21" s="261">
        <v>3860</v>
      </c>
      <c r="AP21" s="261">
        <v>3613</v>
      </c>
      <c r="AQ21" s="261">
        <v>159</v>
      </c>
      <c r="AR21" s="261">
        <v>166</v>
      </c>
      <c r="AS21" s="261">
        <v>250</v>
      </c>
      <c r="AT21" s="261">
        <v>266</v>
      </c>
      <c r="AU21" s="261">
        <v>288</v>
      </c>
      <c r="AV21" s="261">
        <v>1744</v>
      </c>
      <c r="AW21" s="261">
        <v>1606</v>
      </c>
      <c r="AX21" s="261">
        <v>1594</v>
      </c>
      <c r="AY21" s="261">
        <v>1677</v>
      </c>
      <c r="AZ21" s="261">
        <v>1679</v>
      </c>
      <c r="BA21" s="261">
        <v>1674</v>
      </c>
      <c r="BB21" s="261">
        <v>1551</v>
      </c>
      <c r="BC21" s="261">
        <v>1615</v>
      </c>
      <c r="BD21" s="261">
        <v>1627</v>
      </c>
      <c r="BE21" s="261">
        <v>1560</v>
      </c>
      <c r="BF21" s="236">
        <f>+BE21-'Cash Flow'!BF12</f>
        <v>1560</v>
      </c>
      <c r="BG21" s="236">
        <f>+BF21-'Cash Flow'!BG12</f>
        <v>1560</v>
      </c>
      <c r="BH21" s="236">
        <f>+BG21-'Cash Flow'!BH12</f>
        <v>1560</v>
      </c>
      <c r="BI21" s="236">
        <f>+BH21-'Cash Flow'!BI12</f>
        <v>1560</v>
      </c>
      <c r="BJ21" s="235"/>
      <c r="BK21"/>
      <c r="BL21"/>
      <c r="BM21"/>
      <c r="BN21"/>
      <c r="BO21"/>
      <c r="BP21"/>
    </row>
    <row r="22" spans="1:68" s="161" customFormat="1">
      <c r="A22" s="235"/>
      <c r="B22" s="236" t="s">
        <v>9</v>
      </c>
      <c r="C22" s="236"/>
      <c r="D22" s="236">
        <f t="shared" si="22"/>
        <v>8278</v>
      </c>
      <c r="E22" s="236">
        <f t="shared" si="23"/>
        <v>13659</v>
      </c>
      <c r="F22" s="236">
        <f t="shared" si="20"/>
        <v>14485</v>
      </c>
      <c r="G22" s="236">
        <f t="shared" si="21"/>
        <v>16812</v>
      </c>
      <c r="H22" s="236">
        <f t="shared" si="24"/>
        <v>18444</v>
      </c>
      <c r="I22" s="236">
        <f t="shared" si="25"/>
        <v>18444</v>
      </c>
      <c r="J22" s="236">
        <f>+I22</f>
        <v>18444</v>
      </c>
      <c r="K22" s="236">
        <f t="shared" ref="K22:P22" si="37">+J22</f>
        <v>18444</v>
      </c>
      <c r="L22" s="236">
        <f t="shared" si="37"/>
        <v>18444</v>
      </c>
      <c r="M22" s="236">
        <f t="shared" si="37"/>
        <v>18444</v>
      </c>
      <c r="N22" s="236">
        <f t="shared" si="37"/>
        <v>18444</v>
      </c>
      <c r="O22" s="236">
        <f t="shared" si="37"/>
        <v>18444</v>
      </c>
      <c r="P22" s="236">
        <f t="shared" si="37"/>
        <v>18444</v>
      </c>
      <c r="Q22" s="236"/>
      <c r="R22" s="236"/>
      <c r="S22" s="236"/>
      <c r="T22" s="236"/>
      <c r="U22" s="236"/>
      <c r="V22" s="236"/>
      <c r="W22" s="236"/>
      <c r="X22" s="236"/>
      <c r="Y22" s="236"/>
      <c r="Z22" s="236"/>
      <c r="AA22" s="236"/>
      <c r="AB22" s="236"/>
      <c r="AC22" s="236"/>
      <c r="AD22" s="236"/>
      <c r="AE22" s="236"/>
      <c r="AF22" s="236"/>
      <c r="AG22" s="236"/>
      <c r="AH22" s="236"/>
      <c r="AI22" s="236"/>
      <c r="AJ22" s="236"/>
      <c r="AK22" s="236"/>
      <c r="AL22" s="261">
        <v>6431</v>
      </c>
      <c r="AM22" s="261">
        <v>6575</v>
      </c>
      <c r="AN22" s="261">
        <v>7577</v>
      </c>
      <c r="AO22" s="261">
        <v>8278</v>
      </c>
      <c r="AP22" s="261">
        <v>9010</v>
      </c>
      <c r="AQ22" s="261">
        <v>9706</v>
      </c>
      <c r="AR22" s="261">
        <v>9637</v>
      </c>
      <c r="AS22" s="261">
        <v>13659</v>
      </c>
      <c r="AT22" s="261">
        <v>9830</v>
      </c>
      <c r="AU22" s="261">
        <v>10463</v>
      </c>
      <c r="AV22" s="261">
        <v>13585</v>
      </c>
      <c r="AW22" s="261">
        <v>14485</v>
      </c>
      <c r="AX22" s="261">
        <v>15503</v>
      </c>
      <c r="AY22" s="261">
        <v>15873</v>
      </c>
      <c r="AZ22" s="261">
        <v>16527</v>
      </c>
      <c r="BA22" s="261">
        <v>16812</v>
      </c>
      <c r="BB22" s="261">
        <v>17462</v>
      </c>
      <c r="BC22" s="261">
        <v>17645</v>
      </c>
      <c r="BD22" s="261">
        <v>18332</v>
      </c>
      <c r="BE22" s="261">
        <v>18444</v>
      </c>
      <c r="BF22" s="236">
        <f t="shared" ref="BF22" si="38">+BE22</f>
        <v>18444</v>
      </c>
      <c r="BG22" s="236">
        <f t="shared" ref="BG22" si="39">+BF22</f>
        <v>18444</v>
      </c>
      <c r="BH22" s="236">
        <f t="shared" ref="BH22" si="40">+BG22</f>
        <v>18444</v>
      </c>
      <c r="BI22" s="236">
        <f t="shared" ref="BI22" si="41">+BH22</f>
        <v>18444</v>
      </c>
      <c r="BJ22" s="235"/>
      <c r="BK22"/>
      <c r="BL22"/>
      <c r="BM22"/>
      <c r="BN22"/>
      <c r="BO22"/>
      <c r="BP22"/>
    </row>
    <row r="23" spans="1:68" s="161" customFormat="1">
      <c r="A23" s="235"/>
      <c r="B23" s="236"/>
      <c r="C23" s="236"/>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c r="AI23" s="236"/>
      <c r="AJ23" s="236"/>
      <c r="AK23" s="236"/>
      <c r="AL23" s="236"/>
      <c r="AM23" s="236"/>
      <c r="AN23" s="236"/>
      <c r="AO23" s="236"/>
      <c r="AP23" s="236"/>
      <c r="AQ23" s="236"/>
      <c r="AR23" s="236"/>
      <c r="AS23" s="236"/>
      <c r="AT23" s="236"/>
      <c r="AU23" s="236"/>
      <c r="AV23" s="236"/>
      <c r="AW23" s="236"/>
      <c r="AX23" s="236"/>
      <c r="AY23" s="236"/>
      <c r="AZ23" s="236"/>
      <c r="BA23" s="236"/>
      <c r="BB23" s="236"/>
      <c r="BC23" s="236"/>
      <c r="BD23" s="236"/>
      <c r="BE23" s="236"/>
      <c r="BF23" s="236"/>
      <c r="BG23" s="236"/>
      <c r="BH23" s="236"/>
      <c r="BI23" s="236"/>
      <c r="BJ23" s="235"/>
      <c r="BK23"/>
      <c r="BL23"/>
      <c r="BM23"/>
      <c r="BN23"/>
      <c r="BO23"/>
      <c r="BP23"/>
    </row>
    <row r="24" spans="1:68" s="157" customFormat="1" ht="16.5" thickBot="1">
      <c r="A24" s="252"/>
      <c r="B24" s="347" t="s">
        <v>106</v>
      </c>
      <c r="C24" s="247"/>
      <c r="D24" s="348">
        <f t="shared" ref="D24:J24" si="42">SUM(D16:D23)+D12</f>
        <v>277787</v>
      </c>
      <c r="E24" s="348">
        <f t="shared" si="42"/>
        <v>297225</v>
      </c>
      <c r="F24" s="348">
        <f t="shared" si="42"/>
        <v>401811</v>
      </c>
      <c r="G24" s="348">
        <f>SUM(G16:G23)+G12</f>
        <v>403821</v>
      </c>
      <c r="H24" s="348">
        <f>SUM(H16:H23)+H12</f>
        <v>444097</v>
      </c>
      <c r="I24" s="348">
        <f ca="1">SUM(I16:I23)+I12</f>
        <v>458084.47933475312</v>
      </c>
      <c r="J24" s="348">
        <f t="shared" ca="1" si="42"/>
        <v>467537.63131170312</v>
      </c>
      <c r="K24" s="348">
        <f t="shared" ref="K24:P24" ca="1" si="43">SUM(K16:K23)+K12</f>
        <v>475989.59825787903</v>
      </c>
      <c r="L24" s="348">
        <f t="shared" ca="1" si="43"/>
        <v>483913.15691611602</v>
      </c>
      <c r="M24" s="348">
        <f t="shared" ca="1" si="43"/>
        <v>491452.39972599264</v>
      </c>
      <c r="N24" s="348">
        <f t="shared" ca="1" si="43"/>
        <v>498672.23003417643</v>
      </c>
      <c r="O24" s="348">
        <f t="shared" ca="1" si="43"/>
        <v>505599.6243008973</v>
      </c>
      <c r="P24" s="348">
        <f t="shared" ca="1" si="43"/>
        <v>512256.01022208954</v>
      </c>
      <c r="Q24" s="247"/>
      <c r="R24" s="247"/>
      <c r="S24" s="247"/>
      <c r="T24" s="247"/>
      <c r="U24" s="247"/>
      <c r="V24" s="247"/>
      <c r="W24" s="247"/>
      <c r="X24" s="247"/>
      <c r="Y24" s="247"/>
      <c r="Z24" s="247"/>
      <c r="AA24" s="247"/>
      <c r="AB24" s="247"/>
      <c r="AC24" s="247"/>
      <c r="AD24" s="247"/>
      <c r="AE24" s="247"/>
      <c r="AF24" s="247"/>
      <c r="AG24" s="247"/>
      <c r="AH24" s="247"/>
      <c r="AI24" s="247"/>
      <c r="AJ24" s="247"/>
      <c r="AK24" s="247"/>
      <c r="AL24" s="348">
        <f>SUM(AL16:AL23)+AL12</f>
        <v>270994</v>
      </c>
      <c r="AM24" s="348">
        <f t="shared" ref="AM24:AV24" si="44">SUM(AM16:AM23)+AM12</f>
        <v>272093</v>
      </c>
      <c r="AN24" s="348">
        <f t="shared" si="44"/>
        <v>274599</v>
      </c>
      <c r="AO24" s="348">
        <f t="shared" si="44"/>
        <v>277787</v>
      </c>
      <c r="AP24" s="348">
        <f t="shared" si="44"/>
        <v>285340</v>
      </c>
      <c r="AQ24" s="348">
        <f t="shared" si="44"/>
        <v>293466</v>
      </c>
      <c r="AR24" s="348">
        <f t="shared" si="44"/>
        <v>287939</v>
      </c>
      <c r="AS24" s="348">
        <f t="shared" si="44"/>
        <v>297225</v>
      </c>
      <c r="AT24" s="348">
        <f t="shared" si="44"/>
        <v>308028</v>
      </c>
      <c r="AU24" s="348">
        <f t="shared" si="44"/>
        <v>326489</v>
      </c>
      <c r="AV24" s="348">
        <f t="shared" si="44"/>
        <v>399989</v>
      </c>
      <c r="AW24" s="348">
        <f t="shared" ref="AW24:BB24" si="45">SUM(AW16:AW23)+AW12</f>
        <v>401811</v>
      </c>
      <c r="AX24" s="348">
        <f t="shared" si="45"/>
        <v>403638</v>
      </c>
      <c r="AY24" s="348">
        <f t="shared" si="45"/>
        <v>401808</v>
      </c>
      <c r="AZ24" s="348">
        <f t="shared" si="45"/>
        <v>402975</v>
      </c>
      <c r="BA24" s="348">
        <f t="shared" si="45"/>
        <v>403821</v>
      </c>
      <c r="BB24" s="348">
        <f t="shared" si="45"/>
        <v>411903</v>
      </c>
      <c r="BC24" s="348">
        <f t="shared" ref="BC24:BD24" si="46">SUM(BC16:BC23)+BC12</f>
        <v>420795</v>
      </c>
      <c r="BD24" s="348">
        <f t="shared" si="46"/>
        <v>443865</v>
      </c>
      <c r="BE24" s="348">
        <f t="shared" ref="BE24" si="47">SUM(BE16:BE23)+BE12</f>
        <v>444097</v>
      </c>
      <c r="BF24" s="348">
        <f t="shared" ref="BF24:BI24" ca="1" si="48">SUM(BF16:BF23)+BF12</f>
        <v>443936.55702869914</v>
      </c>
      <c r="BG24" s="348">
        <f t="shared" ca="1" si="48"/>
        <v>447554.04296697269</v>
      </c>
      <c r="BH24" s="348">
        <f t="shared" ca="1" si="48"/>
        <v>451478.83463313809</v>
      </c>
      <c r="BI24" s="348">
        <f t="shared" ca="1" si="48"/>
        <v>458084.47933475312</v>
      </c>
      <c r="BJ24" s="252"/>
      <c r="BK24"/>
      <c r="BL24"/>
      <c r="BM24"/>
      <c r="BN24"/>
      <c r="BO24"/>
      <c r="BP24"/>
    </row>
    <row r="25" spans="1:68" s="161" customFormat="1" ht="16.5" thickTop="1">
      <c r="A25" s="235"/>
      <c r="B25" s="236"/>
      <c r="C25" s="236"/>
      <c r="D25" s="236"/>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36"/>
      <c r="AC25" s="236"/>
      <c r="AD25" s="236"/>
      <c r="AE25" s="236"/>
      <c r="AF25" s="236"/>
      <c r="AG25" s="236"/>
      <c r="AH25" s="236"/>
      <c r="AI25" s="236"/>
      <c r="AJ25" s="236"/>
      <c r="AK25" s="236"/>
      <c r="AL25" s="236"/>
      <c r="AM25" s="236"/>
      <c r="AN25" s="236"/>
      <c r="AO25" s="236"/>
      <c r="AP25" s="236"/>
      <c r="AQ25" s="236"/>
      <c r="AR25" s="236"/>
      <c r="AS25" s="236"/>
      <c r="AT25" s="236"/>
      <c r="AU25" s="236"/>
      <c r="AV25" s="236"/>
      <c r="AW25" s="236"/>
      <c r="AX25" s="236"/>
      <c r="AY25" s="236"/>
      <c r="AZ25" s="236"/>
      <c r="BA25" s="236"/>
      <c r="BB25" s="236"/>
      <c r="BC25" s="236"/>
      <c r="BD25" s="236"/>
      <c r="BE25" s="236"/>
      <c r="BF25" s="236"/>
      <c r="BG25" s="236"/>
      <c r="BH25" s="236"/>
      <c r="BI25" s="236"/>
      <c r="BJ25" s="235"/>
      <c r="BK25"/>
      <c r="BL25"/>
      <c r="BM25"/>
      <c r="BN25"/>
      <c r="BO25"/>
      <c r="BP25"/>
    </row>
    <row r="26" spans="1:68" s="161" customFormat="1">
      <c r="A26" s="235"/>
      <c r="B26" s="236" t="s">
        <v>359</v>
      </c>
      <c r="C26" s="236"/>
      <c r="D26" s="236">
        <f>+AO26</f>
        <v>5498</v>
      </c>
      <c r="E26" s="236">
        <f>+AS26</f>
        <v>6056</v>
      </c>
      <c r="F26" s="236">
        <f>+AW26</f>
        <v>7636</v>
      </c>
      <c r="G26" s="236">
        <f>+BA26</f>
        <v>9832</v>
      </c>
      <c r="H26" s="236">
        <f t="shared" ref="H26:H30" si="49">+BE26</f>
        <v>38374</v>
      </c>
      <c r="I26" s="236">
        <f>+BI26</f>
        <v>38374</v>
      </c>
      <c r="J26" s="236">
        <f>+I26+'Cash Flow'!J35</f>
        <v>38374</v>
      </c>
      <c r="K26" s="236">
        <f>+J26+'Cash Flow'!K35</f>
        <v>38374</v>
      </c>
      <c r="L26" s="236">
        <f>+K26+'Cash Flow'!L35</f>
        <v>38374</v>
      </c>
      <c r="M26" s="236">
        <f>+L26+'Cash Flow'!M35</f>
        <v>38374</v>
      </c>
      <c r="N26" s="236">
        <f>+M26+'Cash Flow'!N35</f>
        <v>38374</v>
      </c>
      <c r="O26" s="236">
        <f>+N26+'Cash Flow'!O35</f>
        <v>38374</v>
      </c>
      <c r="P26" s="236">
        <f>+O26+'Cash Flow'!P35</f>
        <v>38374</v>
      </c>
      <c r="Q26" s="236"/>
      <c r="R26" s="236"/>
      <c r="S26" s="236"/>
      <c r="T26" s="236"/>
      <c r="U26" s="236"/>
      <c r="V26" s="236"/>
      <c r="W26" s="236"/>
      <c r="X26" s="236"/>
      <c r="Y26" s="236"/>
      <c r="Z26" s="236"/>
      <c r="AA26" s="236"/>
      <c r="AB26" s="236"/>
      <c r="AC26" s="236"/>
      <c r="AD26" s="236"/>
      <c r="AE26" s="236"/>
      <c r="AF26" s="236"/>
      <c r="AG26" s="236"/>
      <c r="AH26" s="236"/>
      <c r="AI26" s="236"/>
      <c r="AJ26" s="236"/>
      <c r="AK26" s="236"/>
      <c r="AL26" s="261">
        <v>3446</v>
      </c>
      <c r="AM26" s="261">
        <v>3256</v>
      </c>
      <c r="AN26" s="261">
        <v>7873</v>
      </c>
      <c r="AO26" s="261">
        <v>5498</v>
      </c>
      <c r="AP26" s="261">
        <v>8301</v>
      </c>
      <c r="AQ26" s="261">
        <v>10482</v>
      </c>
      <c r="AR26" s="261">
        <v>5109</v>
      </c>
      <c r="AS26" s="261">
        <v>6056</v>
      </c>
      <c r="AT26" s="261">
        <v>8181</v>
      </c>
      <c r="AU26" s="261">
        <v>8603</v>
      </c>
      <c r="AV26" s="261">
        <v>7535</v>
      </c>
      <c r="AW26" s="261">
        <v>7636</v>
      </c>
      <c r="AX26" s="261">
        <v>8399</v>
      </c>
      <c r="AY26" s="261">
        <v>9528</v>
      </c>
      <c r="AZ26" s="261">
        <v>7982</v>
      </c>
      <c r="BA26" s="261">
        <v>9832</v>
      </c>
      <c r="BB26" s="261">
        <v>12681</v>
      </c>
      <c r="BC26" s="261">
        <v>10831</v>
      </c>
      <c r="BD26" s="261">
        <v>8551</v>
      </c>
      <c r="BE26" s="261">
        <v>38374</v>
      </c>
      <c r="BF26" s="236">
        <f>+BE26+'Cash Flow'!BF35</f>
        <v>38374</v>
      </c>
      <c r="BG26" s="236">
        <f>+BF26+'Cash Flow'!BG35</f>
        <v>38374</v>
      </c>
      <c r="BH26" s="236">
        <f>+BG26+'Cash Flow'!BH35</f>
        <v>38374</v>
      </c>
      <c r="BI26" s="236">
        <f>+BH26+'Cash Flow'!BI35</f>
        <v>38374</v>
      </c>
      <c r="BJ26" s="235"/>
      <c r="BK26"/>
      <c r="BL26"/>
      <c r="BM26"/>
      <c r="BN26"/>
      <c r="BO26"/>
      <c r="BP26"/>
    </row>
    <row r="27" spans="1:68" s="161" customFormat="1">
      <c r="A27" s="235"/>
      <c r="B27" s="236" t="s">
        <v>360</v>
      </c>
      <c r="C27" s="236"/>
      <c r="D27" s="236">
        <f>+AO27</f>
        <v>21107</v>
      </c>
      <c r="E27" s="236">
        <f>+AS27</f>
        <v>23592</v>
      </c>
      <c r="F27" s="236">
        <f>+AW27</f>
        <v>30372</v>
      </c>
      <c r="G27" s="236">
        <f>+BA27</f>
        <v>31138</v>
      </c>
      <c r="H27" s="236">
        <f t="shared" si="49"/>
        <v>34470</v>
      </c>
      <c r="I27" s="236">
        <f ca="1">+BI27</f>
        <v>34198.178212346946</v>
      </c>
      <c r="J27" s="236">
        <f ca="1">+J56*'Income Statement'!J21/360</f>
        <v>33819.782055799988</v>
      </c>
      <c r="K27" s="236">
        <f ca="1">+K56*'Income Statement'!K21/360</f>
        <v>33749.016165064837</v>
      </c>
      <c r="L27" s="236">
        <f ca="1">+L56*'Income Statement'!L21/360</f>
        <v>33626.732589479732</v>
      </c>
      <c r="M27" s="236">
        <f ca="1">+M56*'Income Statement'!M21/360</f>
        <v>33358.464575886588</v>
      </c>
      <c r="N27" s="236">
        <f ca="1">+N56*'Income Statement'!N21/360</f>
        <v>33079.484434987571</v>
      </c>
      <c r="O27" s="236">
        <f ca="1">+O56*'Income Statement'!O21/360</f>
        <v>32847.667051497701</v>
      </c>
      <c r="P27" s="236">
        <f ca="1">+P56*'Income Statement'!P21/360</f>
        <v>32704.030375114053</v>
      </c>
      <c r="Q27" s="236"/>
      <c r="R27" s="236"/>
      <c r="S27" s="236"/>
      <c r="T27" s="236"/>
      <c r="U27" s="236"/>
      <c r="V27" s="236"/>
      <c r="W27" s="236"/>
      <c r="X27" s="236"/>
      <c r="Y27" s="236"/>
      <c r="Z27" s="236"/>
      <c r="AA27" s="236"/>
      <c r="AB27" s="236"/>
      <c r="AC27" s="236"/>
      <c r="AD27" s="236"/>
      <c r="AE27" s="236"/>
      <c r="AF27" s="236"/>
      <c r="AG27" s="236"/>
      <c r="AH27" s="236"/>
      <c r="AI27" s="236"/>
      <c r="AJ27" s="236"/>
      <c r="AK27" s="236"/>
      <c r="AL27" s="261">
        <v>17523</v>
      </c>
      <c r="AM27" s="261">
        <v>19438</v>
      </c>
      <c r="AN27" s="261">
        <v>20433</v>
      </c>
      <c r="AO27" s="261">
        <v>21107</v>
      </c>
      <c r="AP27" s="261">
        <v>22234</v>
      </c>
      <c r="AQ27" s="261">
        <v>22966</v>
      </c>
      <c r="AR27" s="261">
        <v>24119</v>
      </c>
      <c r="AS27" s="261">
        <v>23592</v>
      </c>
      <c r="AT27" s="261">
        <v>20418</v>
      </c>
      <c r="AU27" s="261">
        <v>21560</v>
      </c>
      <c r="AV27" s="261">
        <v>28280</v>
      </c>
      <c r="AW27" s="261">
        <v>30372</v>
      </c>
      <c r="AX27" s="261">
        <v>26169</v>
      </c>
      <c r="AY27" s="261">
        <v>26746</v>
      </c>
      <c r="AZ27" s="261">
        <v>28849</v>
      </c>
      <c r="BA27" s="261">
        <v>31138</v>
      </c>
      <c r="BB27" s="261">
        <v>27120</v>
      </c>
      <c r="BC27" s="261">
        <v>26471</v>
      </c>
      <c r="BD27" s="261">
        <v>28928</v>
      </c>
      <c r="BE27" s="261">
        <v>34470</v>
      </c>
      <c r="BF27" s="236">
        <f ca="1">+BF56*'Income Statement'!BF21/90</f>
        <v>31072.414253079893</v>
      </c>
      <c r="BG27" s="236">
        <f ca="1">+BG56*'Income Statement'!BG21/90</f>
        <v>31049.759186078536</v>
      </c>
      <c r="BH27" s="236">
        <f ca="1">+BH56*'Income Statement'!BH21/90</f>
        <v>30987.807600683984</v>
      </c>
      <c r="BI27" s="236">
        <f ca="1">+BI56*'Income Statement'!BI21/90</f>
        <v>34198.178212346946</v>
      </c>
      <c r="BJ27" s="235"/>
      <c r="BK27"/>
      <c r="BL27"/>
      <c r="BM27"/>
      <c r="BN27"/>
      <c r="BO27"/>
      <c r="BP27"/>
    </row>
    <row r="28" spans="1:68" s="161" customFormat="1">
      <c r="A28" s="235"/>
      <c r="B28" s="236" t="s">
        <v>361</v>
      </c>
      <c r="C28" s="236"/>
      <c r="D28" s="236">
        <f>+AO28</f>
        <v>4212</v>
      </c>
      <c r="E28" s="236">
        <f>+AS28</f>
        <v>4105</v>
      </c>
      <c r="F28" s="236">
        <f>+AW28</f>
        <v>4682</v>
      </c>
      <c r="G28" s="236">
        <f>+BA28</f>
        <v>4519</v>
      </c>
      <c r="H28" s="236">
        <f t="shared" si="49"/>
        <v>4213</v>
      </c>
      <c r="I28" s="236">
        <f>+BI28</f>
        <v>4213</v>
      </c>
      <c r="J28" s="236">
        <f t="shared" ref="J28:J30" si="50">+I28</f>
        <v>4213</v>
      </c>
      <c r="K28" s="236">
        <f t="shared" ref="K28:K30" si="51">+J28</f>
        <v>4213</v>
      </c>
      <c r="L28" s="236">
        <f t="shared" ref="L28:L30" si="52">+K28</f>
        <v>4213</v>
      </c>
      <c r="M28" s="236">
        <f t="shared" ref="M28:M30" si="53">+L28</f>
        <v>4213</v>
      </c>
      <c r="N28" s="236">
        <f t="shared" ref="N28:N30" si="54">+M28</f>
        <v>4213</v>
      </c>
      <c r="O28" s="236">
        <f t="shared" ref="O28:O30" si="55">+N28</f>
        <v>4213</v>
      </c>
      <c r="P28" s="236">
        <f t="shared" ref="P28:P30" si="56">+O28</f>
        <v>4213</v>
      </c>
      <c r="Q28" s="236"/>
      <c r="R28" s="236"/>
      <c r="S28" s="236"/>
      <c r="T28" s="236"/>
      <c r="U28" s="236"/>
      <c r="V28" s="236"/>
      <c r="W28" s="236"/>
      <c r="X28" s="236"/>
      <c r="Y28" s="236"/>
      <c r="Z28" s="236"/>
      <c r="AA28" s="236"/>
      <c r="AB28" s="236"/>
      <c r="AC28" s="236"/>
      <c r="AD28" s="236"/>
      <c r="AE28" s="236"/>
      <c r="AF28" s="236"/>
      <c r="AG28" s="236"/>
      <c r="AH28" s="236"/>
      <c r="AI28" s="236"/>
      <c r="AJ28" s="236"/>
      <c r="AK28" s="236"/>
      <c r="AL28" s="261">
        <v>4167</v>
      </c>
      <c r="AM28" s="261">
        <v>4029</v>
      </c>
      <c r="AN28" s="261">
        <v>4013</v>
      </c>
      <c r="AO28" s="261">
        <v>4212</v>
      </c>
      <c r="AP28" s="261">
        <v>4121</v>
      </c>
      <c r="AQ28" s="261">
        <v>3990</v>
      </c>
      <c r="AR28" s="261">
        <v>4038</v>
      </c>
      <c r="AS28" s="261">
        <v>4105</v>
      </c>
      <c r="AT28" s="261">
        <v>4221</v>
      </c>
      <c r="AU28" s="261">
        <v>4075</v>
      </c>
      <c r="AV28" s="261">
        <v>4640</v>
      </c>
      <c r="AW28" s="261">
        <v>4682</v>
      </c>
      <c r="AX28" s="261">
        <v>4550</v>
      </c>
      <c r="AY28" s="261">
        <v>4465</v>
      </c>
      <c r="AZ28" s="261">
        <v>4637</v>
      </c>
      <c r="BA28" s="261">
        <v>4519</v>
      </c>
      <c r="BB28" s="261">
        <v>4493</v>
      </c>
      <c r="BC28" s="261">
        <v>4371</v>
      </c>
      <c r="BD28" s="261">
        <v>4503</v>
      </c>
      <c r="BE28" s="261">
        <v>4213</v>
      </c>
      <c r="BF28" s="236">
        <f t="shared" ref="BF28:BF30" si="57">+BE28</f>
        <v>4213</v>
      </c>
      <c r="BG28" s="236">
        <f t="shared" ref="BG28:BG30" si="58">+BF28</f>
        <v>4213</v>
      </c>
      <c r="BH28" s="236">
        <f t="shared" ref="BH28:BH30" si="59">+BG28</f>
        <v>4213</v>
      </c>
      <c r="BI28" s="236">
        <f t="shared" ref="BI28:BI30" si="60">+BH28</f>
        <v>4213</v>
      </c>
      <c r="BJ28" s="235"/>
      <c r="BK28"/>
      <c r="BL28"/>
      <c r="BM28"/>
      <c r="BN28"/>
      <c r="BO28"/>
      <c r="BP28"/>
    </row>
    <row r="29" spans="1:68" s="161" customFormat="1">
      <c r="A29" s="235"/>
      <c r="B29" s="236" t="s">
        <v>109</v>
      </c>
      <c r="C29" s="236"/>
      <c r="D29" s="236">
        <f>+AO29</f>
        <v>1774</v>
      </c>
      <c r="E29" s="236">
        <f>+AS29</f>
        <v>1136</v>
      </c>
      <c r="F29" s="236">
        <f>+AW29</f>
        <v>2176</v>
      </c>
      <c r="G29" s="236">
        <f>+BA29</f>
        <v>2079</v>
      </c>
      <c r="H29" s="236">
        <f t="shared" si="49"/>
        <v>1262</v>
      </c>
      <c r="I29" s="236">
        <f>+BI29</f>
        <v>1262</v>
      </c>
      <c r="J29" s="236">
        <f t="shared" si="50"/>
        <v>1262</v>
      </c>
      <c r="K29" s="236">
        <f t="shared" si="51"/>
        <v>1262</v>
      </c>
      <c r="L29" s="236">
        <f t="shared" si="52"/>
        <v>1262</v>
      </c>
      <c r="M29" s="236">
        <f t="shared" si="53"/>
        <v>1262</v>
      </c>
      <c r="N29" s="236">
        <f t="shared" si="54"/>
        <v>1262</v>
      </c>
      <c r="O29" s="236">
        <f t="shared" si="55"/>
        <v>1262</v>
      </c>
      <c r="P29" s="236">
        <f t="shared" si="56"/>
        <v>1262</v>
      </c>
      <c r="Q29" s="236"/>
      <c r="R29" s="236"/>
      <c r="S29" s="236"/>
      <c r="T29" s="236"/>
      <c r="U29" s="236"/>
      <c r="V29" s="236"/>
      <c r="W29" s="236"/>
      <c r="X29" s="236"/>
      <c r="Y29" s="236"/>
      <c r="Z29" s="236"/>
      <c r="AA29" s="236"/>
      <c r="AB29" s="236"/>
      <c r="AC29" s="236"/>
      <c r="AD29" s="236"/>
      <c r="AE29" s="236"/>
      <c r="AF29" s="236"/>
      <c r="AG29" s="236"/>
      <c r="AH29" s="236"/>
      <c r="AI29" s="236"/>
      <c r="AJ29" s="236"/>
      <c r="AK29" s="236"/>
      <c r="AL29" s="261">
        <v>2210</v>
      </c>
      <c r="AM29" s="261">
        <v>2065</v>
      </c>
      <c r="AN29" s="261">
        <v>1488</v>
      </c>
      <c r="AO29" s="261">
        <v>1774</v>
      </c>
      <c r="AP29" s="261">
        <v>2784</v>
      </c>
      <c r="AQ29" s="261">
        <v>3962</v>
      </c>
      <c r="AR29" s="261">
        <v>4328</v>
      </c>
      <c r="AS29" s="261">
        <v>1136</v>
      </c>
      <c r="AT29" s="261">
        <v>2390</v>
      </c>
      <c r="AU29" s="261">
        <v>3848</v>
      </c>
      <c r="AV29" s="261">
        <v>4591</v>
      </c>
      <c r="AW29" s="261">
        <v>2176</v>
      </c>
      <c r="AX29" s="261">
        <v>2455</v>
      </c>
      <c r="AY29" s="261">
        <v>2773</v>
      </c>
      <c r="AZ29" s="261">
        <v>2686</v>
      </c>
      <c r="BA29" s="261">
        <v>2079</v>
      </c>
      <c r="BB29" s="261">
        <v>3384</v>
      </c>
      <c r="BC29" s="261">
        <v>3331</v>
      </c>
      <c r="BD29" s="261">
        <v>2703</v>
      </c>
      <c r="BE29" s="261">
        <v>1262</v>
      </c>
      <c r="BF29" s="236">
        <f t="shared" si="57"/>
        <v>1262</v>
      </c>
      <c r="BG29" s="236">
        <f t="shared" si="58"/>
        <v>1262</v>
      </c>
      <c r="BH29" s="236">
        <f t="shared" si="59"/>
        <v>1262</v>
      </c>
      <c r="BI29" s="236">
        <f t="shared" si="60"/>
        <v>1262</v>
      </c>
      <c r="BJ29" s="235"/>
      <c r="BK29"/>
      <c r="BL29"/>
      <c r="BM29"/>
      <c r="BN29"/>
      <c r="BO29"/>
      <c r="BP29"/>
    </row>
    <row r="30" spans="1:68" s="161" customFormat="1">
      <c r="A30" s="235"/>
      <c r="B30" s="236" t="s">
        <v>110</v>
      </c>
      <c r="C30" s="236"/>
      <c r="D30" s="236">
        <f>+AO30</f>
        <v>2404</v>
      </c>
      <c r="E30" s="236">
        <f>+AS30</f>
        <v>2438</v>
      </c>
      <c r="F30" s="236">
        <f>+AW30</f>
        <v>2950</v>
      </c>
      <c r="G30" s="236">
        <f>+BA30</f>
        <v>3008</v>
      </c>
      <c r="H30" s="236">
        <f t="shared" si="49"/>
        <v>3070</v>
      </c>
      <c r="I30" s="236">
        <f>+BI30</f>
        <v>3070</v>
      </c>
      <c r="J30" s="236">
        <f t="shared" si="50"/>
        <v>3070</v>
      </c>
      <c r="K30" s="236">
        <f t="shared" si="51"/>
        <v>3070</v>
      </c>
      <c r="L30" s="236">
        <f t="shared" si="52"/>
        <v>3070</v>
      </c>
      <c r="M30" s="236">
        <f t="shared" si="53"/>
        <v>3070</v>
      </c>
      <c r="N30" s="236">
        <f t="shared" si="54"/>
        <v>3070</v>
      </c>
      <c r="O30" s="236">
        <f t="shared" si="55"/>
        <v>3070</v>
      </c>
      <c r="P30" s="236">
        <f t="shared" si="56"/>
        <v>3070</v>
      </c>
      <c r="Q30" s="236"/>
      <c r="R30" s="236"/>
      <c r="S30" s="236"/>
      <c r="T30" s="236"/>
      <c r="U30" s="236"/>
      <c r="V30" s="236"/>
      <c r="W30" s="236"/>
      <c r="X30" s="236"/>
      <c r="Y30" s="236"/>
      <c r="Z30" s="236"/>
      <c r="AA30" s="236"/>
      <c r="AB30" s="236"/>
      <c r="AC30" s="236"/>
      <c r="AD30" s="236"/>
      <c r="AE30" s="236"/>
      <c r="AF30" s="236"/>
      <c r="AG30" s="236"/>
      <c r="AH30" s="236"/>
      <c r="AI30" s="236"/>
      <c r="AJ30" s="236"/>
      <c r="AK30" s="236"/>
      <c r="AL30" s="261">
        <v>2440</v>
      </c>
      <c r="AM30" s="261">
        <v>2401</v>
      </c>
      <c r="AN30" s="261">
        <v>2376</v>
      </c>
      <c r="AO30" s="261">
        <v>2404</v>
      </c>
      <c r="AP30" s="261">
        <v>2390</v>
      </c>
      <c r="AQ30" s="261">
        <v>2388</v>
      </c>
      <c r="AR30" s="261">
        <v>2385</v>
      </c>
      <c r="AS30" s="261">
        <v>2438</v>
      </c>
      <c r="AT30" s="261">
        <v>2441</v>
      </c>
      <c r="AU30" s="261">
        <v>2441</v>
      </c>
      <c r="AV30" s="261">
        <v>2892</v>
      </c>
      <c r="AW30" s="261">
        <v>2950</v>
      </c>
      <c r="AX30" s="261">
        <v>2955</v>
      </c>
      <c r="AY30" s="261">
        <v>2953</v>
      </c>
      <c r="AZ30" s="261">
        <v>2948</v>
      </c>
      <c r="BA30" s="261">
        <v>3008</v>
      </c>
      <c r="BB30" s="261">
        <v>3012</v>
      </c>
      <c r="BC30" s="261">
        <v>3008</v>
      </c>
      <c r="BD30" s="261">
        <v>3008</v>
      </c>
      <c r="BE30" s="261">
        <v>3070</v>
      </c>
      <c r="BF30" s="236">
        <f t="shared" si="57"/>
        <v>3070</v>
      </c>
      <c r="BG30" s="236">
        <f t="shared" si="58"/>
        <v>3070</v>
      </c>
      <c r="BH30" s="236">
        <f t="shared" si="59"/>
        <v>3070</v>
      </c>
      <c r="BI30" s="236">
        <f t="shared" si="60"/>
        <v>3070</v>
      </c>
      <c r="BJ30" s="235"/>
      <c r="BK30"/>
      <c r="BL30"/>
      <c r="BM30"/>
      <c r="BN30"/>
      <c r="BO30"/>
      <c r="BP30"/>
    </row>
    <row r="31" spans="1:68" s="162" customFormat="1">
      <c r="A31" s="240"/>
      <c r="B31" s="277" t="s">
        <v>362</v>
      </c>
      <c r="C31" s="252"/>
      <c r="D31" s="252">
        <f t="shared" ref="D31:J31" si="61">SUM(D26:D30)</f>
        <v>34995</v>
      </c>
      <c r="E31" s="252">
        <f t="shared" si="61"/>
        <v>37327</v>
      </c>
      <c r="F31" s="252">
        <f t="shared" si="61"/>
        <v>47816</v>
      </c>
      <c r="G31" s="252">
        <f>SUM(G26:G30)</f>
        <v>50576</v>
      </c>
      <c r="H31" s="252">
        <f>SUM(H26:H30)</f>
        <v>81389</v>
      </c>
      <c r="I31" s="252">
        <f ca="1">SUM(I26:I30)</f>
        <v>81117.178212346946</v>
      </c>
      <c r="J31" s="252">
        <f t="shared" ca="1" si="61"/>
        <v>80738.782055799995</v>
      </c>
      <c r="K31" s="252">
        <f t="shared" ref="K31:P31" ca="1" si="62">SUM(K26:K30)</f>
        <v>80668.016165064837</v>
      </c>
      <c r="L31" s="252">
        <f t="shared" ca="1" si="62"/>
        <v>80545.73258947974</v>
      </c>
      <c r="M31" s="252">
        <f t="shared" ca="1" si="62"/>
        <v>80277.464575886581</v>
      </c>
      <c r="N31" s="252">
        <f t="shared" ca="1" si="62"/>
        <v>79998.484434987564</v>
      </c>
      <c r="O31" s="252">
        <f t="shared" ca="1" si="62"/>
        <v>79766.667051497701</v>
      </c>
      <c r="P31" s="252">
        <f t="shared" ca="1" si="62"/>
        <v>79623.03037511406</v>
      </c>
      <c r="Q31" s="252"/>
      <c r="R31" s="252"/>
      <c r="S31" s="252"/>
      <c r="T31" s="252"/>
      <c r="U31" s="252"/>
      <c r="V31" s="252"/>
      <c r="W31" s="252"/>
      <c r="X31" s="252"/>
      <c r="Y31" s="252"/>
      <c r="Z31" s="252"/>
      <c r="AA31" s="252"/>
      <c r="AB31" s="252"/>
      <c r="AC31" s="252"/>
      <c r="AD31" s="252"/>
      <c r="AE31" s="252"/>
      <c r="AF31" s="252"/>
      <c r="AG31" s="252"/>
      <c r="AH31" s="252"/>
      <c r="AI31" s="252"/>
      <c r="AJ31" s="252"/>
      <c r="AK31" s="252"/>
      <c r="AL31" s="252">
        <f t="shared" ref="AL31:AV31" si="63">SUM(AL26:AL30)</f>
        <v>29786</v>
      </c>
      <c r="AM31" s="252">
        <f t="shared" si="63"/>
        <v>31189</v>
      </c>
      <c r="AN31" s="252">
        <f t="shared" si="63"/>
        <v>36183</v>
      </c>
      <c r="AO31" s="252">
        <f t="shared" si="63"/>
        <v>34995</v>
      </c>
      <c r="AP31" s="252">
        <f t="shared" si="63"/>
        <v>39830</v>
      </c>
      <c r="AQ31" s="252">
        <f t="shared" si="63"/>
        <v>43788</v>
      </c>
      <c r="AR31" s="252">
        <f t="shared" si="63"/>
        <v>39979</v>
      </c>
      <c r="AS31" s="252">
        <f t="shared" si="63"/>
        <v>37327</v>
      </c>
      <c r="AT31" s="252">
        <f t="shared" si="63"/>
        <v>37651</v>
      </c>
      <c r="AU31" s="252">
        <f t="shared" si="63"/>
        <v>40527</v>
      </c>
      <c r="AV31" s="252">
        <f t="shared" si="63"/>
        <v>47938</v>
      </c>
      <c r="AW31" s="252">
        <f t="shared" ref="AW31:BB31" si="64">SUM(AW26:AW30)</f>
        <v>47816</v>
      </c>
      <c r="AX31" s="252">
        <f t="shared" si="64"/>
        <v>44528</v>
      </c>
      <c r="AY31" s="252">
        <f t="shared" si="64"/>
        <v>46465</v>
      </c>
      <c r="AZ31" s="252">
        <f t="shared" si="64"/>
        <v>47102</v>
      </c>
      <c r="BA31" s="252">
        <f t="shared" si="64"/>
        <v>50576</v>
      </c>
      <c r="BB31" s="252">
        <f t="shared" si="64"/>
        <v>50690</v>
      </c>
      <c r="BC31" s="252">
        <f t="shared" ref="BC31:BD31" si="65">SUM(BC26:BC30)</f>
        <v>48012</v>
      </c>
      <c r="BD31" s="252">
        <f t="shared" si="65"/>
        <v>47693</v>
      </c>
      <c r="BE31" s="252">
        <f t="shared" ref="BE31" si="66">SUM(BE26:BE30)</f>
        <v>81389</v>
      </c>
      <c r="BF31" s="252">
        <f t="shared" ref="BF31:BI31" ca="1" si="67">SUM(BF26:BF30)</f>
        <v>77991.414253079885</v>
      </c>
      <c r="BG31" s="252">
        <f t="shared" ca="1" si="67"/>
        <v>77968.759186078532</v>
      </c>
      <c r="BH31" s="252">
        <f t="shared" ca="1" si="67"/>
        <v>77906.807600683984</v>
      </c>
      <c r="BI31" s="252">
        <f t="shared" ca="1" si="67"/>
        <v>81117.178212346946</v>
      </c>
      <c r="BJ31" s="235"/>
      <c r="BK31"/>
      <c r="BL31"/>
      <c r="BM31"/>
      <c r="BN31"/>
      <c r="BO31"/>
      <c r="BP31"/>
    </row>
    <row r="32" spans="1:68" s="161" customFormat="1">
      <c r="A32" s="235"/>
      <c r="B32" s="236"/>
      <c r="C32" s="236"/>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c r="AL32" s="236"/>
      <c r="AM32" s="236"/>
      <c r="AN32" s="236"/>
      <c r="AO32" s="236"/>
      <c r="AP32" s="236"/>
      <c r="AQ32" s="236"/>
      <c r="AR32" s="236"/>
      <c r="AS32" s="236"/>
      <c r="AT32" s="236"/>
      <c r="AU32" s="236"/>
      <c r="AV32" s="236"/>
      <c r="AW32" s="236"/>
      <c r="AX32" s="236"/>
      <c r="AY32" s="236"/>
      <c r="AZ32" s="236"/>
      <c r="BA32" s="236"/>
      <c r="BB32" s="236"/>
      <c r="BC32" s="236"/>
      <c r="BD32" s="236"/>
      <c r="BE32" s="236"/>
      <c r="BF32" s="236"/>
      <c r="BG32" s="236"/>
      <c r="BH32" s="236"/>
      <c r="BI32" s="236"/>
      <c r="BJ32" s="235"/>
      <c r="BK32"/>
      <c r="BL32"/>
      <c r="BM32"/>
      <c r="BN32"/>
      <c r="BO32"/>
      <c r="BP32"/>
    </row>
    <row r="33" spans="1:68" s="161" customFormat="1">
      <c r="A33" s="235"/>
      <c r="B33" s="236" t="s">
        <v>363</v>
      </c>
      <c r="C33" s="236"/>
      <c r="D33" s="236">
        <f>+AO33</f>
        <v>69290</v>
      </c>
      <c r="E33" s="236">
        <f>+AS33</f>
        <v>76011</v>
      </c>
      <c r="F33" s="236">
        <f>+AW33</f>
        <v>118515</v>
      </c>
      <c r="G33" s="236">
        <f>+BA33</f>
        <v>113681</v>
      </c>
      <c r="H33" s="236">
        <f t="shared" ref="H33:H36" si="68">+BE33</f>
        <v>125972</v>
      </c>
      <c r="I33" s="236">
        <f>+BI33</f>
        <v>125972</v>
      </c>
      <c r="J33" s="236">
        <f>+I33+'Cash Flow'!J36+'Cash Flow'!J37</f>
        <v>125972</v>
      </c>
      <c r="K33" s="236">
        <f>+J33+'Cash Flow'!K36+'Cash Flow'!K37</f>
        <v>125972</v>
      </c>
      <c r="L33" s="236">
        <f>+K33+'Cash Flow'!L36+'Cash Flow'!L37</f>
        <v>125972</v>
      </c>
      <c r="M33" s="236">
        <f>+L33+'Cash Flow'!M36+'Cash Flow'!M37</f>
        <v>125972</v>
      </c>
      <c r="N33" s="236">
        <f>+M33+'Cash Flow'!N36+'Cash Flow'!N37</f>
        <v>125972</v>
      </c>
      <c r="O33" s="236">
        <f>+N33+'Cash Flow'!O36+'Cash Flow'!O37</f>
        <v>125972</v>
      </c>
      <c r="P33" s="236">
        <f>+O33+'Cash Flow'!P36+'Cash Flow'!P37</f>
        <v>125972</v>
      </c>
      <c r="Q33" s="236"/>
      <c r="R33" s="236"/>
      <c r="S33" s="236"/>
      <c r="T33" s="236"/>
      <c r="U33" s="236"/>
      <c r="V33" s="236"/>
      <c r="W33" s="236"/>
      <c r="X33" s="236"/>
      <c r="Y33" s="236"/>
      <c r="Z33" s="236"/>
      <c r="AA33" s="236"/>
      <c r="AB33" s="236"/>
      <c r="AC33" s="236"/>
      <c r="AD33" s="236"/>
      <c r="AE33" s="236"/>
      <c r="AF33" s="236"/>
      <c r="AG33" s="236"/>
      <c r="AH33" s="236"/>
      <c r="AI33" s="236"/>
      <c r="AJ33" s="236"/>
      <c r="AK33" s="236"/>
      <c r="AL33" s="261">
        <v>70686</v>
      </c>
      <c r="AM33" s="261">
        <v>71917</v>
      </c>
      <c r="AN33" s="261">
        <v>68350</v>
      </c>
      <c r="AO33" s="261">
        <v>69290</v>
      </c>
      <c r="AP33" s="261">
        <v>71575</v>
      </c>
      <c r="AQ33" s="261">
        <v>73570</v>
      </c>
      <c r="AR33" s="261">
        <v>70516</v>
      </c>
      <c r="AS33" s="261">
        <v>76011</v>
      </c>
      <c r="AT33" s="261">
        <v>88272</v>
      </c>
      <c r="AU33" s="261">
        <v>105067</v>
      </c>
      <c r="AV33" s="261">
        <v>119395</v>
      </c>
      <c r="AW33" s="261">
        <v>118515</v>
      </c>
      <c r="AX33" s="261">
        <v>122104</v>
      </c>
      <c r="AY33" s="261">
        <v>117308</v>
      </c>
      <c r="AZ33" s="261">
        <v>117239</v>
      </c>
      <c r="BA33" s="261">
        <v>113681</v>
      </c>
      <c r="BB33" s="261">
        <v>120568</v>
      </c>
      <c r="BC33" s="261">
        <v>132824</v>
      </c>
      <c r="BD33" s="261">
        <v>154728</v>
      </c>
      <c r="BE33" s="261">
        <v>125972</v>
      </c>
      <c r="BF33" s="236">
        <f>+BE33+'Cash Flow'!BF36+'Cash Flow'!BF37</f>
        <v>125972</v>
      </c>
      <c r="BG33" s="236">
        <f>+BF33+'Cash Flow'!BG36+'Cash Flow'!BG37</f>
        <v>125972</v>
      </c>
      <c r="BH33" s="236">
        <f>+BG33+'Cash Flow'!BH36+'Cash Flow'!BH37</f>
        <v>125972</v>
      </c>
      <c r="BI33" s="236">
        <f>+BH33+'Cash Flow'!BI36+'Cash Flow'!BI37</f>
        <v>125972</v>
      </c>
      <c r="BJ33" s="235"/>
      <c r="BK33"/>
      <c r="BL33"/>
      <c r="BM33"/>
      <c r="BN33"/>
      <c r="BO33"/>
      <c r="BP33"/>
    </row>
    <row r="34" spans="1:68" s="161" customFormat="1">
      <c r="A34" s="235"/>
      <c r="B34" s="236" t="s">
        <v>108</v>
      </c>
      <c r="C34" s="236"/>
      <c r="D34" s="236">
        <f>+AO34</f>
        <v>36308</v>
      </c>
      <c r="E34" s="236">
        <f>+AS34</f>
        <v>38549</v>
      </c>
      <c r="F34" s="236">
        <f>+AW34</f>
        <v>55319</v>
      </c>
      <c r="G34" s="236">
        <f>+BA34</f>
        <v>60128</v>
      </c>
      <c r="H34" s="236">
        <f t="shared" si="68"/>
        <v>43207</v>
      </c>
      <c r="I34" s="236">
        <f>+BI34</f>
        <v>48545.622776907519</v>
      </c>
      <c r="J34" s="261">
        <v>50901.59780649715</v>
      </c>
      <c r="K34" s="261">
        <v>53290.830037779684</v>
      </c>
      <c r="L34" s="261">
        <v>55705.58534122807</v>
      </c>
      <c r="M34" s="261">
        <v>58140.13640737861</v>
      </c>
      <c r="N34" s="261">
        <v>60594.789414970393</v>
      </c>
      <c r="O34" s="261">
        <v>63071.256353194447</v>
      </c>
      <c r="P34" s="261">
        <v>65569.960818917592</v>
      </c>
      <c r="Q34" s="236"/>
      <c r="R34" s="236"/>
      <c r="S34" s="236"/>
      <c r="T34" s="236"/>
      <c r="U34" s="236"/>
      <c r="V34" s="236"/>
      <c r="W34" s="236"/>
      <c r="X34" s="236"/>
      <c r="Y34" s="236"/>
      <c r="Z34" s="236"/>
      <c r="AA34" s="236"/>
      <c r="AB34" s="236"/>
      <c r="AC34" s="236"/>
      <c r="AD34" s="236"/>
      <c r="AE34" s="236"/>
      <c r="AF34" s="236"/>
      <c r="AG34" s="236"/>
      <c r="AH34" s="236"/>
      <c r="AI34" s="236"/>
      <c r="AJ34" s="236"/>
      <c r="AK34" s="236"/>
      <c r="AL34" s="261">
        <v>28918</v>
      </c>
      <c r="AM34" s="261">
        <v>29400</v>
      </c>
      <c r="AN34" s="261">
        <v>30666</v>
      </c>
      <c r="AO34" s="261">
        <v>36308</v>
      </c>
      <c r="AP34" s="261">
        <v>36448</v>
      </c>
      <c r="AQ34" s="261">
        <v>36835</v>
      </c>
      <c r="AR34" s="261">
        <v>37393</v>
      </c>
      <c r="AS34" s="261">
        <v>38549</v>
      </c>
      <c r="AT34" s="261">
        <v>38019</v>
      </c>
      <c r="AU34" s="261">
        <v>38516</v>
      </c>
      <c r="AV34" s="261">
        <v>53044</v>
      </c>
      <c r="AW34" s="261">
        <v>55319</v>
      </c>
      <c r="AX34" s="261">
        <v>57489</v>
      </c>
      <c r="AY34" s="261">
        <v>57983</v>
      </c>
      <c r="AZ34" s="261">
        <v>59649</v>
      </c>
      <c r="BA34" s="261">
        <v>60128</v>
      </c>
      <c r="BB34" s="261">
        <v>61100</v>
      </c>
      <c r="BC34" s="261">
        <v>61926</v>
      </c>
      <c r="BD34" s="261">
        <v>64381</v>
      </c>
      <c r="BE34" s="261">
        <v>43207</v>
      </c>
      <c r="BF34" s="261">
        <v>44541.65569422688</v>
      </c>
      <c r="BG34" s="261">
        <v>45876.31138845376</v>
      </c>
      <c r="BH34" s="261">
        <v>47210.96708268064</v>
      </c>
      <c r="BI34" s="261">
        <v>48545.622776907519</v>
      </c>
      <c r="BJ34" s="235"/>
      <c r="BK34"/>
      <c r="BL34"/>
      <c r="BM34"/>
      <c r="BN34"/>
      <c r="BO34"/>
      <c r="BP34"/>
    </row>
    <row r="35" spans="1:68" s="161" customFormat="1">
      <c r="A35" s="235"/>
      <c r="B35" s="236" t="s">
        <v>364</v>
      </c>
      <c r="C35" s="236"/>
      <c r="D35" s="236">
        <f>+AO35</f>
        <v>29946</v>
      </c>
      <c r="E35" s="236">
        <f>+AS35</f>
        <v>37079</v>
      </c>
      <c r="F35" s="236">
        <f>+AW35</f>
        <v>34262</v>
      </c>
      <c r="G35" s="236">
        <f>+BA35</f>
        <v>33578</v>
      </c>
      <c r="H35" s="236">
        <f t="shared" si="68"/>
        <v>31775</v>
      </c>
      <c r="I35" s="236">
        <f>+BI35</f>
        <v>31768.353000000003</v>
      </c>
      <c r="J35" s="236">
        <f>+I35+(Pension!S53+OPEB!S53)</f>
        <v>30198.445102001624</v>
      </c>
      <c r="K35" s="236">
        <f>+J35+(Pension!T53+OPEB!T53)</f>
        <v>28552.259674903657</v>
      </c>
      <c r="L35" s="236">
        <f>+K35+(Pension!U53+OPEB!U53)</f>
        <v>26825.950293823713</v>
      </c>
      <c r="M35" s="236">
        <f>+L35+(Pension!V53+OPEB!V53)</f>
        <v>25015.468049256138</v>
      </c>
      <c r="N35" s="236">
        <f>+M35+(Pension!W53+OPEB!W53)</f>
        <v>23116.550384291881</v>
      </c>
      <c r="O35" s="236">
        <f>+N35+(Pension!X53+OPEB!X53)</f>
        <v>21124.709287665544</v>
      </c>
      <c r="P35" s="236">
        <f>+O35+(Pension!Y53+OPEB!Y53)</f>
        <v>19035.218803869244</v>
      </c>
      <c r="Q35" s="236"/>
      <c r="R35" s="236"/>
      <c r="S35" s="236"/>
      <c r="T35" s="236"/>
      <c r="U35" s="236"/>
      <c r="V35" s="236"/>
      <c r="W35" s="236"/>
      <c r="X35" s="236"/>
      <c r="Y35" s="236"/>
      <c r="Z35" s="236"/>
      <c r="AA35" s="236"/>
      <c r="AB35" s="236"/>
      <c r="AC35" s="236"/>
      <c r="AD35" s="236"/>
      <c r="AE35" s="236"/>
      <c r="AF35" s="236"/>
      <c r="AG35" s="236"/>
      <c r="AH35" s="236"/>
      <c r="AI35" s="236"/>
      <c r="AJ35" s="236"/>
      <c r="AK35" s="236"/>
      <c r="AL35" s="261">
        <v>41663</v>
      </c>
      <c r="AM35" s="261">
        <v>41994</v>
      </c>
      <c r="AN35" s="261">
        <v>42036</v>
      </c>
      <c r="AO35" s="261">
        <v>29946</v>
      </c>
      <c r="AP35" s="261">
        <v>30029</v>
      </c>
      <c r="AQ35" s="261">
        <v>30070</v>
      </c>
      <c r="AR35" s="261">
        <v>29918</v>
      </c>
      <c r="AS35" s="261">
        <v>37079</v>
      </c>
      <c r="AT35" s="261">
        <v>37074</v>
      </c>
      <c r="AU35" s="261">
        <v>36638</v>
      </c>
      <c r="AV35" s="261">
        <v>36396</v>
      </c>
      <c r="AW35" s="261">
        <v>34262</v>
      </c>
      <c r="AX35" s="261">
        <v>34114</v>
      </c>
      <c r="AY35" s="261">
        <v>34023</v>
      </c>
      <c r="AZ35" s="261">
        <v>33483</v>
      </c>
      <c r="BA35" s="261">
        <v>33578</v>
      </c>
      <c r="BB35" s="261">
        <v>33404</v>
      </c>
      <c r="BC35" s="261">
        <v>31422</v>
      </c>
      <c r="BD35" s="261">
        <v>31231</v>
      </c>
      <c r="BE35" s="261">
        <v>31775</v>
      </c>
      <c r="BF35" s="236">
        <f>+BE35+(Pension!$Q$53+OPEB!$Q$53)/4</f>
        <v>31773.338250000001</v>
      </c>
      <c r="BG35" s="236">
        <f>+BF35+(Pension!$Q$53+OPEB!$Q$53)/4</f>
        <v>31771.676500000001</v>
      </c>
      <c r="BH35" s="236">
        <f>+BG35+(Pension!$Q$53+OPEB!$Q$53)/4</f>
        <v>31770.014750000002</v>
      </c>
      <c r="BI35" s="236">
        <f>+BH35+(Pension!$Q$53+OPEB!$Q$53)/4</f>
        <v>31768.353000000003</v>
      </c>
      <c r="BJ35" s="235"/>
      <c r="BK35"/>
      <c r="BL35"/>
      <c r="BM35"/>
      <c r="BN35"/>
      <c r="BO35"/>
      <c r="BP35"/>
    </row>
    <row r="36" spans="1:68" s="161" customFormat="1">
      <c r="A36" s="235"/>
      <c r="B36" s="236" t="s">
        <v>365</v>
      </c>
      <c r="C36" s="236"/>
      <c r="D36" s="236">
        <f>+AO36</f>
        <v>15766</v>
      </c>
      <c r="E36" s="236">
        <f>+AS36</f>
        <v>17989</v>
      </c>
      <c r="F36" s="236">
        <f>+AW36</f>
        <v>22259</v>
      </c>
      <c r="G36" s="236">
        <f>+BA36</f>
        <v>21748</v>
      </c>
      <c r="H36" s="236">
        <f t="shared" si="68"/>
        <v>19747</v>
      </c>
      <c r="I36" s="236">
        <f>+BI36</f>
        <v>19747</v>
      </c>
      <c r="J36" s="236">
        <f>+I36</f>
        <v>19747</v>
      </c>
      <c r="K36" s="236">
        <f t="shared" ref="K36:P36" si="69">+J36</f>
        <v>19747</v>
      </c>
      <c r="L36" s="236">
        <f t="shared" si="69"/>
        <v>19747</v>
      </c>
      <c r="M36" s="236">
        <f t="shared" si="69"/>
        <v>19747</v>
      </c>
      <c r="N36" s="236">
        <f t="shared" si="69"/>
        <v>19747</v>
      </c>
      <c r="O36" s="236">
        <f t="shared" si="69"/>
        <v>19747</v>
      </c>
      <c r="P36" s="236">
        <f t="shared" si="69"/>
        <v>19747</v>
      </c>
      <c r="Q36" s="236"/>
      <c r="R36" s="236"/>
      <c r="S36" s="236"/>
      <c r="T36" s="236"/>
      <c r="U36" s="236"/>
      <c r="V36" s="236"/>
      <c r="W36" s="236"/>
      <c r="X36" s="236"/>
      <c r="Y36" s="236"/>
      <c r="Z36" s="236"/>
      <c r="AA36" s="236"/>
      <c r="AB36" s="236"/>
      <c r="AC36" s="236"/>
      <c r="AD36" s="236"/>
      <c r="AE36" s="236"/>
      <c r="AF36" s="236"/>
      <c r="AG36" s="236"/>
      <c r="AH36" s="236"/>
      <c r="AI36" s="236"/>
      <c r="AJ36" s="236"/>
      <c r="AK36" s="236"/>
      <c r="AL36" s="261">
        <v>11603</v>
      </c>
      <c r="AM36" s="261">
        <v>11278</v>
      </c>
      <c r="AN36" s="261">
        <v>11234</v>
      </c>
      <c r="AO36" s="261">
        <v>15766</v>
      </c>
      <c r="AP36" s="261">
        <v>16089</v>
      </c>
      <c r="AQ36" s="261">
        <v>16578</v>
      </c>
      <c r="AR36" s="261">
        <v>17014</v>
      </c>
      <c r="AS36" s="261">
        <v>17989</v>
      </c>
      <c r="AT36" s="261">
        <v>19908</v>
      </c>
      <c r="AU36" s="261">
        <v>18240</v>
      </c>
      <c r="AV36" s="261">
        <v>20427</v>
      </c>
      <c r="AW36" s="261">
        <v>22259</v>
      </c>
      <c r="AX36" s="261">
        <v>20998</v>
      </c>
      <c r="AY36" s="261">
        <v>21425</v>
      </c>
      <c r="AZ36" s="261">
        <v>20899</v>
      </c>
      <c r="BA36" s="261">
        <v>21748</v>
      </c>
      <c r="BB36" s="261">
        <v>21160</v>
      </c>
      <c r="BC36" s="261">
        <v>20753</v>
      </c>
      <c r="BD36" s="261">
        <v>19723</v>
      </c>
      <c r="BE36" s="261">
        <v>19747</v>
      </c>
      <c r="BF36" s="236">
        <f t="shared" ref="BF36" si="70">+BE36</f>
        <v>19747</v>
      </c>
      <c r="BG36" s="236">
        <f t="shared" ref="BG36" si="71">+BF36</f>
        <v>19747</v>
      </c>
      <c r="BH36" s="236">
        <f t="shared" ref="BH36" si="72">+BG36</f>
        <v>19747</v>
      </c>
      <c r="BI36" s="236">
        <f t="shared" ref="BI36" si="73">+BH36</f>
        <v>19747</v>
      </c>
      <c r="BJ36" s="235"/>
      <c r="BK36"/>
      <c r="BL36"/>
      <c r="BM36"/>
      <c r="BN36"/>
      <c r="BO36"/>
      <c r="BP36"/>
    </row>
    <row r="37" spans="1:68" s="161" customFormat="1">
      <c r="A37" s="235"/>
      <c r="B37" s="236"/>
      <c r="C37" s="236"/>
      <c r="D37" s="236"/>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36"/>
      <c r="AM37" s="236"/>
      <c r="AN37" s="236"/>
      <c r="AO37" s="236"/>
      <c r="AP37" s="236"/>
      <c r="AQ37" s="236"/>
      <c r="AR37" s="236"/>
      <c r="AS37" s="236"/>
      <c r="AT37" s="236"/>
      <c r="AU37" s="236"/>
      <c r="AV37" s="236"/>
      <c r="AW37" s="236"/>
      <c r="AX37" s="236"/>
      <c r="AY37" s="236"/>
      <c r="AZ37" s="236"/>
      <c r="BA37" s="236"/>
      <c r="BB37" s="236"/>
      <c r="BC37" s="236"/>
      <c r="BD37" s="236"/>
      <c r="BE37" s="236"/>
      <c r="BF37" s="236"/>
      <c r="BG37" s="236"/>
      <c r="BH37" s="236"/>
      <c r="BI37" s="236"/>
      <c r="BJ37" s="235"/>
      <c r="BK37"/>
      <c r="BL37"/>
      <c r="BM37"/>
      <c r="BN37"/>
      <c r="BO37"/>
      <c r="BP37"/>
    </row>
    <row r="38" spans="1:68" s="162" customFormat="1">
      <c r="A38" s="240"/>
      <c r="B38" s="252" t="s">
        <v>11</v>
      </c>
      <c r="C38" s="252"/>
      <c r="D38" s="252">
        <f t="shared" ref="D38:J38" si="74">SUM(D31:D37)</f>
        <v>186305</v>
      </c>
      <c r="E38" s="252">
        <f t="shared" si="74"/>
        <v>206955</v>
      </c>
      <c r="F38" s="252">
        <f t="shared" si="74"/>
        <v>278171</v>
      </c>
      <c r="G38" s="252">
        <f>SUM(G31:G37)</f>
        <v>279711</v>
      </c>
      <c r="H38" s="252">
        <f>SUM(H31:H37)</f>
        <v>302090</v>
      </c>
      <c r="I38" s="252">
        <f ca="1">SUM(I31:I37)</f>
        <v>307150.1539892545</v>
      </c>
      <c r="J38" s="252">
        <f t="shared" ca="1" si="74"/>
        <v>307557.82496429875</v>
      </c>
      <c r="K38" s="252">
        <f t="shared" ref="K38:P38" ca="1" si="75">SUM(K31:K37)</f>
        <v>308230.10587774817</v>
      </c>
      <c r="L38" s="252">
        <f t="shared" ca="1" si="75"/>
        <v>308796.26822453155</v>
      </c>
      <c r="M38" s="252">
        <f t="shared" ca="1" si="75"/>
        <v>309152.06903252134</v>
      </c>
      <c r="N38" s="252">
        <f t="shared" ca="1" si="75"/>
        <v>309428.82423424983</v>
      </c>
      <c r="O38" s="252">
        <f t="shared" ca="1" si="75"/>
        <v>309681.6326923577</v>
      </c>
      <c r="P38" s="252">
        <f t="shared" ca="1" si="75"/>
        <v>309947.20999790094</v>
      </c>
      <c r="Q38" s="252"/>
      <c r="R38" s="252"/>
      <c r="S38" s="252"/>
      <c r="T38" s="252"/>
      <c r="U38" s="252"/>
      <c r="V38" s="252"/>
      <c r="W38" s="252"/>
      <c r="X38" s="252"/>
      <c r="Y38" s="252"/>
      <c r="Z38" s="252"/>
      <c r="AA38" s="252"/>
      <c r="AB38" s="252"/>
      <c r="AC38" s="252"/>
      <c r="AD38" s="252"/>
      <c r="AE38" s="252"/>
      <c r="AF38" s="252"/>
      <c r="AG38" s="252"/>
      <c r="AH38" s="252"/>
      <c r="AI38" s="252"/>
      <c r="AJ38" s="252"/>
      <c r="AK38" s="252"/>
      <c r="AL38" s="252">
        <f t="shared" ref="AL38:AV38" si="76">SUM(AL31:AL37)</f>
        <v>182656</v>
      </c>
      <c r="AM38" s="252">
        <f t="shared" si="76"/>
        <v>185778</v>
      </c>
      <c r="AN38" s="252">
        <f t="shared" si="76"/>
        <v>188469</v>
      </c>
      <c r="AO38" s="252">
        <f t="shared" si="76"/>
        <v>186305</v>
      </c>
      <c r="AP38" s="252">
        <f t="shared" si="76"/>
        <v>193971</v>
      </c>
      <c r="AQ38" s="252">
        <f t="shared" si="76"/>
        <v>200841</v>
      </c>
      <c r="AR38" s="252">
        <f t="shared" si="76"/>
        <v>194820</v>
      </c>
      <c r="AS38" s="252">
        <f t="shared" si="76"/>
        <v>206955</v>
      </c>
      <c r="AT38" s="252">
        <f t="shared" si="76"/>
        <v>220924</v>
      </c>
      <c r="AU38" s="252">
        <f t="shared" si="76"/>
        <v>238988</v>
      </c>
      <c r="AV38" s="252">
        <f t="shared" si="76"/>
        <v>277200</v>
      </c>
      <c r="AW38" s="252">
        <f t="shared" ref="AW38:BB38" si="77">SUM(AW31:AW37)</f>
        <v>278171</v>
      </c>
      <c r="AX38" s="252">
        <f t="shared" si="77"/>
        <v>279233</v>
      </c>
      <c r="AY38" s="252">
        <f t="shared" si="77"/>
        <v>277204</v>
      </c>
      <c r="AZ38" s="252">
        <f t="shared" si="77"/>
        <v>278372</v>
      </c>
      <c r="BA38" s="252">
        <f t="shared" si="77"/>
        <v>279711</v>
      </c>
      <c r="BB38" s="252">
        <f t="shared" si="77"/>
        <v>286922</v>
      </c>
      <c r="BC38" s="252">
        <f t="shared" ref="BC38:BD38" si="78">SUM(BC31:BC37)</f>
        <v>294937</v>
      </c>
      <c r="BD38" s="252">
        <f t="shared" si="78"/>
        <v>317756</v>
      </c>
      <c r="BE38" s="252">
        <f t="shared" ref="BE38" si="79">SUM(BE31:BE37)</f>
        <v>302090</v>
      </c>
      <c r="BF38" s="252">
        <f t="shared" ref="BF38:BI38" ca="1" si="80">SUM(BF31:BF37)</f>
        <v>300025.4081973068</v>
      </c>
      <c r="BG38" s="252">
        <f t="shared" ca="1" si="80"/>
        <v>301335.74707453232</v>
      </c>
      <c r="BH38" s="252">
        <f t="shared" ca="1" si="80"/>
        <v>302606.78943336464</v>
      </c>
      <c r="BI38" s="252">
        <f t="shared" ca="1" si="80"/>
        <v>307150.1539892545</v>
      </c>
      <c r="BJ38" s="240"/>
      <c r="BK38"/>
      <c r="BL38"/>
      <c r="BM38"/>
      <c r="BN38"/>
      <c r="BO38"/>
      <c r="BP38"/>
    </row>
    <row r="39" spans="1:68" s="161" customFormat="1">
      <c r="A39" s="235"/>
      <c r="B39" s="236"/>
      <c r="C39" s="236"/>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36"/>
      <c r="AM39" s="236"/>
      <c r="AN39" s="236"/>
      <c r="AO39" s="236"/>
      <c r="AP39" s="236"/>
      <c r="AQ39" s="236"/>
      <c r="AR39" s="236"/>
      <c r="AS39" s="236"/>
      <c r="AT39" s="236"/>
      <c r="AU39" s="236"/>
      <c r="AV39" s="236"/>
      <c r="AW39" s="236"/>
      <c r="AX39" s="236"/>
      <c r="AY39" s="236"/>
      <c r="AZ39" s="236"/>
      <c r="BA39" s="236"/>
      <c r="BB39" s="236"/>
      <c r="BC39" s="236"/>
      <c r="BD39" s="236"/>
      <c r="BE39" s="236"/>
      <c r="BF39" s="236"/>
      <c r="BG39" s="236"/>
      <c r="BH39" s="236"/>
      <c r="BI39" s="236"/>
      <c r="BJ39" s="235"/>
      <c r="BK39"/>
      <c r="BL39"/>
      <c r="BM39"/>
      <c r="BN39"/>
      <c r="BO39"/>
      <c r="BP39"/>
    </row>
    <row r="40" spans="1:68" s="161" customFormat="1">
      <c r="A40" s="235"/>
      <c r="B40" s="236" t="s">
        <v>21</v>
      </c>
      <c r="C40" s="236"/>
      <c r="D40" s="236">
        <f t="shared" ref="D40:D45" si="81">+AO40</f>
        <v>6495</v>
      </c>
      <c r="E40" s="236">
        <f t="shared" ref="E40:E45" si="82">+AS40</f>
        <v>6495</v>
      </c>
      <c r="F40" s="236">
        <f t="shared" ref="F40:F45" si="83">+AW40</f>
        <v>6495</v>
      </c>
      <c r="G40" s="236">
        <f t="shared" ref="G40:G45" si="84">+BA40</f>
        <v>6495</v>
      </c>
      <c r="H40" s="236">
        <f t="shared" ref="H40:H45" si="85">+BE40</f>
        <v>6495</v>
      </c>
      <c r="I40" s="236">
        <f t="shared" ref="I40:I45" si="86">+BI40</f>
        <v>6495</v>
      </c>
      <c r="J40" s="236">
        <f t="shared" ref="J40:J41" si="87">+I40</f>
        <v>6495</v>
      </c>
      <c r="K40" s="236">
        <f t="shared" ref="K40:K41" si="88">+J40</f>
        <v>6495</v>
      </c>
      <c r="L40" s="236">
        <f t="shared" ref="L40:L41" si="89">+K40</f>
        <v>6495</v>
      </c>
      <c r="M40" s="236">
        <f t="shared" ref="M40:M41" si="90">+L40</f>
        <v>6495</v>
      </c>
      <c r="N40" s="236">
        <f t="shared" ref="N40:N41" si="91">+M40</f>
        <v>6495</v>
      </c>
      <c r="O40" s="236">
        <f t="shared" ref="O40:O41" si="92">+N40</f>
        <v>6495</v>
      </c>
      <c r="P40" s="236">
        <f t="shared" ref="P40:P41" si="93">+O40</f>
        <v>6495</v>
      </c>
      <c r="Q40" s="236"/>
      <c r="R40" s="236"/>
      <c r="S40" s="236"/>
      <c r="T40" s="236"/>
      <c r="U40" s="236"/>
      <c r="V40" s="236"/>
      <c r="W40" s="236"/>
      <c r="X40" s="236"/>
      <c r="Y40" s="236"/>
      <c r="Z40" s="236"/>
      <c r="AA40" s="236"/>
      <c r="AB40" s="236"/>
      <c r="AC40" s="236"/>
      <c r="AD40" s="236"/>
      <c r="AE40" s="236"/>
      <c r="AF40" s="236"/>
      <c r="AG40" s="236"/>
      <c r="AH40" s="236"/>
      <c r="AI40" s="236"/>
      <c r="AJ40" s="236"/>
      <c r="AK40" s="236"/>
      <c r="AL40" s="261">
        <v>6495</v>
      </c>
      <c r="AM40" s="261">
        <v>6495</v>
      </c>
      <c r="AN40" s="261">
        <v>6495</v>
      </c>
      <c r="AO40" s="261">
        <v>6495</v>
      </c>
      <c r="AP40" s="261">
        <v>6495</v>
      </c>
      <c r="AQ40" s="261">
        <v>6495</v>
      </c>
      <c r="AR40" s="261">
        <v>6495</v>
      </c>
      <c r="AS40" s="261">
        <v>6495</v>
      </c>
      <c r="AT40" s="261">
        <v>6495</v>
      </c>
      <c r="AU40" s="261">
        <v>6495</v>
      </c>
      <c r="AV40" s="261">
        <v>6495</v>
      </c>
      <c r="AW40" s="261">
        <v>6495</v>
      </c>
      <c r="AX40" s="261">
        <v>6495</v>
      </c>
      <c r="AY40" s="261">
        <v>6495</v>
      </c>
      <c r="AZ40" s="261">
        <v>6495</v>
      </c>
      <c r="BA40" s="261">
        <v>6495</v>
      </c>
      <c r="BB40" s="261">
        <v>6495</v>
      </c>
      <c r="BC40" s="261">
        <v>6495</v>
      </c>
      <c r="BD40" s="261">
        <v>6495</v>
      </c>
      <c r="BE40" s="261">
        <v>6495</v>
      </c>
      <c r="BF40" s="236">
        <f t="shared" ref="BF40:BF41" si="94">+BE40</f>
        <v>6495</v>
      </c>
      <c r="BG40" s="236">
        <f t="shared" ref="BG40:BG41" si="95">+BF40</f>
        <v>6495</v>
      </c>
      <c r="BH40" s="236">
        <f t="shared" ref="BH40:BH41" si="96">+BG40</f>
        <v>6495</v>
      </c>
      <c r="BI40" s="236">
        <f t="shared" ref="BI40:BI41" si="97">+BH40</f>
        <v>6495</v>
      </c>
      <c r="BJ40" s="235"/>
      <c r="BK40"/>
      <c r="BL40"/>
      <c r="BM40"/>
      <c r="BN40"/>
      <c r="BO40"/>
      <c r="BP40"/>
    </row>
    <row r="41" spans="1:68" s="161" customFormat="1">
      <c r="A41" s="235"/>
      <c r="B41" s="236" t="s">
        <v>366</v>
      </c>
      <c r="C41" s="236"/>
      <c r="D41" s="236">
        <f t="shared" si="81"/>
        <v>91091</v>
      </c>
      <c r="E41" s="236">
        <f t="shared" si="82"/>
        <v>91108</v>
      </c>
      <c r="F41" s="236">
        <f t="shared" si="83"/>
        <v>89763</v>
      </c>
      <c r="G41" s="236">
        <f t="shared" si="84"/>
        <v>89604</v>
      </c>
      <c r="H41" s="236">
        <f t="shared" si="85"/>
        <v>89563</v>
      </c>
      <c r="I41" s="236">
        <f t="shared" si="86"/>
        <v>89563</v>
      </c>
      <c r="J41" s="236">
        <f t="shared" si="87"/>
        <v>89563</v>
      </c>
      <c r="K41" s="236">
        <f t="shared" si="88"/>
        <v>89563</v>
      </c>
      <c r="L41" s="236">
        <f t="shared" si="89"/>
        <v>89563</v>
      </c>
      <c r="M41" s="236">
        <f t="shared" si="90"/>
        <v>89563</v>
      </c>
      <c r="N41" s="236">
        <f t="shared" si="91"/>
        <v>89563</v>
      </c>
      <c r="O41" s="236">
        <f t="shared" si="92"/>
        <v>89563</v>
      </c>
      <c r="P41" s="236">
        <f t="shared" si="93"/>
        <v>89563</v>
      </c>
      <c r="Q41" s="236"/>
      <c r="R41" s="236"/>
      <c r="S41" s="236"/>
      <c r="T41" s="236"/>
      <c r="U41" s="236"/>
      <c r="V41" s="236"/>
      <c r="W41" s="236"/>
      <c r="X41" s="236"/>
      <c r="Y41" s="236"/>
      <c r="Z41" s="236"/>
      <c r="AA41" s="236"/>
      <c r="AB41" s="236"/>
      <c r="AC41" s="236"/>
      <c r="AD41" s="236"/>
      <c r="AE41" s="236"/>
      <c r="AF41" s="236"/>
      <c r="AG41" s="236"/>
      <c r="AH41" s="236"/>
      <c r="AI41" s="236"/>
      <c r="AJ41" s="236"/>
      <c r="AK41" s="236"/>
      <c r="AL41" s="261">
        <v>90940</v>
      </c>
      <c r="AM41" s="261">
        <v>90985</v>
      </c>
      <c r="AN41" s="261">
        <v>91021</v>
      </c>
      <c r="AO41" s="261">
        <v>91091</v>
      </c>
      <c r="AP41" s="261">
        <v>91027</v>
      </c>
      <c r="AQ41" s="261">
        <v>91057</v>
      </c>
      <c r="AR41" s="261">
        <v>91064</v>
      </c>
      <c r="AS41" s="261">
        <v>91108</v>
      </c>
      <c r="AT41" s="261">
        <v>90977</v>
      </c>
      <c r="AU41" s="261">
        <v>91032</v>
      </c>
      <c r="AV41" s="261">
        <v>89717</v>
      </c>
      <c r="AW41" s="261">
        <v>89763</v>
      </c>
      <c r="AX41" s="261">
        <v>89414</v>
      </c>
      <c r="AY41" s="261">
        <v>89486</v>
      </c>
      <c r="AZ41" s="261">
        <v>89536</v>
      </c>
      <c r="BA41" s="261">
        <v>89604</v>
      </c>
      <c r="BB41" s="261">
        <v>89411</v>
      </c>
      <c r="BC41" s="261">
        <v>89471</v>
      </c>
      <c r="BD41" s="261">
        <v>89527</v>
      </c>
      <c r="BE41" s="261">
        <v>89563</v>
      </c>
      <c r="BF41" s="236">
        <f t="shared" si="94"/>
        <v>89563</v>
      </c>
      <c r="BG41" s="236">
        <f t="shared" si="95"/>
        <v>89563</v>
      </c>
      <c r="BH41" s="236">
        <f t="shared" si="96"/>
        <v>89563</v>
      </c>
      <c r="BI41" s="236">
        <f t="shared" si="97"/>
        <v>89563</v>
      </c>
      <c r="BJ41" s="235"/>
      <c r="BK41"/>
      <c r="BL41"/>
      <c r="BM41"/>
      <c r="BN41"/>
      <c r="BO41"/>
      <c r="BP41"/>
    </row>
    <row r="42" spans="1:68" s="161" customFormat="1">
      <c r="A42" s="235"/>
      <c r="B42" s="236" t="s">
        <v>22</v>
      </c>
      <c r="C42" s="236"/>
      <c r="D42" s="236">
        <f t="shared" si="81"/>
        <v>31141</v>
      </c>
      <c r="E42" s="236">
        <f t="shared" si="82"/>
        <v>31081</v>
      </c>
      <c r="F42" s="236">
        <f t="shared" si="83"/>
        <v>33671</v>
      </c>
      <c r="G42" s="236">
        <f t="shared" si="84"/>
        <v>34734</v>
      </c>
      <c r="H42" s="236">
        <f t="shared" si="85"/>
        <v>52029</v>
      </c>
      <c r="I42" s="236">
        <f t="shared" ca="1" si="86"/>
        <v>61063.325345498713</v>
      </c>
      <c r="J42" s="236">
        <f ca="1">+I42+'Cash Flow'!J8+'Cash Flow'!J40</f>
        <v>70271.406347404365</v>
      </c>
      <c r="K42" s="236">
        <f ca="1">+J42+'Cash Flow'!K8+'Cash Flow'!K40</f>
        <v>79113.692380130859</v>
      </c>
      <c r="L42" s="236">
        <f ca="1">+K42+'Cash Flow'!L8+'Cash Flow'!L40</f>
        <v>87533.688691584495</v>
      </c>
      <c r="M42" s="236">
        <f ca="1">+L42+'Cash Flow'!M8+'Cash Flow'!M40</f>
        <v>95779.730693471342</v>
      </c>
      <c r="N42" s="236">
        <f ca="1">+M42+'Cash Flow'!N8+'Cash Flow'!N40</f>
        <v>103785.40579992658</v>
      </c>
      <c r="O42" s="236">
        <f ca="1">+N42+'Cash Flow'!O8+'Cash Flow'!O40</f>
        <v>111522.59160853972</v>
      </c>
      <c r="P42" s="236">
        <f ca="1">+O42+'Cash Flow'!P8+'Cash Flow'!P40</f>
        <v>118976.00022418867</v>
      </c>
      <c r="Q42" s="236"/>
      <c r="R42" s="236"/>
      <c r="S42" s="236"/>
      <c r="T42" s="236"/>
      <c r="U42" s="236"/>
      <c r="V42" s="236"/>
      <c r="W42" s="236"/>
      <c r="X42" s="236"/>
      <c r="Y42" s="236"/>
      <c r="Z42" s="236"/>
      <c r="AA42" s="236"/>
      <c r="AB42" s="236"/>
      <c r="AC42" s="236"/>
      <c r="AD42" s="236"/>
      <c r="AE42" s="236"/>
      <c r="AF42" s="236"/>
      <c r="AG42" s="236"/>
      <c r="AH42" s="236"/>
      <c r="AI42" s="236"/>
      <c r="AJ42" s="236"/>
      <c r="AK42" s="236"/>
      <c r="AL42" s="261">
        <v>23787</v>
      </c>
      <c r="AM42" s="261">
        <v>25212</v>
      </c>
      <c r="AN42" s="261">
        <v>26648</v>
      </c>
      <c r="AO42" s="261">
        <v>31141</v>
      </c>
      <c r="AP42" s="261">
        <v>32402</v>
      </c>
      <c r="AQ42" s="261">
        <v>33554</v>
      </c>
      <c r="AR42" s="261">
        <v>34165</v>
      </c>
      <c r="AS42" s="261">
        <v>31081</v>
      </c>
      <c r="AT42" s="261">
        <v>28490</v>
      </c>
      <c r="AU42" s="261">
        <v>29086</v>
      </c>
      <c r="AV42" s="261">
        <v>32627</v>
      </c>
      <c r="AW42" s="261">
        <v>33671</v>
      </c>
      <c r="AX42" s="261">
        <v>34506</v>
      </c>
      <c r="AY42" s="261">
        <v>34950</v>
      </c>
      <c r="AZ42" s="261">
        <v>35319</v>
      </c>
      <c r="BA42" s="261">
        <v>34734</v>
      </c>
      <c r="BB42" s="261">
        <v>35175</v>
      </c>
      <c r="BC42" s="261">
        <v>36067</v>
      </c>
      <c r="BD42" s="261">
        <v>36074</v>
      </c>
      <c r="BE42" s="261">
        <v>52029</v>
      </c>
      <c r="BF42" s="236">
        <f ca="1">+BE42+'Cash Flow'!BF8+'Cash Flow'!BF40</f>
        <v>54297.398831392369</v>
      </c>
      <c r="BG42" s="236">
        <f ca="1">+BF42+'Cash Flow'!BG8+'Cash Flow'!BG40</f>
        <v>56743.795892440365</v>
      </c>
      <c r="BH42" s="236">
        <f ca="1">+BG42+'Cash Flow'!BH8+'Cash Flow'!BH40</f>
        <v>59311.795199773493</v>
      </c>
      <c r="BI42" s="236">
        <f ca="1">+BH42+'Cash Flow'!BI8+'Cash Flow'!BI40</f>
        <v>61063.325345498713</v>
      </c>
      <c r="BJ42" s="235"/>
      <c r="BK42"/>
      <c r="BL42"/>
      <c r="BM42"/>
      <c r="BN42"/>
      <c r="BO42"/>
      <c r="BP42"/>
    </row>
    <row r="43" spans="1:68" s="161" customFormat="1">
      <c r="A43" s="235"/>
      <c r="B43" s="236" t="s">
        <v>367</v>
      </c>
      <c r="C43" s="236"/>
      <c r="D43" s="236">
        <f t="shared" si="81"/>
        <v>-45619</v>
      </c>
      <c r="E43" s="236">
        <f t="shared" si="82"/>
        <v>-47029</v>
      </c>
      <c r="F43" s="236">
        <f t="shared" si="83"/>
        <v>-12592</v>
      </c>
      <c r="G43" s="236">
        <f t="shared" si="84"/>
        <v>-12659</v>
      </c>
      <c r="H43" s="236">
        <f t="shared" si="85"/>
        <v>-12714</v>
      </c>
      <c r="I43" s="236">
        <f t="shared" si="86"/>
        <v>-12714</v>
      </c>
      <c r="J43" s="236">
        <f>+I43+'Cash Flow'!J38+'Cash Flow'!J39</f>
        <v>-12714</v>
      </c>
      <c r="K43" s="236">
        <f>+J43+'Cash Flow'!K38+'Cash Flow'!K39</f>
        <v>-12714</v>
      </c>
      <c r="L43" s="236">
        <f>+K43+'Cash Flow'!L38+'Cash Flow'!L39</f>
        <v>-12714</v>
      </c>
      <c r="M43" s="236">
        <f>+L43+'Cash Flow'!M38+'Cash Flow'!M39</f>
        <v>-12714</v>
      </c>
      <c r="N43" s="236">
        <f>+M43+'Cash Flow'!N38+'Cash Flow'!N39</f>
        <v>-12714</v>
      </c>
      <c r="O43" s="236">
        <f>+N43+'Cash Flow'!O38+'Cash Flow'!O39</f>
        <v>-12714</v>
      </c>
      <c r="P43" s="236">
        <f>+O43+'Cash Flow'!P38+'Cash Flow'!P39</f>
        <v>-12714</v>
      </c>
      <c r="Q43" s="236"/>
      <c r="R43" s="236"/>
      <c r="S43" s="236"/>
      <c r="T43" s="236"/>
      <c r="U43" s="236"/>
      <c r="V43" s="236"/>
      <c r="W43" s="236"/>
      <c r="X43" s="236"/>
      <c r="Y43" s="236"/>
      <c r="Z43" s="236"/>
      <c r="AA43" s="236"/>
      <c r="AB43" s="236"/>
      <c r="AC43" s="236"/>
      <c r="AD43" s="236"/>
      <c r="AE43" s="236"/>
      <c r="AF43" s="236"/>
      <c r="AG43" s="236"/>
      <c r="AH43" s="236"/>
      <c r="AI43" s="236"/>
      <c r="AJ43" s="236"/>
      <c r="AK43" s="236"/>
      <c r="AL43" s="261">
        <v>-38568</v>
      </c>
      <c r="AM43" s="261">
        <v>-41819</v>
      </c>
      <c r="AN43" s="261">
        <v>-43731</v>
      </c>
      <c r="AO43" s="261">
        <v>-45619</v>
      </c>
      <c r="AP43" s="261">
        <v>-46684</v>
      </c>
      <c r="AQ43" s="261">
        <v>-46825</v>
      </c>
      <c r="AR43" s="261">
        <v>-47037</v>
      </c>
      <c r="AS43" s="261">
        <v>-47029</v>
      </c>
      <c r="AT43" s="261">
        <v>-46804</v>
      </c>
      <c r="AU43" s="261">
        <v>-46793</v>
      </c>
      <c r="AV43" s="261">
        <v>-12309</v>
      </c>
      <c r="AW43" s="261">
        <v>-12592</v>
      </c>
      <c r="AX43" s="261">
        <v>-12163</v>
      </c>
      <c r="AY43" s="261">
        <v>-12343</v>
      </c>
      <c r="AZ43" s="261">
        <v>-12589</v>
      </c>
      <c r="BA43" s="261">
        <v>-12659</v>
      </c>
      <c r="BB43" s="261">
        <v>-12400</v>
      </c>
      <c r="BC43" s="261">
        <v>-12697</v>
      </c>
      <c r="BD43" s="261">
        <v>-12716</v>
      </c>
      <c r="BE43" s="261">
        <v>-12714</v>
      </c>
      <c r="BF43" s="236">
        <f>+BE43+'Cash Flow'!BF38+'Cash Flow'!BF39</f>
        <v>-12714</v>
      </c>
      <c r="BG43" s="236">
        <f>+BF43+'Cash Flow'!BG38+'Cash Flow'!BG39</f>
        <v>-12714</v>
      </c>
      <c r="BH43" s="236">
        <f>+BG43+'Cash Flow'!BH38+'Cash Flow'!BH39</f>
        <v>-12714</v>
      </c>
      <c r="BI43" s="236">
        <f>+BH43+'Cash Flow'!BI38+'Cash Flow'!BI39</f>
        <v>-12714</v>
      </c>
      <c r="BJ43" s="235"/>
      <c r="BK43"/>
      <c r="BL43"/>
      <c r="BM43"/>
      <c r="BN43"/>
      <c r="BO43"/>
      <c r="BP43"/>
    </row>
    <row r="44" spans="1:68" s="161" customFormat="1">
      <c r="A44" s="235"/>
      <c r="B44" s="236" t="s">
        <v>368</v>
      </c>
      <c r="C44" s="236"/>
      <c r="D44" s="236">
        <f t="shared" si="81"/>
        <v>7880</v>
      </c>
      <c r="E44" s="236">
        <f t="shared" si="82"/>
        <v>8061</v>
      </c>
      <c r="F44" s="236">
        <f t="shared" si="83"/>
        <v>5334</v>
      </c>
      <c r="G44" s="236">
        <f t="shared" si="84"/>
        <v>4961</v>
      </c>
      <c r="H44" s="236">
        <f t="shared" si="85"/>
        <v>5488</v>
      </c>
      <c r="I44" s="236">
        <f t="shared" si="86"/>
        <v>4591</v>
      </c>
      <c r="J44" s="236">
        <f>+I44+(Pension!S55+OPEB!S55)</f>
        <v>3528.3999999999996</v>
      </c>
      <c r="K44" s="236">
        <f>+J44+(Pension!T55+OPEB!T55)</f>
        <v>2465.7999999999993</v>
      </c>
      <c r="L44" s="236">
        <f>+K44+(Pension!U55+OPEB!U55)</f>
        <v>1403.1999999999991</v>
      </c>
      <c r="M44" s="236">
        <f>+L44+(Pension!V55+OPEB!V55)</f>
        <v>340.599999999999</v>
      </c>
      <c r="N44" s="236">
        <f>+M44+(Pension!W55+OPEB!W55)</f>
        <v>-722.00000000000114</v>
      </c>
      <c r="O44" s="236">
        <f>+N44+(Pension!X55+OPEB!X55)</f>
        <v>-1784.6000000000013</v>
      </c>
      <c r="P44" s="236">
        <f>+O44+(Pension!Y55+OPEB!Y55)</f>
        <v>-2847.2000000000016</v>
      </c>
      <c r="Q44" s="236"/>
      <c r="R44" s="236"/>
      <c r="S44" s="236"/>
      <c r="T44" s="236"/>
      <c r="U44" s="236"/>
      <c r="V44" s="236"/>
      <c r="W44" s="236"/>
      <c r="X44" s="236"/>
      <c r="Y44" s="236"/>
      <c r="Z44" s="236"/>
      <c r="AA44" s="236"/>
      <c r="AB44" s="236"/>
      <c r="AC44" s="236"/>
      <c r="AD44" s="236"/>
      <c r="AE44" s="236"/>
      <c r="AF44" s="236"/>
      <c r="AG44" s="236"/>
      <c r="AH44" s="236"/>
      <c r="AI44" s="236"/>
      <c r="AJ44" s="236"/>
      <c r="AK44" s="236"/>
      <c r="AL44" s="261">
        <v>5344</v>
      </c>
      <c r="AM44" s="261">
        <v>5107</v>
      </c>
      <c r="AN44" s="261">
        <v>5282</v>
      </c>
      <c r="AO44" s="261">
        <v>7880</v>
      </c>
      <c r="AP44" s="261">
        <v>7666</v>
      </c>
      <c r="AQ44" s="261">
        <v>7851</v>
      </c>
      <c r="AR44" s="261">
        <v>7926</v>
      </c>
      <c r="AS44" s="261">
        <v>8061</v>
      </c>
      <c r="AT44" s="261">
        <v>7341</v>
      </c>
      <c r="AU44" s="261">
        <v>7039</v>
      </c>
      <c r="AV44" s="261">
        <v>5294</v>
      </c>
      <c r="AW44" s="261">
        <v>5334</v>
      </c>
      <c r="AX44" s="261">
        <v>5180</v>
      </c>
      <c r="AY44" s="261">
        <v>5047</v>
      </c>
      <c r="AZ44" s="261">
        <v>4850</v>
      </c>
      <c r="BA44" s="261">
        <v>4961</v>
      </c>
      <c r="BB44" s="261">
        <v>5160</v>
      </c>
      <c r="BC44" s="261">
        <v>5389</v>
      </c>
      <c r="BD44" s="261">
        <v>5580</v>
      </c>
      <c r="BE44" s="261">
        <v>5488</v>
      </c>
      <c r="BF44" s="236">
        <f>+BE44+(Pension!$Q$55+OPEB!$Q$55)/4</f>
        <v>5263.75</v>
      </c>
      <c r="BG44" s="236">
        <f>+BF44+(Pension!$Q$55+OPEB!$Q$55)/4</f>
        <v>5039.5</v>
      </c>
      <c r="BH44" s="236">
        <f>+BG44+(Pension!$Q$55+OPEB!$Q$55)/4</f>
        <v>4815.25</v>
      </c>
      <c r="BI44" s="236">
        <f>+BH44+(Pension!$Q$55+OPEB!$Q$55)/4</f>
        <v>4591</v>
      </c>
      <c r="BJ44" s="235"/>
      <c r="BK44"/>
      <c r="BL44"/>
      <c r="BM44"/>
      <c r="BN44"/>
      <c r="BO44"/>
      <c r="BP44"/>
    </row>
    <row r="45" spans="1:68" s="161" customFormat="1">
      <c r="A45" s="235"/>
      <c r="B45" s="236" t="s">
        <v>369</v>
      </c>
      <c r="C45" s="236"/>
      <c r="D45" s="236">
        <f t="shared" si="81"/>
        <v>494</v>
      </c>
      <c r="E45" s="236">
        <f t="shared" si="82"/>
        <v>554</v>
      </c>
      <c r="F45" s="236">
        <f t="shared" si="83"/>
        <v>969</v>
      </c>
      <c r="G45" s="236">
        <f t="shared" si="84"/>
        <v>975</v>
      </c>
      <c r="H45" s="236">
        <f t="shared" si="85"/>
        <v>1146</v>
      </c>
      <c r="I45" s="236">
        <f t="shared" si="86"/>
        <v>1936</v>
      </c>
      <c r="J45" s="236">
        <f>+I45+'Cash Flow'!J41</f>
        <v>2836</v>
      </c>
      <c r="K45" s="236">
        <f>+J45+'Cash Flow'!K41</f>
        <v>2836</v>
      </c>
      <c r="L45" s="236">
        <f>+K45+'Cash Flow'!L41</f>
        <v>2836</v>
      </c>
      <c r="M45" s="236">
        <f>+L45+'Cash Flow'!M41</f>
        <v>2836</v>
      </c>
      <c r="N45" s="236">
        <f>+M45+'Cash Flow'!N41</f>
        <v>2836</v>
      </c>
      <c r="O45" s="236">
        <f>+N45+'Cash Flow'!O41</f>
        <v>2836</v>
      </c>
      <c r="P45" s="236">
        <f>+O45+'Cash Flow'!P41</f>
        <v>2836</v>
      </c>
      <c r="Q45" s="236"/>
      <c r="R45" s="236"/>
      <c r="S45" s="236"/>
      <c r="T45" s="236"/>
      <c r="U45" s="236"/>
      <c r="V45" s="236"/>
      <c r="W45" s="236"/>
      <c r="X45" s="236"/>
      <c r="Y45" s="236"/>
      <c r="Z45" s="236"/>
      <c r="AA45" s="236"/>
      <c r="AB45" s="236"/>
      <c r="AC45" s="236"/>
      <c r="AD45" s="236"/>
      <c r="AE45" s="236"/>
      <c r="AF45" s="236"/>
      <c r="AG45" s="236"/>
      <c r="AH45" s="236"/>
      <c r="AI45" s="236"/>
      <c r="AJ45" s="236"/>
      <c r="AK45" s="236"/>
      <c r="AL45" s="261">
        <v>340</v>
      </c>
      <c r="AM45" s="261">
        <v>335</v>
      </c>
      <c r="AN45" s="261">
        <v>415</v>
      </c>
      <c r="AO45" s="261">
        <v>494</v>
      </c>
      <c r="AP45" s="261">
        <v>463</v>
      </c>
      <c r="AQ45" s="261">
        <v>493</v>
      </c>
      <c r="AR45" s="261">
        <v>506</v>
      </c>
      <c r="AS45" s="261">
        <v>554</v>
      </c>
      <c r="AT45" s="261">
        <v>605</v>
      </c>
      <c r="AU45" s="261">
        <v>642</v>
      </c>
      <c r="AV45" s="261">
        <v>965</v>
      </c>
      <c r="AW45" s="261">
        <v>969</v>
      </c>
      <c r="AX45" s="261">
        <v>973</v>
      </c>
      <c r="AY45" s="261">
        <v>969</v>
      </c>
      <c r="AZ45" s="261">
        <v>992</v>
      </c>
      <c r="BA45" s="261">
        <v>975</v>
      </c>
      <c r="BB45" s="261">
        <v>1140</v>
      </c>
      <c r="BC45" s="261">
        <v>1133</v>
      </c>
      <c r="BD45" s="261">
        <v>1149</v>
      </c>
      <c r="BE45" s="261">
        <v>1146</v>
      </c>
      <c r="BF45" s="236">
        <f>+BE45+'Cash Flow'!BF41</f>
        <v>1006</v>
      </c>
      <c r="BG45" s="236">
        <f>+BF45+'Cash Flow'!BG41</f>
        <v>1091</v>
      </c>
      <c r="BH45" s="236">
        <f>+BG45+'Cash Flow'!BH41</f>
        <v>1401</v>
      </c>
      <c r="BI45" s="236">
        <f>+BH45+'Cash Flow'!BI41</f>
        <v>1936</v>
      </c>
      <c r="BJ45" s="235"/>
      <c r="BK45"/>
      <c r="BL45"/>
      <c r="BM45"/>
      <c r="BN45"/>
      <c r="BO45"/>
      <c r="BP45"/>
    </row>
    <row r="46" spans="1:68" s="161" customFormat="1">
      <c r="A46" s="235"/>
      <c r="B46" s="236"/>
      <c r="C46" s="236"/>
      <c r="D46" s="236"/>
      <c r="E46" s="236"/>
      <c r="F46" s="236"/>
      <c r="G46" s="236"/>
      <c r="H46" s="236"/>
      <c r="I46" s="236"/>
      <c r="J46" s="236"/>
      <c r="K46" s="236"/>
      <c r="L46" s="236"/>
      <c r="M46" s="236"/>
      <c r="N46" s="236"/>
      <c r="O46" s="236"/>
      <c r="P46" s="236"/>
      <c r="Q46" s="236"/>
      <c r="R46" s="236"/>
      <c r="S46" s="236"/>
      <c r="T46" s="236"/>
      <c r="U46" s="236"/>
      <c r="V46" s="236"/>
      <c r="W46" s="236"/>
      <c r="X46" s="236"/>
      <c r="Y46" s="236"/>
      <c r="Z46" s="236"/>
      <c r="AA46" s="236"/>
      <c r="AB46" s="236"/>
      <c r="AC46" s="236"/>
      <c r="AD46" s="236"/>
      <c r="AE46" s="236"/>
      <c r="AF46" s="236"/>
      <c r="AG46" s="236"/>
      <c r="AH46" s="236"/>
      <c r="AI46" s="236"/>
      <c r="AJ46" s="236"/>
      <c r="AK46" s="236"/>
      <c r="AL46" s="236"/>
      <c r="AM46" s="236"/>
      <c r="AN46" s="236"/>
      <c r="AO46" s="236"/>
      <c r="AP46" s="236"/>
      <c r="AQ46" s="236"/>
      <c r="AR46" s="236"/>
      <c r="AS46" s="236"/>
      <c r="AT46" s="236"/>
      <c r="AU46" s="236"/>
      <c r="AV46" s="236"/>
      <c r="AW46" s="236"/>
      <c r="AX46" s="236"/>
      <c r="AY46" s="236"/>
      <c r="AZ46" s="236"/>
      <c r="BA46" s="236"/>
      <c r="BB46" s="236"/>
      <c r="BC46" s="236"/>
      <c r="BD46" s="236"/>
      <c r="BE46" s="236"/>
      <c r="BF46" s="236"/>
      <c r="BG46" s="236"/>
      <c r="BH46" s="236"/>
      <c r="BI46" s="236"/>
      <c r="BJ46" s="235"/>
      <c r="BK46"/>
      <c r="BL46"/>
      <c r="BM46"/>
      <c r="BN46"/>
      <c r="BO46"/>
      <c r="BP46"/>
    </row>
    <row r="47" spans="1:68" s="162" customFormat="1">
      <c r="A47" s="240"/>
      <c r="B47" s="252" t="s">
        <v>370</v>
      </c>
      <c r="C47" s="252"/>
      <c r="D47" s="252">
        <f t="shared" ref="D47:J47" si="98">SUM(D40:D46)</f>
        <v>91482</v>
      </c>
      <c r="E47" s="252">
        <f t="shared" si="98"/>
        <v>90270</v>
      </c>
      <c r="F47" s="252">
        <f t="shared" si="98"/>
        <v>123640</v>
      </c>
      <c r="G47" s="252">
        <f>SUM(G40:G46)</f>
        <v>124110</v>
      </c>
      <c r="H47" s="252">
        <f>SUM(H40:H46)</f>
        <v>142007</v>
      </c>
      <c r="I47" s="252">
        <f ca="1">SUM(I40:I46)</f>
        <v>150934.32534549871</v>
      </c>
      <c r="J47" s="252">
        <f t="shared" ca="1" si="98"/>
        <v>159979.80634740434</v>
      </c>
      <c r="K47" s="252">
        <f t="shared" ref="K47:P47" ca="1" si="99">SUM(K40:K46)</f>
        <v>167759.49238013086</v>
      </c>
      <c r="L47" s="252">
        <f t="shared" ca="1" si="99"/>
        <v>175116.88869158452</v>
      </c>
      <c r="M47" s="252">
        <f t="shared" ca="1" si="99"/>
        <v>182300.33069347133</v>
      </c>
      <c r="N47" s="252">
        <f t="shared" ca="1" si="99"/>
        <v>189243.40579992658</v>
      </c>
      <c r="O47" s="252">
        <f t="shared" ca="1" si="99"/>
        <v>195917.99160853971</v>
      </c>
      <c r="P47" s="252">
        <f t="shared" ca="1" si="99"/>
        <v>202308.80022418866</v>
      </c>
      <c r="Q47" s="252"/>
      <c r="R47" s="252"/>
      <c r="S47" s="252"/>
      <c r="T47" s="252"/>
      <c r="U47" s="252"/>
      <c r="V47" s="252"/>
      <c r="W47" s="252"/>
      <c r="X47" s="252"/>
      <c r="Y47" s="252"/>
      <c r="Z47" s="252"/>
      <c r="AA47" s="252"/>
      <c r="AB47" s="252"/>
      <c r="AC47" s="252"/>
      <c r="AD47" s="252"/>
      <c r="AE47" s="252"/>
      <c r="AF47" s="252"/>
      <c r="AG47" s="252"/>
      <c r="AH47" s="252"/>
      <c r="AI47" s="252"/>
      <c r="AJ47" s="252"/>
      <c r="AK47" s="252"/>
      <c r="AL47" s="252">
        <f t="shared" ref="AL47:AV47" si="100">SUM(AL40:AL46)</f>
        <v>88338</v>
      </c>
      <c r="AM47" s="252">
        <f t="shared" si="100"/>
        <v>86315</v>
      </c>
      <c r="AN47" s="252">
        <f t="shared" si="100"/>
        <v>86130</v>
      </c>
      <c r="AO47" s="252">
        <f t="shared" si="100"/>
        <v>91482</v>
      </c>
      <c r="AP47" s="252">
        <f t="shared" si="100"/>
        <v>91369</v>
      </c>
      <c r="AQ47" s="252">
        <f t="shared" si="100"/>
        <v>92625</v>
      </c>
      <c r="AR47" s="252">
        <f t="shared" si="100"/>
        <v>93119</v>
      </c>
      <c r="AS47" s="252">
        <f t="shared" si="100"/>
        <v>90270</v>
      </c>
      <c r="AT47" s="252">
        <f t="shared" si="100"/>
        <v>87104</v>
      </c>
      <c r="AU47" s="252">
        <f t="shared" si="100"/>
        <v>87501</v>
      </c>
      <c r="AV47" s="252">
        <f t="shared" si="100"/>
        <v>122789</v>
      </c>
      <c r="AW47" s="252">
        <f t="shared" ref="AW47:BB47" si="101">SUM(AW40:AW46)</f>
        <v>123640</v>
      </c>
      <c r="AX47" s="252">
        <f t="shared" si="101"/>
        <v>124405</v>
      </c>
      <c r="AY47" s="252">
        <f t="shared" si="101"/>
        <v>124604</v>
      </c>
      <c r="AZ47" s="252">
        <f t="shared" si="101"/>
        <v>124603</v>
      </c>
      <c r="BA47" s="252">
        <f t="shared" si="101"/>
        <v>124110</v>
      </c>
      <c r="BB47" s="252">
        <f t="shared" si="101"/>
        <v>124981</v>
      </c>
      <c r="BC47" s="252">
        <f t="shared" ref="BC47:BD47" si="102">SUM(BC40:BC46)</f>
        <v>125858</v>
      </c>
      <c r="BD47" s="252">
        <f t="shared" si="102"/>
        <v>126109</v>
      </c>
      <c r="BE47" s="252">
        <f t="shared" ref="BE47" si="103">SUM(BE40:BE46)</f>
        <v>142007</v>
      </c>
      <c r="BF47" s="252">
        <f t="shared" ref="BF47:BI47" ca="1" si="104">SUM(BF40:BF46)</f>
        <v>143911.14883139238</v>
      </c>
      <c r="BG47" s="252">
        <f t="shared" ca="1" si="104"/>
        <v>146218.29589244036</v>
      </c>
      <c r="BH47" s="252">
        <f t="shared" ca="1" si="104"/>
        <v>148872.04519977351</v>
      </c>
      <c r="BI47" s="252">
        <f t="shared" ca="1" si="104"/>
        <v>150934.32534549871</v>
      </c>
      <c r="BJ47" s="240"/>
      <c r="BK47"/>
      <c r="BL47"/>
      <c r="BM47"/>
      <c r="BN47"/>
      <c r="BO47"/>
      <c r="BP47"/>
    </row>
    <row r="48" spans="1:68" s="161" customFormat="1">
      <c r="A48" s="235"/>
      <c r="B48" s="236"/>
      <c r="C48" s="236"/>
      <c r="D48" s="236"/>
      <c r="E48" s="236"/>
      <c r="F48" s="236"/>
      <c r="G48" s="236"/>
      <c r="H48" s="236"/>
      <c r="I48" s="236"/>
      <c r="J48" s="236"/>
      <c r="K48" s="236"/>
      <c r="L48" s="236"/>
      <c r="M48" s="236"/>
      <c r="N48" s="236"/>
      <c r="O48" s="236"/>
      <c r="P48" s="236"/>
      <c r="Q48" s="236"/>
      <c r="R48" s="236"/>
      <c r="S48" s="236"/>
      <c r="T48" s="236"/>
      <c r="U48" s="236"/>
      <c r="V48" s="236"/>
      <c r="W48" s="236"/>
      <c r="X48" s="236"/>
      <c r="Y48" s="236"/>
      <c r="Z48" s="236"/>
      <c r="AA48" s="236"/>
      <c r="AB48" s="236"/>
      <c r="AC48" s="236"/>
      <c r="AD48" s="236"/>
      <c r="AE48" s="236"/>
      <c r="AF48" s="236"/>
      <c r="AG48" s="236"/>
      <c r="AH48" s="236"/>
      <c r="AI48" s="236"/>
      <c r="AJ48" s="236"/>
      <c r="AK48" s="236"/>
      <c r="AL48" s="236"/>
      <c r="AM48" s="236"/>
      <c r="AN48" s="236"/>
      <c r="AO48" s="236"/>
      <c r="AP48" s="236"/>
      <c r="AQ48" s="236"/>
      <c r="AR48" s="236"/>
      <c r="AS48" s="236"/>
      <c r="AT48" s="236"/>
      <c r="AU48" s="236"/>
      <c r="AV48" s="236"/>
      <c r="AW48" s="236"/>
      <c r="AX48" s="236"/>
      <c r="AY48" s="236"/>
      <c r="AZ48" s="236"/>
      <c r="BA48" s="236"/>
      <c r="BB48" s="236"/>
      <c r="BC48" s="236"/>
      <c r="BD48" s="236"/>
      <c r="BE48" s="236"/>
      <c r="BF48" s="236"/>
      <c r="BG48" s="236"/>
      <c r="BH48" s="236"/>
      <c r="BI48" s="236"/>
      <c r="BJ48" s="235"/>
      <c r="BK48"/>
      <c r="BL48"/>
      <c r="BM48"/>
      <c r="BN48"/>
      <c r="BO48"/>
      <c r="BP48"/>
    </row>
    <row r="49" spans="1:68" s="157" customFormat="1" ht="16.5" thickBot="1">
      <c r="A49" s="252"/>
      <c r="B49" s="347" t="s">
        <v>371</v>
      </c>
      <c r="C49" s="247"/>
      <c r="D49" s="348">
        <f t="shared" ref="D49:J49" si="105">+D38+D47</f>
        <v>277787</v>
      </c>
      <c r="E49" s="348">
        <f t="shared" si="105"/>
        <v>297225</v>
      </c>
      <c r="F49" s="348">
        <f t="shared" si="105"/>
        <v>401811</v>
      </c>
      <c r="G49" s="348">
        <f>+G38+G47</f>
        <v>403821</v>
      </c>
      <c r="H49" s="348">
        <f>+H38+H47</f>
        <v>444097</v>
      </c>
      <c r="I49" s="348">
        <f ca="1">+I38+I47</f>
        <v>458084.47933475324</v>
      </c>
      <c r="J49" s="348">
        <f t="shared" ca="1" si="105"/>
        <v>467537.63131170312</v>
      </c>
      <c r="K49" s="348">
        <f t="shared" ref="K49:P49" ca="1" si="106">+K38+K47</f>
        <v>475989.59825787903</v>
      </c>
      <c r="L49" s="348">
        <f t="shared" ca="1" si="106"/>
        <v>483913.15691611607</v>
      </c>
      <c r="M49" s="348">
        <f t="shared" ca="1" si="106"/>
        <v>491452.3997259927</v>
      </c>
      <c r="N49" s="348">
        <f t="shared" ca="1" si="106"/>
        <v>498672.23003417638</v>
      </c>
      <c r="O49" s="348">
        <f t="shared" ca="1" si="106"/>
        <v>505599.62430089741</v>
      </c>
      <c r="P49" s="348">
        <f t="shared" ca="1" si="106"/>
        <v>512256.01022208959</v>
      </c>
      <c r="Q49" s="247"/>
      <c r="R49" s="247"/>
      <c r="S49" s="247"/>
      <c r="T49" s="247"/>
      <c r="U49" s="247"/>
      <c r="V49" s="247"/>
      <c r="W49" s="247"/>
      <c r="X49" s="247"/>
      <c r="Y49" s="247"/>
      <c r="Z49" s="247"/>
      <c r="AA49" s="247"/>
      <c r="AB49" s="247"/>
      <c r="AC49" s="247"/>
      <c r="AD49" s="247"/>
      <c r="AE49" s="247"/>
      <c r="AF49" s="247"/>
      <c r="AG49" s="247"/>
      <c r="AH49" s="247"/>
      <c r="AI49" s="247"/>
      <c r="AJ49" s="247"/>
      <c r="AK49" s="247"/>
      <c r="AL49" s="348">
        <f>+AL38+AL47</f>
        <v>270994</v>
      </c>
      <c r="AM49" s="348">
        <f t="shared" ref="AM49:AV49" si="107">+AM38+AM47</f>
        <v>272093</v>
      </c>
      <c r="AN49" s="348">
        <f t="shared" si="107"/>
        <v>274599</v>
      </c>
      <c r="AO49" s="348">
        <f t="shared" si="107"/>
        <v>277787</v>
      </c>
      <c r="AP49" s="348">
        <f t="shared" si="107"/>
        <v>285340</v>
      </c>
      <c r="AQ49" s="348">
        <f t="shared" si="107"/>
        <v>293466</v>
      </c>
      <c r="AR49" s="348">
        <f t="shared" si="107"/>
        <v>287939</v>
      </c>
      <c r="AS49" s="348">
        <f t="shared" si="107"/>
        <v>297225</v>
      </c>
      <c r="AT49" s="348">
        <f t="shared" si="107"/>
        <v>308028</v>
      </c>
      <c r="AU49" s="348">
        <f t="shared" si="107"/>
        <v>326489</v>
      </c>
      <c r="AV49" s="348">
        <f t="shared" si="107"/>
        <v>399989</v>
      </c>
      <c r="AW49" s="348">
        <f t="shared" ref="AW49:BB49" si="108">+AW38+AW47</f>
        <v>401811</v>
      </c>
      <c r="AX49" s="348">
        <f t="shared" si="108"/>
        <v>403638</v>
      </c>
      <c r="AY49" s="348">
        <f t="shared" si="108"/>
        <v>401808</v>
      </c>
      <c r="AZ49" s="348">
        <f t="shared" si="108"/>
        <v>402975</v>
      </c>
      <c r="BA49" s="348">
        <f t="shared" si="108"/>
        <v>403821</v>
      </c>
      <c r="BB49" s="348">
        <f t="shared" si="108"/>
        <v>411903</v>
      </c>
      <c r="BC49" s="348">
        <f t="shared" ref="BC49:BD49" si="109">+BC38+BC47</f>
        <v>420795</v>
      </c>
      <c r="BD49" s="348">
        <f t="shared" si="109"/>
        <v>443865</v>
      </c>
      <c r="BE49" s="348">
        <f t="shared" ref="BE49" si="110">+BE38+BE47</f>
        <v>444097</v>
      </c>
      <c r="BF49" s="348">
        <f t="shared" ref="BF49:BI49" ca="1" si="111">+BF38+BF47</f>
        <v>443936.5570286992</v>
      </c>
      <c r="BG49" s="348">
        <f t="shared" ca="1" si="111"/>
        <v>447554.04296697269</v>
      </c>
      <c r="BH49" s="348">
        <f t="shared" ca="1" si="111"/>
        <v>451478.83463313815</v>
      </c>
      <c r="BI49" s="348">
        <f t="shared" ca="1" si="111"/>
        <v>458084.47933475324</v>
      </c>
      <c r="BJ49" s="252"/>
      <c r="BK49"/>
      <c r="BL49"/>
      <c r="BM49"/>
      <c r="BN49"/>
      <c r="BO49"/>
      <c r="BP49"/>
    </row>
    <row r="50" spans="1:68" s="161" customFormat="1" ht="16.5" thickTop="1">
      <c r="A50" s="235"/>
      <c r="B50" s="235"/>
      <c r="C50" s="235"/>
      <c r="D50" s="235"/>
      <c r="E50" s="235"/>
      <c r="F50" s="235"/>
      <c r="G50" s="235"/>
      <c r="H50" s="235"/>
      <c r="I50" s="235"/>
      <c r="J50" s="235"/>
      <c r="K50" s="235"/>
      <c r="L50" s="235"/>
      <c r="M50" s="235"/>
      <c r="N50" s="235"/>
      <c r="O50" s="235"/>
      <c r="P50" s="235"/>
      <c r="Q50" s="235"/>
      <c r="R50" s="235"/>
      <c r="S50" s="235"/>
      <c r="T50" s="235"/>
      <c r="U50" s="235"/>
      <c r="V50" s="235"/>
      <c r="W50" s="235"/>
      <c r="X50" s="235"/>
      <c r="Y50" s="235"/>
      <c r="Z50" s="235"/>
      <c r="AA50" s="235"/>
      <c r="AB50" s="235"/>
      <c r="AC50" s="235"/>
      <c r="AD50" s="235"/>
      <c r="AE50" s="235"/>
      <c r="AF50" s="235"/>
      <c r="AG50" s="235"/>
      <c r="AH50" s="235"/>
      <c r="AI50" s="235"/>
      <c r="AJ50" s="235"/>
      <c r="AK50" s="235"/>
      <c r="AL50" s="235"/>
      <c r="AM50" s="235"/>
      <c r="AN50" s="235"/>
      <c r="AO50" s="235"/>
      <c r="AP50" s="235"/>
      <c r="AQ50" s="235"/>
      <c r="AR50" s="235"/>
      <c r="AS50" s="235"/>
      <c r="AT50" s="235"/>
      <c r="AU50" s="235"/>
      <c r="AV50" s="235"/>
      <c r="AW50" s="235"/>
      <c r="AX50" s="235"/>
      <c r="AY50" s="235"/>
      <c r="AZ50" s="235"/>
      <c r="BA50" s="235"/>
      <c r="BB50" s="235"/>
      <c r="BC50" s="235"/>
      <c r="BD50" s="235"/>
      <c r="BE50" s="235"/>
      <c r="BF50" s="235"/>
      <c r="BG50" s="235"/>
      <c r="BH50" s="235"/>
      <c r="BI50" s="235"/>
      <c r="BJ50" s="235"/>
      <c r="BK50"/>
      <c r="BL50"/>
      <c r="BM50"/>
      <c r="BN50"/>
      <c r="BO50"/>
      <c r="BP50"/>
    </row>
    <row r="51" spans="1:68" s="184" customFormat="1">
      <c r="A51" s="268"/>
      <c r="B51" s="268" t="s">
        <v>114</v>
      </c>
      <c r="C51" s="268"/>
      <c r="D51" s="278">
        <f t="shared" ref="D51:J51" si="112">+D49-D24</f>
        <v>0</v>
      </c>
      <c r="E51" s="278">
        <f t="shared" si="112"/>
        <v>0</v>
      </c>
      <c r="F51" s="278">
        <f t="shared" si="112"/>
        <v>0</v>
      </c>
      <c r="G51" s="278">
        <f>+G49-G24</f>
        <v>0</v>
      </c>
      <c r="H51" s="278">
        <f>+H49-H24</f>
        <v>0</v>
      </c>
      <c r="I51" s="278">
        <f ca="1">+I49-I24</f>
        <v>0</v>
      </c>
      <c r="J51" s="278">
        <f t="shared" ca="1" si="112"/>
        <v>0</v>
      </c>
      <c r="K51" s="278">
        <f t="shared" ref="K51:P51" ca="1" si="113">+K49-K24</f>
        <v>0</v>
      </c>
      <c r="L51" s="278">
        <f t="shared" ca="1" si="113"/>
        <v>0</v>
      </c>
      <c r="M51" s="278">
        <f t="shared" ca="1" si="113"/>
        <v>0</v>
      </c>
      <c r="N51" s="278">
        <f t="shared" ca="1" si="113"/>
        <v>0</v>
      </c>
      <c r="O51" s="278">
        <f t="shared" ca="1" si="113"/>
        <v>0</v>
      </c>
      <c r="P51" s="278">
        <f t="shared" ca="1" si="113"/>
        <v>0</v>
      </c>
      <c r="Q51" s="268"/>
      <c r="R51" s="268"/>
      <c r="S51" s="268"/>
      <c r="T51" s="268"/>
      <c r="U51" s="268"/>
      <c r="V51" s="268"/>
      <c r="W51" s="268"/>
      <c r="X51" s="268"/>
      <c r="Y51" s="268"/>
      <c r="Z51" s="268"/>
      <c r="AA51" s="268"/>
      <c r="AB51" s="268"/>
      <c r="AC51" s="268"/>
      <c r="AD51" s="268"/>
      <c r="AE51" s="268"/>
      <c r="AF51" s="268"/>
      <c r="AG51" s="268"/>
      <c r="AH51" s="268"/>
      <c r="AI51" s="268"/>
      <c r="AJ51" s="268"/>
      <c r="AK51" s="268"/>
      <c r="AL51" s="278">
        <f t="shared" ref="AL51:AV51" si="114">+AL49-AL24</f>
        <v>0</v>
      </c>
      <c r="AM51" s="278">
        <f t="shared" si="114"/>
        <v>0</v>
      </c>
      <c r="AN51" s="278">
        <f t="shared" si="114"/>
        <v>0</v>
      </c>
      <c r="AO51" s="278">
        <f t="shared" si="114"/>
        <v>0</v>
      </c>
      <c r="AP51" s="278">
        <f t="shared" si="114"/>
        <v>0</v>
      </c>
      <c r="AQ51" s="278">
        <f t="shared" si="114"/>
        <v>0</v>
      </c>
      <c r="AR51" s="278">
        <f t="shared" si="114"/>
        <v>0</v>
      </c>
      <c r="AS51" s="278">
        <f t="shared" si="114"/>
        <v>0</v>
      </c>
      <c r="AT51" s="278">
        <f t="shared" si="114"/>
        <v>0</v>
      </c>
      <c r="AU51" s="278">
        <f t="shared" si="114"/>
        <v>0</v>
      </c>
      <c r="AV51" s="278">
        <f t="shared" si="114"/>
        <v>0</v>
      </c>
      <c r="AW51" s="278">
        <f t="shared" ref="AW51:BB51" si="115">+AW49-AW24</f>
        <v>0</v>
      </c>
      <c r="AX51" s="278">
        <f t="shared" si="115"/>
        <v>0</v>
      </c>
      <c r="AY51" s="278">
        <f t="shared" si="115"/>
        <v>0</v>
      </c>
      <c r="AZ51" s="278">
        <f t="shared" si="115"/>
        <v>0</v>
      </c>
      <c r="BA51" s="278">
        <f t="shared" si="115"/>
        <v>0</v>
      </c>
      <c r="BB51" s="278">
        <f t="shared" si="115"/>
        <v>0</v>
      </c>
      <c r="BC51" s="278">
        <f t="shared" ref="BC51:BD51" si="116">+BC49-BC24</f>
        <v>0</v>
      </c>
      <c r="BD51" s="278">
        <f t="shared" si="116"/>
        <v>0</v>
      </c>
      <c r="BE51" s="278">
        <f t="shared" ref="BE51" si="117">+BE49-BE24</f>
        <v>0</v>
      </c>
      <c r="BF51" s="278">
        <f t="shared" ref="BF51:BI51" ca="1" si="118">+BF49-BF24</f>
        <v>0</v>
      </c>
      <c r="BG51" s="278">
        <f t="shared" ca="1" si="118"/>
        <v>0</v>
      </c>
      <c r="BH51" s="278">
        <f t="shared" ca="1" si="118"/>
        <v>0</v>
      </c>
      <c r="BI51" s="278">
        <f t="shared" ca="1" si="118"/>
        <v>0</v>
      </c>
      <c r="BJ51" s="268"/>
      <c r="BK51"/>
      <c r="BL51"/>
      <c r="BM51"/>
      <c r="BN51"/>
      <c r="BO51"/>
      <c r="BP51"/>
    </row>
    <row r="52" spans="1:68" s="161" customFormat="1" ht="16.5" thickBot="1">
      <c r="A52" s="235"/>
      <c r="B52" s="235"/>
      <c r="C52" s="235"/>
      <c r="D52" s="235"/>
      <c r="E52" s="235"/>
      <c r="F52" s="235"/>
      <c r="G52" s="235"/>
      <c r="H52" s="235"/>
      <c r="I52" s="235"/>
      <c r="J52" s="235"/>
      <c r="K52" s="235"/>
      <c r="L52" s="235"/>
      <c r="M52" s="235"/>
      <c r="N52" s="235"/>
      <c r="O52" s="235"/>
      <c r="P52" s="235"/>
      <c r="Q52" s="235"/>
      <c r="R52" s="235"/>
      <c r="S52" s="235"/>
      <c r="T52" s="235"/>
      <c r="U52" s="235"/>
      <c r="V52" s="235"/>
      <c r="W52" s="235"/>
      <c r="X52" s="235"/>
      <c r="Y52" s="235"/>
      <c r="Z52" s="235"/>
      <c r="AA52" s="235"/>
      <c r="AB52" s="235"/>
      <c r="AC52" s="235"/>
      <c r="AD52" s="235"/>
      <c r="AE52" s="235"/>
      <c r="AF52" s="235"/>
      <c r="AG52" s="235"/>
      <c r="AH52" s="235"/>
      <c r="AI52" s="235"/>
      <c r="AJ52" s="235"/>
      <c r="AK52" s="235"/>
      <c r="AL52" s="266"/>
      <c r="AM52" s="266"/>
      <c r="AN52" s="266"/>
      <c r="AO52" s="266"/>
      <c r="AP52" s="266"/>
      <c r="AQ52" s="266"/>
      <c r="AR52" s="266"/>
      <c r="AS52" s="266"/>
      <c r="AT52" s="235"/>
      <c r="AU52" s="235"/>
      <c r="AV52" s="266"/>
      <c r="AW52" s="266"/>
      <c r="AX52" s="266"/>
      <c r="AY52" s="266"/>
      <c r="AZ52" s="266"/>
      <c r="BA52" s="266"/>
      <c r="BB52" s="266"/>
      <c r="BC52" s="266"/>
      <c r="BD52" s="266"/>
      <c r="BE52" s="266"/>
      <c r="BF52" s="235"/>
      <c r="BG52" s="235"/>
      <c r="BH52" s="235"/>
      <c r="BI52" s="235"/>
      <c r="BJ52" s="235"/>
      <c r="BK52"/>
      <c r="BL52"/>
      <c r="BM52"/>
      <c r="BN52"/>
      <c r="BO52"/>
      <c r="BP52"/>
    </row>
    <row r="53" spans="1:68" s="198" customFormat="1" ht="16.5" thickBot="1">
      <c r="A53" s="251"/>
      <c r="B53" s="194" t="s">
        <v>402</v>
      </c>
      <c r="C53" s="276"/>
      <c r="D53" s="195">
        <f>+D$6</f>
        <v>2013</v>
      </c>
      <c r="E53" s="196">
        <f t="shared" ref="E53:P53" si="119">+E$6</f>
        <v>2014</v>
      </c>
      <c r="F53" s="196">
        <f t="shared" si="119"/>
        <v>2015</v>
      </c>
      <c r="G53" s="196">
        <f t="shared" si="119"/>
        <v>2016</v>
      </c>
      <c r="H53" s="196">
        <f t="shared" si="119"/>
        <v>2017</v>
      </c>
      <c r="I53" s="196" t="str">
        <f t="shared" si="119"/>
        <v>2018E</v>
      </c>
      <c r="J53" s="196" t="str">
        <f t="shared" si="119"/>
        <v>2019E</v>
      </c>
      <c r="K53" s="196" t="str">
        <f t="shared" si="119"/>
        <v>2020E</v>
      </c>
      <c r="L53" s="196" t="str">
        <f t="shared" si="119"/>
        <v>2021E</v>
      </c>
      <c r="M53" s="196" t="str">
        <f t="shared" si="119"/>
        <v>2022E</v>
      </c>
      <c r="N53" s="196" t="str">
        <f t="shared" si="119"/>
        <v>2023E</v>
      </c>
      <c r="O53" s="196" t="str">
        <f t="shared" si="119"/>
        <v>2024E</v>
      </c>
      <c r="P53" s="197" t="str">
        <f t="shared" si="119"/>
        <v>2025E</v>
      </c>
      <c r="Q53" s="241"/>
      <c r="R53" s="196"/>
      <c r="S53" s="196"/>
      <c r="T53" s="196"/>
      <c r="U53" s="196"/>
      <c r="V53" s="196"/>
      <c r="W53" s="196"/>
      <c r="X53" s="196"/>
      <c r="Y53" s="196"/>
      <c r="Z53" s="196"/>
      <c r="AA53" s="196"/>
      <c r="AB53" s="196"/>
      <c r="AC53" s="196"/>
      <c r="AD53" s="196"/>
      <c r="AE53" s="196"/>
      <c r="AF53" s="196"/>
      <c r="AG53" s="196"/>
      <c r="AH53" s="196"/>
      <c r="AI53" s="196"/>
      <c r="AJ53" s="196"/>
      <c r="AK53" s="196"/>
      <c r="AL53" s="196" t="s">
        <v>248</v>
      </c>
      <c r="AM53" s="196" t="s">
        <v>249</v>
      </c>
      <c r="AN53" s="196" t="s">
        <v>250</v>
      </c>
      <c r="AO53" s="196" t="s">
        <v>251</v>
      </c>
      <c r="AP53" s="196" t="s">
        <v>156</v>
      </c>
      <c r="AQ53" s="196" t="s">
        <v>157</v>
      </c>
      <c r="AR53" s="196" t="s">
        <v>158</v>
      </c>
      <c r="AS53" s="196" t="s">
        <v>159</v>
      </c>
      <c r="AT53" s="196" t="str">
        <f>+AT$6</f>
        <v>1Q15</v>
      </c>
      <c r="AU53" s="196" t="str">
        <f t="shared" ref="AU53:BI53" si="120">+AU$6</f>
        <v>2Q15</v>
      </c>
      <c r="AV53" s="196" t="str">
        <f t="shared" si="120"/>
        <v>3Q15</v>
      </c>
      <c r="AW53" s="196" t="str">
        <f t="shared" si="120"/>
        <v>4Q15</v>
      </c>
      <c r="AX53" s="196" t="str">
        <f t="shared" si="120"/>
        <v>1Q16</v>
      </c>
      <c r="AY53" s="196" t="str">
        <f t="shared" si="120"/>
        <v>2Q16</v>
      </c>
      <c r="AZ53" s="196" t="str">
        <f t="shared" si="120"/>
        <v>3Q16</v>
      </c>
      <c r="BA53" s="196" t="str">
        <f t="shared" si="120"/>
        <v>4Q16</v>
      </c>
      <c r="BB53" s="196" t="str">
        <f t="shared" si="120"/>
        <v>1Q17</v>
      </c>
      <c r="BC53" s="196" t="str">
        <f t="shared" si="120"/>
        <v>2Q17</v>
      </c>
      <c r="BD53" s="196" t="str">
        <f t="shared" si="120"/>
        <v>3Q17</v>
      </c>
      <c r="BE53" s="196" t="str">
        <f t="shared" si="120"/>
        <v>4Q17</v>
      </c>
      <c r="BF53" s="196" t="str">
        <f t="shared" si="120"/>
        <v>1Q18E</v>
      </c>
      <c r="BG53" s="196" t="str">
        <f t="shared" si="120"/>
        <v>2Q18E</v>
      </c>
      <c r="BH53" s="196" t="str">
        <f t="shared" si="120"/>
        <v>3Q18E</v>
      </c>
      <c r="BI53" s="197" t="str">
        <f t="shared" si="120"/>
        <v>4Q18E</v>
      </c>
      <c r="BJ53" s="251"/>
      <c r="BK53"/>
      <c r="BL53"/>
      <c r="BM53"/>
      <c r="BN53"/>
      <c r="BO53"/>
      <c r="BP53"/>
    </row>
    <row r="54" spans="1:68" s="161" customFormat="1">
      <c r="A54" s="235"/>
      <c r="B54" s="235"/>
      <c r="C54" s="235"/>
      <c r="D54" s="235"/>
      <c r="E54" s="235"/>
      <c r="F54" s="235"/>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E54" s="235"/>
      <c r="AF54" s="235"/>
      <c r="AG54" s="235"/>
      <c r="AH54" s="235"/>
      <c r="AI54" s="235"/>
      <c r="AJ54" s="235"/>
      <c r="AK54" s="235"/>
      <c r="AL54" s="266"/>
      <c r="AM54" s="266"/>
      <c r="AN54" s="266"/>
      <c r="AO54" s="266"/>
      <c r="AP54" s="266"/>
      <c r="AQ54" s="266"/>
      <c r="AR54" s="266"/>
      <c r="AS54" s="266"/>
      <c r="AT54" s="235"/>
      <c r="AU54" s="235"/>
      <c r="AV54" s="266"/>
      <c r="AW54" s="266"/>
      <c r="AX54" s="266"/>
      <c r="AY54" s="266"/>
      <c r="AZ54" s="266"/>
      <c r="BA54" s="266"/>
      <c r="BB54" s="266"/>
      <c r="BC54" s="266"/>
      <c r="BD54" s="266"/>
      <c r="BE54" s="266"/>
      <c r="BF54" s="235"/>
      <c r="BG54" s="235"/>
      <c r="BH54" s="235"/>
      <c r="BI54" s="235"/>
      <c r="BJ54" s="235"/>
      <c r="BK54"/>
      <c r="BL54"/>
      <c r="BM54"/>
      <c r="BN54"/>
      <c r="BO54"/>
      <c r="BP54"/>
    </row>
    <row r="55" spans="1:68" s="230" customFormat="1">
      <c r="A55" s="269"/>
      <c r="B55" s="269" t="s">
        <v>15</v>
      </c>
      <c r="C55" s="269"/>
      <c r="D55" s="279">
        <f>D9/'Income Statement'!D13*360</f>
        <v>36.119671927426374</v>
      </c>
      <c r="E55" s="279">
        <f>E9/'Income Statement'!E13*360</f>
        <v>39.485379057283296</v>
      </c>
      <c r="F55" s="279">
        <f>F9/'Income Statement'!F13*360</f>
        <v>40.541413205632118</v>
      </c>
      <c r="G55" s="279">
        <f>G9/'Income Statement'!G13*360</f>
        <v>36.913045071007289</v>
      </c>
      <c r="H55" s="279">
        <f>H9/'Income Statement'!H13*360</f>
        <v>37.048073449354078</v>
      </c>
      <c r="I55" s="279">
        <f ca="1">I9/'Income Statement'!I13*360</f>
        <v>34.293666785293013</v>
      </c>
      <c r="J55" s="231">
        <f ca="1">+I55+0.25</f>
        <v>34.543666785293013</v>
      </c>
      <c r="K55" s="231">
        <f t="shared" ref="K55:P55" ca="1" si="121">+J55+0.25</f>
        <v>34.793666785293013</v>
      </c>
      <c r="L55" s="231">
        <f t="shared" ca="1" si="121"/>
        <v>35.043666785293013</v>
      </c>
      <c r="M55" s="231">
        <f t="shared" ca="1" si="121"/>
        <v>35.293666785293013</v>
      </c>
      <c r="N55" s="231">
        <f t="shared" ca="1" si="121"/>
        <v>35.543666785293013</v>
      </c>
      <c r="O55" s="231">
        <f t="shared" ca="1" si="121"/>
        <v>35.793666785293013</v>
      </c>
      <c r="P55" s="231">
        <f t="shared" ca="1" si="121"/>
        <v>36.043666785293013</v>
      </c>
      <c r="Q55" s="269"/>
      <c r="R55" s="269"/>
      <c r="S55" s="269"/>
      <c r="T55" s="269"/>
      <c r="U55" s="269"/>
      <c r="V55" s="269"/>
      <c r="W55" s="269"/>
      <c r="X55" s="269"/>
      <c r="Y55" s="269"/>
      <c r="Z55" s="269"/>
      <c r="AA55" s="269"/>
      <c r="AB55" s="269"/>
      <c r="AC55" s="269"/>
      <c r="AD55" s="269"/>
      <c r="AE55" s="269"/>
      <c r="AF55" s="269"/>
      <c r="AG55" s="269"/>
      <c r="AH55" s="269"/>
      <c r="AI55" s="269"/>
      <c r="AJ55" s="269"/>
      <c r="AK55" s="269"/>
      <c r="AL55" s="279">
        <f>AL9/'Income Statement'!AL13*90</f>
        <v>34.730195177956375</v>
      </c>
      <c r="AM55" s="279">
        <f>AM9/'Income Statement'!AM13*90</f>
        <v>35.096492595479347</v>
      </c>
      <c r="AN55" s="279">
        <f>AN9/'Income Statement'!AN13*90</f>
        <v>34.826792710989487</v>
      </c>
      <c r="AO55" s="279">
        <f>AO9/'Income Statement'!AO13*90</f>
        <v>35.057745077345238</v>
      </c>
      <c r="AP55" s="279">
        <f>AP9/'Income Statement'!AP13*90</f>
        <v>36.359157531715731</v>
      </c>
      <c r="AQ55" s="279">
        <f>AQ9/'Income Statement'!AQ13*90</f>
        <v>35.919877206446664</v>
      </c>
      <c r="AR55" s="279">
        <f>AR9/'Income Statement'!AR13*90</f>
        <v>36.71602390994326</v>
      </c>
      <c r="AS55" s="279">
        <f>AS9/'Income Statement'!AS13*90</f>
        <v>37.963645866604722</v>
      </c>
      <c r="AT55" s="279">
        <f>AT9/'Income Statement'!AT13*90</f>
        <v>37.551571709233791</v>
      </c>
      <c r="AU55" s="279">
        <f>AU9/'Income Statement'!AU13*90</f>
        <v>37.676510676965016</v>
      </c>
      <c r="AV55" s="279">
        <f>AV9/'Income Statement'!AV13*90</f>
        <v>37.594586989332583</v>
      </c>
      <c r="AW55" s="279">
        <f>AW9/'Income Statement'!AW13*90</f>
        <v>35.325625014838913</v>
      </c>
      <c r="AX55" s="279">
        <f>AX9/'Income Statement'!AX13*90</f>
        <v>35.680276304428268</v>
      </c>
      <c r="AY55" s="279">
        <f>AY9/'Income Statement'!AY13*90</f>
        <v>35.160414610069104</v>
      </c>
      <c r="AZ55" s="279">
        <f>AZ9/'Income Statement'!AZ13*90</f>
        <v>37.098312545854732</v>
      </c>
      <c r="BA55" s="279">
        <f>BA9/'Income Statement'!BA13*90</f>
        <v>36.123897612389761</v>
      </c>
      <c r="BB55" s="279">
        <f>BB9/'Income Statement'!BB13*90</f>
        <v>34.472754985393117</v>
      </c>
      <c r="BC55" s="279">
        <f>BC9/'Income Statement'!BC13*90</f>
        <v>33.881316364184052</v>
      </c>
      <c r="BD55" s="279">
        <f>BD9/'Income Statement'!BD13*90</f>
        <v>36.01996571543814</v>
      </c>
      <c r="BE55" s="279">
        <f>BE9/'Income Statement'!BE13*90</f>
        <v>35.679527785775988</v>
      </c>
      <c r="BF55" s="231">
        <v>33</v>
      </c>
      <c r="BG55" s="231">
        <v>33</v>
      </c>
      <c r="BH55" s="231">
        <v>33</v>
      </c>
      <c r="BI55" s="231">
        <v>33</v>
      </c>
      <c r="BJ55" s="269"/>
      <c r="BK55"/>
      <c r="BL55"/>
      <c r="BM55"/>
      <c r="BN55"/>
      <c r="BO55"/>
      <c r="BP55"/>
    </row>
    <row r="56" spans="1:68" s="230" customFormat="1">
      <c r="A56" s="269"/>
      <c r="B56" s="269" t="s">
        <v>403</v>
      </c>
      <c r="C56" s="269"/>
      <c r="D56" s="279">
        <f>D27/'Income Statement'!D21*360</f>
        <v>87.422713623341807</v>
      </c>
      <c r="E56" s="279">
        <f>E27/'Income Statement'!E21*360</f>
        <v>93.140613690698132</v>
      </c>
      <c r="F56" s="279">
        <f>F27/'Income Statement'!F21*360</f>
        <v>109.70011337299715</v>
      </c>
      <c r="G56" s="279">
        <f>G27/'Income Statement'!G21*360</f>
        <v>100.70956902980045</v>
      </c>
      <c r="H56" s="279">
        <f>H27/'Income Statement'!H21*360</f>
        <v>113.81350258183451</v>
      </c>
      <c r="I56" s="279">
        <f ca="1">I27/'Income Statement'!I21*360</f>
        <v>113.89707970964746</v>
      </c>
      <c r="J56" s="231">
        <f ca="1">+I56-1</f>
        <v>112.89707970964746</v>
      </c>
      <c r="K56" s="231">
        <f t="shared" ref="K56:P56" ca="1" si="122">+J56-1</f>
        <v>111.89707970964746</v>
      </c>
      <c r="L56" s="231">
        <f t="shared" ca="1" si="122"/>
        <v>110.89707970964746</v>
      </c>
      <c r="M56" s="231">
        <f t="shared" ca="1" si="122"/>
        <v>109.89707970964746</v>
      </c>
      <c r="N56" s="231">
        <f t="shared" ca="1" si="122"/>
        <v>108.89707970964746</v>
      </c>
      <c r="O56" s="231">
        <f t="shared" ca="1" si="122"/>
        <v>107.89707970964746</v>
      </c>
      <c r="P56" s="231">
        <f t="shared" ca="1" si="122"/>
        <v>106.89707970964746</v>
      </c>
      <c r="Q56" s="269"/>
      <c r="R56" s="269"/>
      <c r="S56" s="269"/>
      <c r="T56" s="269"/>
      <c r="U56" s="269"/>
      <c r="V56" s="269"/>
      <c r="W56" s="269"/>
      <c r="X56" s="269"/>
      <c r="Y56" s="269"/>
      <c r="Z56" s="269"/>
      <c r="AA56" s="269"/>
      <c r="AB56" s="269"/>
      <c r="AC56" s="269"/>
      <c r="AD56" s="269"/>
      <c r="AE56" s="269"/>
      <c r="AF56" s="269"/>
      <c r="AG56" s="269"/>
      <c r="AH56" s="269"/>
      <c r="AI56" s="269"/>
      <c r="AJ56" s="269"/>
      <c r="AK56" s="269"/>
      <c r="AL56" s="279">
        <f>AL27/'Income Statement'!AL21*90</f>
        <v>75.624340654071162</v>
      </c>
      <c r="AM56" s="279">
        <f>AM27/'Income Statement'!AM21*90</f>
        <v>82.105411367156336</v>
      </c>
      <c r="AN56" s="279">
        <f>AN27/'Income Statement'!AN21*90</f>
        <v>85.553384508025118</v>
      </c>
      <c r="AO56" s="279">
        <f>AO27/'Income Statement'!AO21*90</f>
        <v>81.665878509092479</v>
      </c>
      <c r="AP56" s="279">
        <f>AP27/'Income Statement'!AP21*90</f>
        <v>93.319964557198148</v>
      </c>
      <c r="AQ56" s="279">
        <f>AQ27/'Income Statement'!AQ21*90</f>
        <v>93.151561584568924</v>
      </c>
      <c r="AR56" s="279">
        <f>AR27/'Income Statement'!AR21*90</f>
        <v>96.057615718205156</v>
      </c>
      <c r="AS56" s="279">
        <f>AS27/'Income Statement'!AS21*90</f>
        <v>85.080942458727364</v>
      </c>
      <c r="AT56" s="279">
        <f>AT27/'Income Statement'!AT21*90</f>
        <v>83.810088479430817</v>
      </c>
      <c r="AU56" s="279">
        <f>AU27/'Income Statement'!AU21*90</f>
        <v>88.801427852272212</v>
      </c>
      <c r="AV56" s="279">
        <f>AV27/'Income Statement'!AV21*90</f>
        <v>97.700664081993025</v>
      </c>
      <c r="AW56" s="279">
        <f>AW27/'Income Statement'!AW21*90</f>
        <v>91.595348993063709</v>
      </c>
      <c r="AX56" s="279">
        <f>AX27/'Income Statement'!AX21*90</f>
        <v>86.410698561784557</v>
      </c>
      <c r="AY56" s="279">
        <f>AY27/'Income Statement'!AY21*90</f>
        <v>88.749032186705008</v>
      </c>
      <c r="AZ56" s="279">
        <f>AZ27/'Income Statement'!AZ21*90</f>
        <v>95.103109776198664</v>
      </c>
      <c r="BA56" s="279">
        <f>BA27/'Income Statement'!BA21*90</f>
        <v>94.590069868700837</v>
      </c>
      <c r="BB56" s="279">
        <f>BB27/'Income Statement'!BB21*90</f>
        <v>92.859045082746817</v>
      </c>
      <c r="BC56" s="279">
        <f>BC27/'Income Statement'!BC21*90</f>
        <v>90.757714285714286</v>
      </c>
      <c r="BD56" s="279">
        <f>BD27/'Income Statement'!BD21*90</f>
        <v>97.605158581390128</v>
      </c>
      <c r="BE56" s="279">
        <f>BE27/'Income Statement'!BE21*90</f>
        <v>104.02722822077661</v>
      </c>
      <c r="BF56" s="231">
        <v>106</v>
      </c>
      <c r="BG56" s="231">
        <f t="shared" ref="BG56:BI56" si="123">+BF56</f>
        <v>106</v>
      </c>
      <c r="BH56" s="231">
        <f t="shared" si="123"/>
        <v>106</v>
      </c>
      <c r="BI56" s="231">
        <f t="shared" si="123"/>
        <v>106</v>
      </c>
      <c r="BJ56" s="269"/>
      <c r="BK56"/>
      <c r="BL56"/>
      <c r="BM56"/>
      <c r="BN56"/>
      <c r="BO56"/>
      <c r="BP56"/>
    </row>
    <row r="57" spans="1:68" s="161" customFormat="1">
      <c r="A57" s="235"/>
      <c r="B57" s="235"/>
      <c r="C57" s="235"/>
      <c r="D57" s="235"/>
      <c r="E57" s="235"/>
      <c r="F57" s="235"/>
      <c r="G57" s="235"/>
      <c r="H57" s="235"/>
      <c r="I57" s="235"/>
      <c r="J57" s="235"/>
      <c r="K57" s="235"/>
      <c r="L57" s="235"/>
      <c r="M57" s="235"/>
      <c r="N57" s="235"/>
      <c r="O57" s="235"/>
      <c r="P57" s="235"/>
      <c r="Q57" s="235"/>
      <c r="R57" s="235"/>
      <c r="S57" s="235"/>
      <c r="T57" s="235"/>
      <c r="U57" s="235"/>
      <c r="V57" s="235"/>
      <c r="W57" s="235"/>
      <c r="X57" s="235"/>
      <c r="Y57" s="235"/>
      <c r="Z57" s="235"/>
      <c r="AA57" s="235"/>
      <c r="AB57" s="235"/>
      <c r="AC57" s="235"/>
      <c r="AD57" s="235"/>
      <c r="AE57" s="235"/>
      <c r="AF57" s="235"/>
      <c r="AG57" s="235"/>
      <c r="AH57" s="235"/>
      <c r="AI57" s="235"/>
      <c r="AJ57" s="235"/>
      <c r="AK57" s="235"/>
      <c r="AL57" s="266"/>
      <c r="AM57" s="266"/>
      <c r="AN57" s="266"/>
      <c r="AO57" s="266"/>
      <c r="AP57" s="266"/>
      <c r="AQ57" s="266"/>
      <c r="AR57" s="266"/>
      <c r="AS57" s="266"/>
      <c r="AT57" s="235"/>
      <c r="AU57" s="235"/>
      <c r="AV57" s="266"/>
      <c r="AW57" s="266"/>
      <c r="AX57" s="266"/>
      <c r="AY57" s="266"/>
      <c r="AZ57" s="266"/>
      <c r="BA57" s="266"/>
      <c r="BB57" s="266"/>
      <c r="BC57" s="266"/>
      <c r="BD57" s="266"/>
      <c r="BE57" s="266"/>
      <c r="BF57" s="235"/>
      <c r="BG57" s="235"/>
      <c r="BH57" s="235"/>
      <c r="BI57" s="235"/>
      <c r="BJ57" s="235"/>
      <c r="BK57"/>
      <c r="BL57"/>
      <c r="BM57"/>
      <c r="BN57"/>
      <c r="BO57"/>
      <c r="BP57"/>
    </row>
    <row r="58" spans="1:68" s="161" customFormat="1">
      <c r="A58" s="235"/>
      <c r="B58" s="235" t="s">
        <v>391</v>
      </c>
      <c r="C58" s="235"/>
      <c r="D58" s="236">
        <f t="shared" ref="D58:J58" si="124">(D12-D8)-(D31-D26)</f>
        <v>-9640</v>
      </c>
      <c r="E58" s="236">
        <f t="shared" si="124"/>
        <v>-6111</v>
      </c>
      <c r="F58" s="236">
        <f t="shared" si="124"/>
        <v>-9309</v>
      </c>
      <c r="G58" s="236">
        <f>(G12-G8)-(G31-G26)</f>
        <v>-8163</v>
      </c>
      <c r="H58" s="236">
        <f>(H12-H8)-(H31-H26)</f>
        <v>-14367</v>
      </c>
      <c r="I58" s="236">
        <f ca="1">(I12-I8)-(I31-I26)</f>
        <v>-15290.920383249817</v>
      </c>
      <c r="J58" s="236">
        <f t="shared" ca="1" si="124"/>
        <v>-14700.200965501761</v>
      </c>
      <c r="K58" s="236">
        <f t="shared" ref="K58:P58" ca="1" si="125">(K12-K8)-(K31-K26)</f>
        <v>-14439.72491142209</v>
      </c>
      <c r="L58" s="236">
        <f t="shared" ca="1" si="125"/>
        <v>-14150.504537987115</v>
      </c>
      <c r="M58" s="236">
        <f t="shared" ca="1" si="125"/>
        <v>-13729.89549197715</v>
      </c>
      <c r="N58" s="236">
        <f t="shared" ca="1" si="125"/>
        <v>-13310.970643249733</v>
      </c>
      <c r="O58" s="236">
        <f t="shared" ca="1" si="125"/>
        <v>-12925.12992840544</v>
      </c>
      <c r="P58" s="236">
        <f t="shared" ca="1" si="125"/>
        <v>-12595.407573396777</v>
      </c>
      <c r="Q58" s="235"/>
      <c r="R58" s="235"/>
      <c r="S58" s="235"/>
      <c r="T58" s="235"/>
      <c r="U58" s="235"/>
      <c r="V58" s="235"/>
      <c r="W58" s="235"/>
      <c r="X58" s="235"/>
      <c r="Y58" s="235"/>
      <c r="Z58" s="235"/>
      <c r="AA58" s="235"/>
      <c r="AB58" s="235"/>
      <c r="AC58" s="235"/>
      <c r="AD58" s="235"/>
      <c r="AE58" s="235"/>
      <c r="AF58" s="235"/>
      <c r="AG58" s="235"/>
      <c r="AH58" s="235"/>
      <c r="AI58" s="235"/>
      <c r="AJ58" s="235"/>
      <c r="AK58" s="235"/>
      <c r="AL58" s="236">
        <f t="shared" ref="AL58:AV58" si="126">(AL12-AL8)-(AL31-AL26)</f>
        <v>-9843</v>
      </c>
      <c r="AM58" s="236">
        <f t="shared" si="126"/>
        <v>-11053</v>
      </c>
      <c r="AN58" s="236">
        <f t="shared" si="126"/>
        <v>-11246</v>
      </c>
      <c r="AO58" s="236">
        <f t="shared" si="126"/>
        <v>-9640</v>
      </c>
      <c r="AP58" s="236">
        <f t="shared" si="126"/>
        <v>-11051</v>
      </c>
      <c r="AQ58" s="236">
        <f t="shared" si="126"/>
        <v>-11499</v>
      </c>
      <c r="AR58" s="236">
        <f t="shared" si="126"/>
        <v>-11493</v>
      </c>
      <c r="AS58" s="236">
        <f t="shared" si="126"/>
        <v>-6111</v>
      </c>
      <c r="AT58" s="236">
        <f t="shared" si="126"/>
        <v>-6504</v>
      </c>
      <c r="AU58" s="236">
        <f t="shared" si="126"/>
        <v>-9717</v>
      </c>
      <c r="AV58" s="236">
        <f t="shared" si="126"/>
        <v>-11654</v>
      </c>
      <c r="AW58" s="236">
        <f t="shared" ref="AW58:BB58" si="127">(AW12-AW8)-(AW31-AW26)</f>
        <v>-9309</v>
      </c>
      <c r="AX58" s="236">
        <f t="shared" si="127"/>
        <v>-8136</v>
      </c>
      <c r="AY58" s="236">
        <f t="shared" si="127"/>
        <v>-8140</v>
      </c>
      <c r="AZ58" s="236">
        <f t="shared" si="127"/>
        <v>-7641</v>
      </c>
      <c r="BA58" s="236">
        <f t="shared" si="127"/>
        <v>-8163</v>
      </c>
      <c r="BB58" s="236">
        <f t="shared" si="127"/>
        <v>-7166</v>
      </c>
      <c r="BC58" s="236">
        <f t="shared" ref="BC58:BD58" si="128">(BC12-BC8)-(BC31-BC26)</f>
        <v>-9251</v>
      </c>
      <c r="BD58" s="236">
        <f t="shared" si="128"/>
        <v>-11284</v>
      </c>
      <c r="BE58" s="236">
        <f t="shared" ref="BE58" si="129">(BE12-BE8)-(BE31-BE26)</f>
        <v>-14367</v>
      </c>
      <c r="BF58" s="236">
        <f t="shared" ref="BF58:BI58" ca="1" si="130">(BF12-BF8)-(BF31-BF26)</f>
        <v>-13005.333760727452</v>
      </c>
      <c r="BG58" s="236">
        <f t="shared" ca="1" si="130"/>
        <v>-12899.201183249701</v>
      </c>
      <c r="BH58" s="236">
        <f t="shared" ca="1" si="130"/>
        <v>-12796.294448690744</v>
      </c>
      <c r="BI58" s="236">
        <f t="shared" ca="1" si="130"/>
        <v>-15290.920383249817</v>
      </c>
      <c r="BJ58" s="235"/>
      <c r="BK58"/>
      <c r="BL58"/>
      <c r="BM58"/>
      <c r="BN58"/>
      <c r="BO58"/>
      <c r="BP58"/>
    </row>
    <row r="59" spans="1:68" s="184" customFormat="1">
      <c r="A59" s="268"/>
      <c r="B59" s="280" t="s">
        <v>404</v>
      </c>
      <c r="C59" s="268"/>
      <c r="D59" s="278"/>
      <c r="E59" s="278">
        <f t="shared" ref="E59:J59" si="131">+E58-D58</f>
        <v>3529</v>
      </c>
      <c r="F59" s="278">
        <f t="shared" si="131"/>
        <v>-3198</v>
      </c>
      <c r="G59" s="278">
        <f t="shared" si="131"/>
        <v>1146</v>
      </c>
      <c r="H59" s="278">
        <f t="shared" si="131"/>
        <v>-6204</v>
      </c>
      <c r="I59" s="278">
        <f t="shared" ca="1" si="131"/>
        <v>-923.92038324981695</v>
      </c>
      <c r="J59" s="278">
        <f t="shared" ca="1" si="131"/>
        <v>590.719417748056</v>
      </c>
      <c r="K59" s="278">
        <f t="shared" ref="K59" ca="1" si="132">+K58-J58</f>
        <v>260.47605407967058</v>
      </c>
      <c r="L59" s="278">
        <f t="shared" ref="L59" ca="1" si="133">+L58-K58</f>
        <v>289.22037343497504</v>
      </c>
      <c r="M59" s="278">
        <f t="shared" ref="M59" ca="1" si="134">+M58-L58</f>
        <v>420.60904600996582</v>
      </c>
      <c r="N59" s="278">
        <f t="shared" ref="N59" ca="1" si="135">+N58-M58</f>
        <v>418.92484872741625</v>
      </c>
      <c r="O59" s="278">
        <f t="shared" ref="O59" ca="1" si="136">+O58-N58</f>
        <v>385.84071484429296</v>
      </c>
      <c r="P59" s="278">
        <f t="shared" ref="P59" ca="1" si="137">+P58-O58</f>
        <v>329.72235500866373</v>
      </c>
      <c r="Q59" s="268"/>
      <c r="R59" s="268"/>
      <c r="S59" s="268"/>
      <c r="T59" s="268"/>
      <c r="U59" s="268"/>
      <c r="V59" s="268"/>
      <c r="W59" s="268"/>
      <c r="X59" s="268"/>
      <c r="Y59" s="268"/>
      <c r="Z59" s="268"/>
      <c r="AA59" s="268"/>
      <c r="AB59" s="268"/>
      <c r="AC59" s="268"/>
      <c r="AD59" s="268"/>
      <c r="AE59" s="268"/>
      <c r="AF59" s="268"/>
      <c r="AG59" s="268"/>
      <c r="AH59" s="268"/>
      <c r="AI59" s="268"/>
      <c r="AJ59" s="268"/>
      <c r="AK59" s="268"/>
      <c r="AL59" s="278"/>
      <c r="AM59" s="278">
        <f>+AM58-AL58</f>
        <v>-1210</v>
      </c>
      <c r="AN59" s="278">
        <f t="shared" ref="AN59:BE59" si="138">+AN58-AM58</f>
        <v>-193</v>
      </c>
      <c r="AO59" s="278">
        <f t="shared" si="138"/>
        <v>1606</v>
      </c>
      <c r="AP59" s="278">
        <f t="shared" si="138"/>
        <v>-1411</v>
      </c>
      <c r="AQ59" s="278">
        <f t="shared" si="138"/>
        <v>-448</v>
      </c>
      <c r="AR59" s="278">
        <f t="shared" si="138"/>
        <v>6</v>
      </c>
      <c r="AS59" s="278">
        <f t="shared" si="138"/>
        <v>5382</v>
      </c>
      <c r="AT59" s="278">
        <f t="shared" si="138"/>
        <v>-393</v>
      </c>
      <c r="AU59" s="278">
        <f t="shared" si="138"/>
        <v>-3213</v>
      </c>
      <c r="AV59" s="278">
        <f t="shared" si="138"/>
        <v>-1937</v>
      </c>
      <c r="AW59" s="278">
        <f t="shared" si="138"/>
        <v>2345</v>
      </c>
      <c r="AX59" s="278">
        <f t="shared" si="138"/>
        <v>1173</v>
      </c>
      <c r="AY59" s="278">
        <f t="shared" si="138"/>
        <v>-4</v>
      </c>
      <c r="AZ59" s="278">
        <f t="shared" si="138"/>
        <v>499</v>
      </c>
      <c r="BA59" s="278">
        <f t="shared" si="138"/>
        <v>-522</v>
      </c>
      <c r="BB59" s="278">
        <f t="shared" si="138"/>
        <v>997</v>
      </c>
      <c r="BC59" s="278">
        <f t="shared" si="138"/>
        <v>-2085</v>
      </c>
      <c r="BD59" s="278">
        <f t="shared" si="138"/>
        <v>-2033</v>
      </c>
      <c r="BE59" s="278">
        <f t="shared" si="138"/>
        <v>-3083</v>
      </c>
      <c r="BF59" s="278">
        <f t="shared" ref="BF59" ca="1" si="139">+BF58-BE58</f>
        <v>1361.6662392725484</v>
      </c>
      <c r="BG59" s="278">
        <f t="shared" ref="BG59" ca="1" si="140">+BG58-BF58</f>
        <v>106.1325774777506</v>
      </c>
      <c r="BH59" s="278">
        <f t="shared" ref="BH59" ca="1" si="141">+BH58-BG58</f>
        <v>102.9067345589574</v>
      </c>
      <c r="BI59" s="278">
        <f t="shared" ref="BI59" ca="1" si="142">+BI58-BH58</f>
        <v>-2494.6259345590734</v>
      </c>
      <c r="BJ59" s="268"/>
      <c r="BK59"/>
      <c r="BL59"/>
      <c r="BM59"/>
      <c r="BN59"/>
      <c r="BO59"/>
      <c r="BP59"/>
    </row>
    <row r="60" spans="1:68" s="161" customFormat="1" ht="16.5" thickBot="1">
      <c r="A60" s="235"/>
      <c r="B60" s="235"/>
      <c r="C60" s="235"/>
      <c r="D60" s="235"/>
      <c r="E60" s="235"/>
      <c r="F60" s="235"/>
      <c r="G60" s="235"/>
      <c r="H60" s="235"/>
      <c r="I60" s="235"/>
      <c r="J60" s="235"/>
      <c r="K60" s="235"/>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5"/>
      <c r="AI60" s="235"/>
      <c r="AJ60" s="235"/>
      <c r="AK60" s="235"/>
      <c r="AL60" s="266"/>
      <c r="AM60" s="266"/>
      <c r="AN60" s="266"/>
      <c r="AO60" s="266"/>
      <c r="AP60" s="266"/>
      <c r="AQ60" s="266"/>
      <c r="AR60" s="266"/>
      <c r="AS60" s="266"/>
      <c r="AT60" s="235"/>
      <c r="AU60" s="235"/>
      <c r="AV60" s="266"/>
      <c r="AW60" s="266"/>
      <c r="AX60" s="266"/>
      <c r="AY60" s="266"/>
      <c r="AZ60" s="266"/>
      <c r="BA60" s="266"/>
      <c r="BB60" s="266"/>
      <c r="BC60" s="266"/>
      <c r="BD60" s="266"/>
      <c r="BE60" s="266"/>
      <c r="BF60" s="235"/>
      <c r="BG60" s="235"/>
      <c r="BH60" s="235"/>
      <c r="BI60" s="235"/>
      <c r="BJ60" s="235"/>
      <c r="BK60"/>
      <c r="BL60"/>
      <c r="BM60"/>
      <c r="BN60"/>
      <c r="BO60"/>
      <c r="BP60"/>
    </row>
    <row r="61" spans="1:68" s="198" customFormat="1" ht="16.5" thickBot="1">
      <c r="A61" s="251"/>
      <c r="B61" s="194" t="s">
        <v>399</v>
      </c>
      <c r="C61" s="276"/>
      <c r="D61" s="195">
        <f>+D$6</f>
        <v>2013</v>
      </c>
      <c r="E61" s="196">
        <f t="shared" ref="E61:P61" si="143">+E$6</f>
        <v>2014</v>
      </c>
      <c r="F61" s="196">
        <f t="shared" si="143"/>
        <v>2015</v>
      </c>
      <c r="G61" s="196">
        <f t="shared" si="143"/>
        <v>2016</v>
      </c>
      <c r="H61" s="196">
        <f t="shared" si="143"/>
        <v>2017</v>
      </c>
      <c r="I61" s="196" t="str">
        <f t="shared" si="143"/>
        <v>2018E</v>
      </c>
      <c r="J61" s="196" t="str">
        <f t="shared" si="143"/>
        <v>2019E</v>
      </c>
      <c r="K61" s="196" t="str">
        <f t="shared" si="143"/>
        <v>2020E</v>
      </c>
      <c r="L61" s="196" t="str">
        <f t="shared" si="143"/>
        <v>2021E</v>
      </c>
      <c r="M61" s="196" t="str">
        <f t="shared" si="143"/>
        <v>2022E</v>
      </c>
      <c r="N61" s="196" t="str">
        <f t="shared" si="143"/>
        <v>2023E</v>
      </c>
      <c r="O61" s="196" t="str">
        <f t="shared" si="143"/>
        <v>2024E</v>
      </c>
      <c r="P61" s="197" t="str">
        <f t="shared" si="143"/>
        <v>2025E</v>
      </c>
      <c r="Q61" s="241"/>
      <c r="R61" s="196"/>
      <c r="S61" s="196"/>
      <c r="T61" s="196"/>
      <c r="U61" s="196"/>
      <c r="V61" s="196"/>
      <c r="W61" s="196"/>
      <c r="X61" s="196"/>
      <c r="Y61" s="196"/>
      <c r="Z61" s="196"/>
      <c r="AA61" s="196"/>
      <c r="AB61" s="196"/>
      <c r="AC61" s="196"/>
      <c r="AD61" s="196"/>
      <c r="AE61" s="196"/>
      <c r="AF61" s="196"/>
      <c r="AG61" s="196"/>
      <c r="AH61" s="196"/>
      <c r="AI61" s="196"/>
      <c r="AJ61" s="196"/>
      <c r="AK61" s="196"/>
      <c r="AL61" s="196" t="s">
        <v>248</v>
      </c>
      <c r="AM61" s="196" t="s">
        <v>249</v>
      </c>
      <c r="AN61" s="196" t="s">
        <v>250</v>
      </c>
      <c r="AO61" s="196" t="s">
        <v>251</v>
      </c>
      <c r="AP61" s="196" t="s">
        <v>156</v>
      </c>
      <c r="AQ61" s="196" t="s">
        <v>157</v>
      </c>
      <c r="AR61" s="196" t="s">
        <v>158</v>
      </c>
      <c r="AS61" s="196" t="s">
        <v>159</v>
      </c>
      <c r="AT61" s="196" t="str">
        <f>+AT$6</f>
        <v>1Q15</v>
      </c>
      <c r="AU61" s="196" t="str">
        <f t="shared" ref="AU61:BI61" si="144">+AU$6</f>
        <v>2Q15</v>
      </c>
      <c r="AV61" s="196" t="str">
        <f t="shared" si="144"/>
        <v>3Q15</v>
      </c>
      <c r="AW61" s="196" t="str">
        <f t="shared" si="144"/>
        <v>4Q15</v>
      </c>
      <c r="AX61" s="196" t="str">
        <f t="shared" si="144"/>
        <v>1Q16</v>
      </c>
      <c r="AY61" s="196" t="str">
        <f t="shared" si="144"/>
        <v>2Q16</v>
      </c>
      <c r="AZ61" s="196" t="str">
        <f t="shared" si="144"/>
        <v>3Q16</v>
      </c>
      <c r="BA61" s="196" t="str">
        <f t="shared" si="144"/>
        <v>4Q16</v>
      </c>
      <c r="BB61" s="196" t="str">
        <f t="shared" si="144"/>
        <v>1Q17</v>
      </c>
      <c r="BC61" s="196" t="str">
        <f t="shared" si="144"/>
        <v>2Q17</v>
      </c>
      <c r="BD61" s="196" t="str">
        <f t="shared" si="144"/>
        <v>3Q17</v>
      </c>
      <c r="BE61" s="196" t="str">
        <f t="shared" si="144"/>
        <v>4Q17</v>
      </c>
      <c r="BF61" s="196" t="str">
        <f t="shared" si="144"/>
        <v>1Q18E</v>
      </c>
      <c r="BG61" s="196" t="str">
        <f t="shared" si="144"/>
        <v>2Q18E</v>
      </c>
      <c r="BH61" s="196" t="str">
        <f t="shared" si="144"/>
        <v>3Q18E</v>
      </c>
      <c r="BI61" s="197" t="str">
        <f t="shared" si="144"/>
        <v>4Q18E</v>
      </c>
      <c r="BJ61" s="251"/>
      <c r="BK61"/>
      <c r="BL61"/>
      <c r="BM61"/>
      <c r="BN61"/>
      <c r="BO61"/>
      <c r="BP61"/>
    </row>
    <row r="62" spans="1:68" s="161" customFormat="1">
      <c r="A62" s="235"/>
      <c r="B62" s="235"/>
      <c r="C62" s="235"/>
      <c r="D62" s="235"/>
      <c r="E62" s="235"/>
      <c r="F62" s="235"/>
      <c r="G62" s="235"/>
      <c r="H62" s="235"/>
      <c r="I62" s="235"/>
      <c r="J62" s="235"/>
      <c r="K62" s="235"/>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5"/>
      <c r="AI62" s="235"/>
      <c r="AJ62" s="235"/>
      <c r="AK62" s="235"/>
      <c r="AL62" s="266"/>
      <c r="AM62" s="266"/>
      <c r="AN62" s="266"/>
      <c r="AO62" s="266"/>
      <c r="AP62" s="266"/>
      <c r="AQ62" s="266"/>
      <c r="AR62" s="266"/>
      <c r="AS62" s="266"/>
      <c r="AT62" s="235"/>
      <c r="AU62" s="235"/>
      <c r="AV62" s="266"/>
      <c r="AW62" s="266"/>
      <c r="AX62" s="266"/>
      <c r="AY62" s="266"/>
      <c r="AZ62" s="266"/>
      <c r="BA62" s="266"/>
      <c r="BB62" s="266"/>
      <c r="BC62" s="266"/>
      <c r="BD62" s="266"/>
      <c r="BE62" s="266"/>
      <c r="BF62" s="235"/>
      <c r="BG62" s="235"/>
      <c r="BH62" s="235"/>
      <c r="BI62" s="235"/>
      <c r="BJ62" s="235"/>
      <c r="BK62"/>
      <c r="BL62"/>
      <c r="BM62"/>
      <c r="BN62"/>
      <c r="BO62"/>
      <c r="BP62"/>
    </row>
    <row r="63" spans="1:68" s="161" customFormat="1">
      <c r="A63" s="235"/>
      <c r="B63" s="235" t="s">
        <v>190</v>
      </c>
      <c r="C63" s="235"/>
      <c r="D63" s="236">
        <f>+AO63</f>
        <v>74788</v>
      </c>
      <c r="E63" s="236">
        <f>+AS63</f>
        <v>82067</v>
      </c>
      <c r="F63" s="236">
        <f>+AW63</f>
        <v>126151</v>
      </c>
      <c r="G63" s="236">
        <f>+BA63</f>
        <v>123513</v>
      </c>
      <c r="H63" s="236">
        <f>+BE63</f>
        <v>164346</v>
      </c>
      <c r="I63" s="236">
        <f>+BI63</f>
        <v>164346</v>
      </c>
      <c r="J63" s="274">
        <f>+J33+J26</f>
        <v>164346</v>
      </c>
      <c r="K63" s="274">
        <f t="shared" ref="K63:P63" si="145">+K33+K26</f>
        <v>164346</v>
      </c>
      <c r="L63" s="274">
        <f t="shared" si="145"/>
        <v>164346</v>
      </c>
      <c r="M63" s="274">
        <f t="shared" si="145"/>
        <v>164346</v>
      </c>
      <c r="N63" s="274">
        <f t="shared" si="145"/>
        <v>164346</v>
      </c>
      <c r="O63" s="274">
        <f t="shared" si="145"/>
        <v>164346</v>
      </c>
      <c r="P63" s="274">
        <f t="shared" si="145"/>
        <v>164346</v>
      </c>
      <c r="Q63" s="274"/>
      <c r="R63" s="235"/>
      <c r="S63" s="235"/>
      <c r="T63" s="235"/>
      <c r="U63" s="235"/>
      <c r="V63" s="235"/>
      <c r="W63" s="235"/>
      <c r="X63" s="235"/>
      <c r="Y63" s="235"/>
      <c r="Z63" s="235"/>
      <c r="AA63" s="235"/>
      <c r="AB63" s="235"/>
      <c r="AC63" s="235"/>
      <c r="AD63" s="235"/>
      <c r="AE63" s="235"/>
      <c r="AF63" s="235"/>
      <c r="AG63" s="235"/>
      <c r="AH63" s="235"/>
      <c r="AI63" s="235"/>
      <c r="AJ63" s="235"/>
      <c r="AK63" s="235"/>
      <c r="AL63" s="274">
        <f t="shared" ref="AL63:AV63" si="146">+AL33+AL26</f>
        <v>74132</v>
      </c>
      <c r="AM63" s="274">
        <f t="shared" si="146"/>
        <v>75173</v>
      </c>
      <c r="AN63" s="274">
        <f t="shared" si="146"/>
        <v>76223</v>
      </c>
      <c r="AO63" s="274">
        <f t="shared" si="146"/>
        <v>74788</v>
      </c>
      <c r="AP63" s="274">
        <f t="shared" si="146"/>
        <v>79876</v>
      </c>
      <c r="AQ63" s="274">
        <f t="shared" si="146"/>
        <v>84052</v>
      </c>
      <c r="AR63" s="274">
        <f t="shared" si="146"/>
        <v>75625</v>
      </c>
      <c r="AS63" s="274">
        <f t="shared" si="146"/>
        <v>82067</v>
      </c>
      <c r="AT63" s="274">
        <f t="shared" si="146"/>
        <v>96453</v>
      </c>
      <c r="AU63" s="274">
        <f t="shared" si="146"/>
        <v>113670</v>
      </c>
      <c r="AV63" s="274">
        <f t="shared" si="146"/>
        <v>126930</v>
      </c>
      <c r="AW63" s="274">
        <f t="shared" ref="AW63:BB63" si="147">+AW33+AW26</f>
        <v>126151</v>
      </c>
      <c r="AX63" s="274">
        <f t="shared" si="147"/>
        <v>130503</v>
      </c>
      <c r="AY63" s="274">
        <f t="shared" si="147"/>
        <v>126836</v>
      </c>
      <c r="AZ63" s="274">
        <f t="shared" si="147"/>
        <v>125221</v>
      </c>
      <c r="BA63" s="274">
        <f t="shared" si="147"/>
        <v>123513</v>
      </c>
      <c r="BB63" s="274">
        <f t="shared" si="147"/>
        <v>133249</v>
      </c>
      <c r="BC63" s="274">
        <f t="shared" ref="BC63:BD63" si="148">+BC33+BC26</f>
        <v>143655</v>
      </c>
      <c r="BD63" s="274">
        <f t="shared" si="148"/>
        <v>163279</v>
      </c>
      <c r="BE63" s="274">
        <f t="shared" ref="BE63" si="149">+BE33+BE26</f>
        <v>164346</v>
      </c>
      <c r="BF63" s="274">
        <f t="shared" ref="BF63:BI63" si="150">+BF33+BF26</f>
        <v>164346</v>
      </c>
      <c r="BG63" s="274">
        <f t="shared" si="150"/>
        <v>164346</v>
      </c>
      <c r="BH63" s="274">
        <f t="shared" si="150"/>
        <v>164346</v>
      </c>
      <c r="BI63" s="274">
        <f t="shared" si="150"/>
        <v>164346</v>
      </c>
      <c r="BJ63" s="235"/>
      <c r="BK63"/>
      <c r="BL63"/>
      <c r="BM63"/>
      <c r="BN63"/>
      <c r="BO63"/>
      <c r="BP63"/>
    </row>
    <row r="64" spans="1:68" s="161" customFormat="1">
      <c r="A64" s="235"/>
      <c r="B64" s="235" t="s">
        <v>400</v>
      </c>
      <c r="C64" s="235"/>
      <c r="D64" s="236">
        <f>+AO64</f>
        <v>-3339</v>
      </c>
      <c r="E64" s="236">
        <f>+AS64</f>
        <v>-8603</v>
      </c>
      <c r="F64" s="236">
        <f>+AW64</f>
        <v>-5121</v>
      </c>
      <c r="G64" s="236">
        <f>+BA64</f>
        <v>-5788</v>
      </c>
      <c r="H64" s="236">
        <f>+BE64</f>
        <v>-50498</v>
      </c>
      <c r="I64" s="236">
        <f ca="1">+BI64</f>
        <v>-59582.178808378638</v>
      </c>
      <c r="J64" s="274">
        <f ca="1">-J8</f>
        <v>-65465.168598940902</v>
      </c>
      <c r="K64" s="274">
        <f t="shared" ref="K64:P64" ca="1" si="151">-K8</f>
        <v>-70418.036207976853</v>
      </c>
      <c r="L64" s="274">
        <f t="shared" ca="1" si="151"/>
        <v>-74925.910712232668</v>
      </c>
      <c r="M64" s="274">
        <f t="shared" ca="1" si="151"/>
        <v>-79129.662705306851</v>
      </c>
      <c r="N64" s="274">
        <f t="shared" ca="1" si="151"/>
        <v>-83075.939812376571</v>
      </c>
      <c r="O64" s="274">
        <f t="shared" ca="1" si="151"/>
        <v>-86751.984999202687</v>
      </c>
      <c r="P64" s="274">
        <f t="shared" ca="1" si="151"/>
        <v>-90137.642747404898</v>
      </c>
      <c r="Q64" s="274"/>
      <c r="R64" s="235"/>
      <c r="S64" s="235"/>
      <c r="T64" s="235"/>
      <c r="U64" s="235"/>
      <c r="V64" s="235"/>
      <c r="W64" s="235"/>
      <c r="X64" s="235"/>
      <c r="Y64" s="235"/>
      <c r="Z64" s="235"/>
      <c r="AA64" s="235"/>
      <c r="AB64" s="235"/>
      <c r="AC64" s="235"/>
      <c r="AD64" s="235"/>
      <c r="AE64" s="235"/>
      <c r="AF64" s="235"/>
      <c r="AG64" s="235"/>
      <c r="AH64" s="235"/>
      <c r="AI64" s="235"/>
      <c r="AJ64" s="235"/>
      <c r="AK64" s="235"/>
      <c r="AL64" s="274">
        <f t="shared" ref="AL64:AV64" si="152">-AL8</f>
        <v>-3875</v>
      </c>
      <c r="AM64" s="274">
        <f t="shared" si="152"/>
        <v>-4548</v>
      </c>
      <c r="AN64" s="274">
        <f t="shared" si="152"/>
        <v>-1371</v>
      </c>
      <c r="AO64" s="274">
        <f t="shared" si="152"/>
        <v>-3339</v>
      </c>
      <c r="AP64" s="274">
        <f t="shared" si="152"/>
        <v>-3611</v>
      </c>
      <c r="AQ64" s="274">
        <f t="shared" si="152"/>
        <v>-11305</v>
      </c>
      <c r="AR64" s="274">
        <f t="shared" si="152"/>
        <v>-2458</v>
      </c>
      <c r="AS64" s="274">
        <f t="shared" si="152"/>
        <v>-8603</v>
      </c>
      <c r="AT64" s="274">
        <f t="shared" si="152"/>
        <v>-4444</v>
      </c>
      <c r="AU64" s="274">
        <f t="shared" si="152"/>
        <v>-20956</v>
      </c>
      <c r="AV64" s="274">
        <f t="shared" si="152"/>
        <v>-6202</v>
      </c>
      <c r="AW64" s="274">
        <f t="shared" ref="AW64:BB64" si="153">-AW8</f>
        <v>-5121</v>
      </c>
      <c r="AX64" s="274">
        <f t="shared" si="153"/>
        <v>-10008</v>
      </c>
      <c r="AY64" s="274">
        <f t="shared" si="153"/>
        <v>-7208</v>
      </c>
      <c r="AZ64" s="274">
        <f t="shared" si="153"/>
        <v>-5895</v>
      </c>
      <c r="BA64" s="274">
        <f t="shared" si="153"/>
        <v>-5788</v>
      </c>
      <c r="BB64" s="274">
        <f t="shared" si="153"/>
        <v>-14884</v>
      </c>
      <c r="BC64" s="274">
        <f t="shared" ref="BC64:BD64" si="154">-BC8</f>
        <v>-25617</v>
      </c>
      <c r="BD64" s="274">
        <f t="shared" si="154"/>
        <v>-48499</v>
      </c>
      <c r="BE64" s="274">
        <f t="shared" ref="BE64" si="155">-BE8</f>
        <v>-50498</v>
      </c>
      <c r="BF64" s="274">
        <f t="shared" ref="BF64:BI64" ca="1" si="156">-BF8</f>
        <v>-51189.667751389796</v>
      </c>
      <c r="BG64" s="274">
        <f t="shared" ca="1" si="156"/>
        <v>-53290.41175839799</v>
      </c>
      <c r="BH64" s="274">
        <f t="shared" ca="1" si="156"/>
        <v>-55479.263875134282</v>
      </c>
      <c r="BI64" s="274">
        <f t="shared" ca="1" si="156"/>
        <v>-59582.178808378638</v>
      </c>
      <c r="BJ64" s="235"/>
      <c r="BK64"/>
      <c r="BL64"/>
      <c r="BM64"/>
      <c r="BN64"/>
      <c r="BO64"/>
      <c r="BP64"/>
    </row>
    <row r="65" spans="1:68" s="161" customFormat="1">
      <c r="A65" s="235"/>
      <c r="B65" s="235" t="s">
        <v>166</v>
      </c>
      <c r="C65" s="235"/>
      <c r="D65" s="236">
        <f t="shared" ref="D65:J65" si="157">+D63+D64</f>
        <v>71449</v>
      </c>
      <c r="E65" s="236">
        <f t="shared" si="157"/>
        <v>73464</v>
      </c>
      <c r="F65" s="236">
        <f t="shared" si="157"/>
        <v>121030</v>
      </c>
      <c r="G65" s="236">
        <f>+G63+G64</f>
        <v>117725</v>
      </c>
      <c r="H65" s="236">
        <f>+H63+H64</f>
        <v>113848</v>
      </c>
      <c r="I65" s="236">
        <f ca="1">+I63+I64</f>
        <v>104763.82119162136</v>
      </c>
      <c r="J65" s="236">
        <f t="shared" ca="1" si="157"/>
        <v>98880.831401059098</v>
      </c>
      <c r="K65" s="236">
        <f t="shared" ref="K65:P65" ca="1" si="158">+K63+K64</f>
        <v>93927.963792023147</v>
      </c>
      <c r="L65" s="236">
        <f t="shared" ca="1" si="158"/>
        <v>89420.089287767332</v>
      </c>
      <c r="M65" s="236">
        <f t="shared" ca="1" si="158"/>
        <v>85216.337294693149</v>
      </c>
      <c r="N65" s="236">
        <f t="shared" ca="1" si="158"/>
        <v>81270.060187623429</v>
      </c>
      <c r="O65" s="236">
        <f t="shared" ca="1" si="158"/>
        <v>77594.015000797313</v>
      </c>
      <c r="P65" s="236">
        <f t="shared" ca="1" si="158"/>
        <v>74208.357252595102</v>
      </c>
      <c r="Q65" s="235"/>
      <c r="R65" s="235"/>
      <c r="S65" s="235"/>
      <c r="T65" s="235"/>
      <c r="U65" s="235"/>
      <c r="V65" s="235"/>
      <c r="W65" s="235"/>
      <c r="X65" s="235"/>
      <c r="Y65" s="235"/>
      <c r="Z65" s="235"/>
      <c r="AA65" s="235"/>
      <c r="AB65" s="235"/>
      <c r="AC65" s="235"/>
      <c r="AD65" s="235"/>
      <c r="AE65" s="235"/>
      <c r="AF65" s="235"/>
      <c r="AG65" s="235"/>
      <c r="AH65" s="235"/>
      <c r="AI65" s="235"/>
      <c r="AJ65" s="235"/>
      <c r="AK65" s="235"/>
      <c r="AL65" s="236">
        <f t="shared" ref="AL65:AV65" si="159">+AL63+AL64</f>
        <v>70257</v>
      </c>
      <c r="AM65" s="236">
        <f t="shared" si="159"/>
        <v>70625</v>
      </c>
      <c r="AN65" s="236">
        <f t="shared" si="159"/>
        <v>74852</v>
      </c>
      <c r="AO65" s="236">
        <f t="shared" si="159"/>
        <v>71449</v>
      </c>
      <c r="AP65" s="236">
        <f t="shared" si="159"/>
        <v>76265</v>
      </c>
      <c r="AQ65" s="236">
        <f t="shared" si="159"/>
        <v>72747</v>
      </c>
      <c r="AR65" s="236">
        <f t="shared" si="159"/>
        <v>73167</v>
      </c>
      <c r="AS65" s="236">
        <f t="shared" si="159"/>
        <v>73464</v>
      </c>
      <c r="AT65" s="236">
        <f t="shared" si="159"/>
        <v>92009</v>
      </c>
      <c r="AU65" s="236">
        <f t="shared" si="159"/>
        <v>92714</v>
      </c>
      <c r="AV65" s="236">
        <f t="shared" si="159"/>
        <v>120728</v>
      </c>
      <c r="AW65" s="236">
        <f t="shared" ref="AW65:BB65" si="160">+AW63+AW64</f>
        <v>121030</v>
      </c>
      <c r="AX65" s="236">
        <f t="shared" si="160"/>
        <v>120495</v>
      </c>
      <c r="AY65" s="236">
        <f t="shared" si="160"/>
        <v>119628</v>
      </c>
      <c r="AZ65" s="236">
        <f t="shared" si="160"/>
        <v>119326</v>
      </c>
      <c r="BA65" s="236">
        <f t="shared" si="160"/>
        <v>117725</v>
      </c>
      <c r="BB65" s="236">
        <f t="shared" si="160"/>
        <v>118365</v>
      </c>
      <c r="BC65" s="236">
        <f t="shared" ref="BC65:BD65" si="161">+BC63+BC64</f>
        <v>118038</v>
      </c>
      <c r="BD65" s="236">
        <f t="shared" si="161"/>
        <v>114780</v>
      </c>
      <c r="BE65" s="236">
        <f t="shared" ref="BE65" si="162">+BE63+BE64</f>
        <v>113848</v>
      </c>
      <c r="BF65" s="236">
        <f t="shared" ref="BF65:BI65" ca="1" si="163">+BF63+BF64</f>
        <v>113156.33224861021</v>
      </c>
      <c r="BG65" s="236">
        <f t="shared" ca="1" si="163"/>
        <v>111055.588241602</v>
      </c>
      <c r="BH65" s="236">
        <f t="shared" ca="1" si="163"/>
        <v>108866.73612486571</v>
      </c>
      <c r="BI65" s="236">
        <f t="shared" ca="1" si="163"/>
        <v>104763.82119162136</v>
      </c>
      <c r="BJ65" s="235"/>
      <c r="BK65"/>
      <c r="BL65"/>
      <c r="BM65"/>
      <c r="BN65"/>
      <c r="BO65"/>
      <c r="BP65"/>
    </row>
    <row r="66" spans="1:68" s="161" customFormat="1">
      <c r="A66" s="235"/>
      <c r="B66" s="235"/>
      <c r="C66" s="235"/>
      <c r="D66" s="23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66"/>
      <c r="AM66" s="266"/>
      <c r="AN66" s="266"/>
      <c r="AO66" s="266"/>
      <c r="AP66" s="266"/>
      <c r="AQ66" s="266"/>
      <c r="AR66" s="266"/>
      <c r="AS66" s="266"/>
      <c r="AT66" s="235"/>
      <c r="AU66" s="235"/>
      <c r="AV66" s="266"/>
      <c r="AW66" s="266"/>
      <c r="AX66" s="266"/>
      <c r="AY66" s="266"/>
      <c r="AZ66" s="266"/>
      <c r="BA66" s="266"/>
      <c r="BB66" s="266"/>
      <c r="BC66" s="266"/>
      <c r="BD66" s="266"/>
      <c r="BE66" s="266"/>
      <c r="BF66" s="235"/>
      <c r="BG66" s="235"/>
      <c r="BH66" s="235"/>
      <c r="BI66" s="235"/>
      <c r="BJ66" s="235"/>
      <c r="BK66"/>
      <c r="BL66"/>
      <c r="BM66"/>
      <c r="BN66"/>
      <c r="BO66"/>
      <c r="BP66"/>
    </row>
    <row r="67" spans="1:68" s="229" customFormat="1">
      <c r="A67" s="270"/>
      <c r="B67" s="270" t="s">
        <v>401</v>
      </c>
      <c r="C67" s="270"/>
      <c r="D67" s="281">
        <f>+D65/'Income Statement'!D24</f>
        <v>1.7078761802318634</v>
      </c>
      <c r="E67" s="281">
        <f>+E65/'Income Statement'!E24</f>
        <v>1.7804706623688229</v>
      </c>
      <c r="F67" s="281">
        <f>+F65/'Income Statement'!F24</f>
        <v>2.5680033948652663</v>
      </c>
      <c r="G67" s="281">
        <f>+G65/'Income Statement'!G24</f>
        <v>2.243278263686427</v>
      </c>
      <c r="H67" s="281">
        <f>+H65/'Income Statement'!H24</f>
        <v>2.2099970882267299</v>
      </c>
      <c r="I67" s="281">
        <f ca="1">+I65/'Income Statement'!I24</f>
        <v>1.9842927043803862</v>
      </c>
      <c r="J67" s="281">
        <f ca="1">+J65/'Income Statement'!J24</f>
        <v>1.827941477015498</v>
      </c>
      <c r="K67" s="281">
        <f ca="1">+K65/'Income Statement'!K24</f>
        <v>1.7343539704038891</v>
      </c>
      <c r="L67" s="281">
        <f ca="1">+L65/'Income Statement'!L24</f>
        <v>1.6519762479217159</v>
      </c>
      <c r="M67" s="281">
        <f ca="1">+M65/'Income Statement'!M24</f>
        <v>1.5661342960580253</v>
      </c>
      <c r="N67" s="281">
        <f ca="1">+N65/'Income Statement'!N24</f>
        <v>1.4885499247965195</v>
      </c>
      <c r="O67" s="281">
        <f ca="1">+O65/'Income Statement'!O24</f>
        <v>1.4169649302109326</v>
      </c>
      <c r="P67" s="281">
        <f ca="1">+P65/'Income Statement'!P24</f>
        <v>1.3507703139772638</v>
      </c>
      <c r="Q67" s="270"/>
      <c r="R67" s="270"/>
      <c r="S67" s="270"/>
      <c r="T67" s="270"/>
      <c r="U67" s="270"/>
      <c r="V67" s="270"/>
      <c r="W67" s="270"/>
      <c r="X67" s="270"/>
      <c r="Y67" s="270"/>
      <c r="Z67" s="270"/>
      <c r="AA67" s="270"/>
      <c r="AB67" s="270"/>
      <c r="AC67" s="270"/>
      <c r="AD67" s="270"/>
      <c r="AE67" s="270"/>
      <c r="AF67" s="270"/>
      <c r="AG67" s="270"/>
      <c r="AH67" s="270"/>
      <c r="AI67" s="270"/>
      <c r="AJ67" s="270"/>
      <c r="AK67" s="270"/>
      <c r="AL67" s="281"/>
      <c r="AM67" s="281"/>
      <c r="AN67" s="281"/>
      <c r="AO67" s="281">
        <f>AO65/SUM('Income Statement'!AL24:AO24)</f>
        <v>1.7078761802318634</v>
      </c>
      <c r="AP67" s="281">
        <f>AP65/SUM('Income Statement'!AM24:AP24)</f>
        <v>1.8001463437662277</v>
      </c>
      <c r="AQ67" s="281">
        <f>AQ65/SUM('Income Statement'!AN24:AQ24)</f>
        <v>1.7327315167682926</v>
      </c>
      <c r="AR67" s="281">
        <f>AR65/SUM('Income Statement'!AO24:AR24)</f>
        <v>1.7554462571976968</v>
      </c>
      <c r="AS67" s="281">
        <f>AS65/SUM('Income Statement'!AP24:AS24)</f>
        <v>1.7804706623688229</v>
      </c>
      <c r="AT67" s="281">
        <f>AT65/SUM('Income Statement'!AQ24:AT24)</f>
        <v>2.2508195117177943</v>
      </c>
      <c r="AU67" s="281">
        <f>AU65/SUM('Income Statement'!AR24:AU24)</f>
        <v>2.2257057806798541</v>
      </c>
      <c r="AV67" s="281">
        <f>AV65/SUM('Income Statement'!AS24:AV24)</f>
        <v>2.7229627624782911</v>
      </c>
      <c r="AW67" s="281">
        <f>AW65/SUM('Income Statement'!AT24:AW24)</f>
        <v>2.5680033948652663</v>
      </c>
      <c r="AX67" s="281">
        <f>AX65/SUM('Income Statement'!AU24:AX24)</f>
        <v>2.4215719769287967</v>
      </c>
      <c r="AY67" s="281">
        <f>AY65/SUM('Income Statement'!AV24:AY24)</f>
        <v>2.3008924449915371</v>
      </c>
      <c r="AZ67" s="281">
        <f>AZ65/SUM('Income Statement'!AW24:AZ24)</f>
        <v>2.2711025675186995</v>
      </c>
      <c r="BA67" s="281">
        <f>BA65/SUM('Income Statement'!AX24:BA24)</f>
        <v>2.243278263686427</v>
      </c>
      <c r="BB67" s="281">
        <f>BB65/SUM('Income Statement'!AY24:BB24)</f>
        <v>2.2640589135424638</v>
      </c>
      <c r="BC67" s="281">
        <f>BC65/SUM('Income Statement'!AZ24:BC24)</f>
        <v>2.2496283590623212</v>
      </c>
      <c r="BD67" s="281">
        <f>BD65/SUM('Income Statement'!BA24:BD24)</f>
        <v>2.2126265060240966</v>
      </c>
      <c r="BE67" s="281">
        <f>BE65/SUM('Income Statement'!BB24:BE24)</f>
        <v>2.2099970882267299</v>
      </c>
      <c r="BF67" s="281">
        <f ca="1">BF65/SUM('Income Statement'!BC24:BF24)</f>
        <v>2.194642656918671</v>
      </c>
      <c r="BG67" s="281">
        <f ca="1">BG65/SUM('Income Statement'!BD24:BG24)</f>
        <v>2.1629117528908348</v>
      </c>
      <c r="BH67" s="281">
        <f ca="1">BH65/SUM('Income Statement'!BE24:BH24)</f>
        <v>2.0981157380085418</v>
      </c>
      <c r="BI67" s="281">
        <f ca="1">BI65/SUM('Income Statement'!BF24:BI24)</f>
        <v>1.9842927043803864</v>
      </c>
      <c r="BJ67" s="270"/>
      <c r="BK67"/>
      <c r="BL67"/>
      <c r="BM67"/>
      <c r="BN67"/>
      <c r="BO67"/>
      <c r="BP67"/>
    </row>
    <row r="68" spans="1:68" s="161" customFormat="1">
      <c r="A68" s="235"/>
      <c r="B68" s="235"/>
      <c r="C68" s="235"/>
      <c r="D68" s="23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66"/>
      <c r="AM68" s="266"/>
      <c r="AN68" s="266"/>
      <c r="AO68" s="266"/>
      <c r="AP68" s="266"/>
      <c r="AQ68" s="266"/>
      <c r="AR68" s="266"/>
      <c r="AS68" s="266"/>
      <c r="AT68" s="235"/>
      <c r="AU68" s="235"/>
      <c r="AV68" s="266"/>
      <c r="AW68" s="266"/>
      <c r="AX68" s="266"/>
      <c r="AY68" s="266"/>
      <c r="AZ68" s="266"/>
      <c r="BA68" s="266"/>
      <c r="BB68" s="266"/>
      <c r="BC68" s="266"/>
      <c r="BD68" s="266"/>
      <c r="BE68" s="266"/>
      <c r="BF68" s="235"/>
      <c r="BG68" s="235"/>
      <c r="BH68" s="235"/>
      <c r="BI68" s="235"/>
      <c r="BJ68" s="235"/>
      <c r="BK68"/>
      <c r="BL68"/>
      <c r="BM68"/>
      <c r="BN68"/>
      <c r="BO68"/>
      <c r="BP68"/>
    </row>
    <row r="69" spans="1:68" s="154" customFormat="1">
      <c r="A69" s="236"/>
      <c r="B69" s="236" t="s">
        <v>5</v>
      </c>
      <c r="C69" s="236"/>
      <c r="D69" s="236">
        <f>SUM(AL69:AO69)</f>
        <v>3940</v>
      </c>
      <c r="E69" s="236">
        <f>SUM(AP69:AS69)</f>
        <v>3613</v>
      </c>
      <c r="F69" s="236">
        <f>SUM(AT69:AW69)</f>
        <v>4120</v>
      </c>
      <c r="G69" s="236">
        <f>SUM(AX69:BA69)</f>
        <v>4910</v>
      </c>
      <c r="H69" s="236">
        <f>SUM(BB69:BE69)</f>
        <v>6300</v>
      </c>
      <c r="I69" s="236">
        <f>SUM(BF69:BI69)</f>
        <v>7395.57</v>
      </c>
      <c r="J69" s="236">
        <f>+J63*J70</f>
        <v>7395.57</v>
      </c>
      <c r="K69" s="236">
        <f t="shared" ref="K69:P69" si="164">+K63*K70</f>
        <v>7395.57</v>
      </c>
      <c r="L69" s="236">
        <f t="shared" si="164"/>
        <v>7395.57</v>
      </c>
      <c r="M69" s="236">
        <f t="shared" si="164"/>
        <v>7395.57</v>
      </c>
      <c r="N69" s="236">
        <f t="shared" si="164"/>
        <v>7395.57</v>
      </c>
      <c r="O69" s="236">
        <f t="shared" si="164"/>
        <v>7395.57</v>
      </c>
      <c r="P69" s="236">
        <f t="shared" si="164"/>
        <v>7395.57</v>
      </c>
      <c r="Q69" s="236"/>
      <c r="R69" s="236"/>
      <c r="S69" s="236"/>
      <c r="T69" s="236"/>
      <c r="U69" s="236"/>
      <c r="V69" s="236"/>
      <c r="W69" s="236"/>
      <c r="X69" s="236"/>
      <c r="Y69" s="236"/>
      <c r="Z69" s="236"/>
      <c r="AA69" s="236"/>
      <c r="AB69" s="236"/>
      <c r="AC69" s="236"/>
      <c r="AD69" s="236"/>
      <c r="AE69" s="236"/>
      <c r="AF69" s="236"/>
      <c r="AG69" s="236"/>
      <c r="AH69" s="236"/>
      <c r="AI69" s="236"/>
      <c r="AJ69" s="236"/>
      <c r="AK69" s="236"/>
      <c r="AL69" s="438">
        <f>+'Income Statement'!AL40</f>
        <v>827</v>
      </c>
      <c r="AM69" s="438">
        <f>+'Income Statement'!AM40</f>
        <v>825</v>
      </c>
      <c r="AN69" s="438">
        <f>+'Income Statement'!AN40</f>
        <v>829</v>
      </c>
      <c r="AO69" s="438">
        <f>+'Income Statement'!AO40</f>
        <v>1459</v>
      </c>
      <c r="AP69" s="438">
        <f>+'Income Statement'!AP40</f>
        <v>860</v>
      </c>
      <c r="AQ69" s="438">
        <f>+'Income Statement'!AQ40</f>
        <v>881</v>
      </c>
      <c r="AR69" s="438">
        <f>+'Income Statement'!AR40</f>
        <v>1016</v>
      </c>
      <c r="AS69" s="438">
        <f>+'Income Statement'!AS40</f>
        <v>856</v>
      </c>
      <c r="AT69" s="438">
        <f>+'Income Statement'!AT40</f>
        <v>899</v>
      </c>
      <c r="AU69" s="438">
        <f>+'Income Statement'!AU40</f>
        <v>932</v>
      </c>
      <c r="AV69" s="438">
        <f>+'Income Statement'!AV40</f>
        <v>1146</v>
      </c>
      <c r="AW69" s="438">
        <f>+'Income Statement'!AW40</f>
        <v>1143</v>
      </c>
      <c r="AX69" s="438">
        <f>+'Income Statement'!AX40</f>
        <v>1207</v>
      </c>
      <c r="AY69" s="438">
        <f>+'Income Statement'!AY40</f>
        <v>1258</v>
      </c>
      <c r="AZ69" s="438">
        <f>+'Income Statement'!AZ40</f>
        <v>1224</v>
      </c>
      <c r="BA69" s="438">
        <f>+'Income Statement'!BA40</f>
        <v>1221</v>
      </c>
      <c r="BB69" s="438">
        <f>+'Income Statement'!BB40</f>
        <v>1293</v>
      </c>
      <c r="BC69" s="438">
        <f>+'Income Statement'!BC40</f>
        <v>1395</v>
      </c>
      <c r="BD69" s="438">
        <f>+'Income Statement'!BD40</f>
        <v>1686</v>
      </c>
      <c r="BE69" s="438">
        <f>+'Income Statement'!BE40</f>
        <v>1926</v>
      </c>
      <c r="BF69" s="236">
        <f t="shared" ref="BF69:BI69" si="165">+BF63*BF70/4</f>
        <v>1848.8924999999999</v>
      </c>
      <c r="BG69" s="236">
        <f t="shared" si="165"/>
        <v>1848.8924999999999</v>
      </c>
      <c r="BH69" s="236">
        <f t="shared" si="165"/>
        <v>1848.8924999999999</v>
      </c>
      <c r="BI69" s="236">
        <f t="shared" si="165"/>
        <v>1848.8924999999999</v>
      </c>
      <c r="BJ69" s="236"/>
      <c r="BK69"/>
      <c r="BL69"/>
      <c r="BM69"/>
      <c r="BN69"/>
      <c r="BO69"/>
      <c r="BP69"/>
    </row>
    <row r="70" spans="1:68" s="180" customFormat="1">
      <c r="A70" s="271"/>
      <c r="B70" s="282" t="s">
        <v>252</v>
      </c>
      <c r="C70" s="275"/>
      <c r="D70" s="283">
        <f t="shared" ref="D70:I70" si="166">+D69/D63</f>
        <v>5.2682248489062417E-2</v>
      </c>
      <c r="E70" s="283">
        <f t="shared" si="166"/>
        <v>4.4025003960178881E-2</v>
      </c>
      <c r="F70" s="283">
        <f t="shared" si="166"/>
        <v>3.2659273410436701E-2</v>
      </c>
      <c r="G70" s="283">
        <f t="shared" si="166"/>
        <v>3.9752900504400349E-2</v>
      </c>
      <c r="H70" s="283">
        <f t="shared" si="166"/>
        <v>3.8333759263991823E-2</v>
      </c>
      <c r="I70" s="283">
        <f t="shared" si="166"/>
        <v>4.4999999999999998E-2</v>
      </c>
      <c r="J70" s="210">
        <f>+I70</f>
        <v>4.4999999999999998E-2</v>
      </c>
      <c r="K70" s="210">
        <f t="shared" ref="K70:P70" si="167">+J70</f>
        <v>4.4999999999999998E-2</v>
      </c>
      <c r="L70" s="210">
        <f t="shared" si="167"/>
        <v>4.4999999999999998E-2</v>
      </c>
      <c r="M70" s="210">
        <f t="shared" si="167"/>
        <v>4.4999999999999998E-2</v>
      </c>
      <c r="N70" s="210">
        <f t="shared" si="167"/>
        <v>4.4999999999999998E-2</v>
      </c>
      <c r="O70" s="210">
        <f t="shared" si="167"/>
        <v>4.4999999999999998E-2</v>
      </c>
      <c r="P70" s="210">
        <f t="shared" si="167"/>
        <v>4.4999999999999998E-2</v>
      </c>
      <c r="Q70" s="275"/>
      <c r="R70" s="182"/>
      <c r="S70" s="182"/>
      <c r="T70" s="182"/>
      <c r="U70" s="182"/>
      <c r="V70" s="182"/>
      <c r="W70" s="182"/>
      <c r="X70" s="182"/>
      <c r="Y70" s="182"/>
      <c r="Z70" s="182"/>
      <c r="AA70" s="182"/>
      <c r="AB70" s="182"/>
      <c r="AC70" s="182"/>
      <c r="AD70" s="182"/>
      <c r="AE70" s="182"/>
      <c r="AF70" s="182"/>
      <c r="AG70" s="182"/>
      <c r="AH70" s="179"/>
      <c r="AI70" s="179"/>
      <c r="AJ70" s="179"/>
      <c r="AK70" s="179"/>
      <c r="AL70" s="179">
        <f t="shared" ref="AL70:AU70" si="168">+AL69/AL63*4</f>
        <v>4.4623104732099496E-2</v>
      </c>
      <c r="AM70" s="179">
        <f t="shared" si="168"/>
        <v>4.3898740239181624E-2</v>
      </c>
      <c r="AN70" s="179">
        <f t="shared" si="168"/>
        <v>4.3503929260197055E-2</v>
      </c>
      <c r="AO70" s="179">
        <f t="shared" si="168"/>
        <v>7.8033909183291436E-2</v>
      </c>
      <c r="AP70" s="283">
        <f t="shared" si="168"/>
        <v>4.3066753467875203E-2</v>
      </c>
      <c r="AQ70" s="283">
        <f t="shared" si="168"/>
        <v>4.1926426497882266E-2</v>
      </c>
      <c r="AR70" s="283">
        <f t="shared" si="168"/>
        <v>5.3738842975206612E-2</v>
      </c>
      <c r="AS70" s="283">
        <f t="shared" si="168"/>
        <v>4.1722007627913775E-2</v>
      </c>
      <c r="AT70" s="283">
        <f t="shared" si="168"/>
        <v>3.7282406975418077E-2</v>
      </c>
      <c r="AU70" s="283">
        <f t="shared" si="168"/>
        <v>3.2796692179114982E-2</v>
      </c>
      <c r="AV70" s="283">
        <f t="shared" ref="AV70:BA70" si="169">+AV69/AV63*4</f>
        <v>3.6114393760340348E-2</v>
      </c>
      <c r="AW70" s="283">
        <f t="shared" si="169"/>
        <v>3.624228107585354E-2</v>
      </c>
      <c r="AX70" s="283">
        <f t="shared" si="169"/>
        <v>3.6995318115292372E-2</v>
      </c>
      <c r="AY70" s="283">
        <f t="shared" si="169"/>
        <v>3.9673278879813305E-2</v>
      </c>
      <c r="AZ70" s="283">
        <f t="shared" si="169"/>
        <v>3.9098873192196196E-2</v>
      </c>
      <c r="BA70" s="283">
        <f t="shared" si="169"/>
        <v>3.9542396346943239E-2</v>
      </c>
      <c r="BB70" s="283">
        <f t="shared" ref="BB70:BC70" si="170">+BB69/BB63*4</f>
        <v>3.8814550203003402E-2</v>
      </c>
      <c r="BC70" s="283">
        <f t="shared" si="170"/>
        <v>3.8843061501514044E-2</v>
      </c>
      <c r="BD70" s="283">
        <f t="shared" ref="BD70:BE70" si="171">+BD69/BD63*4</f>
        <v>4.1303535665946016E-2</v>
      </c>
      <c r="BE70" s="283">
        <f t="shared" si="171"/>
        <v>4.6876711328538573E-2</v>
      </c>
      <c r="BF70" s="210">
        <v>4.4999999999999998E-2</v>
      </c>
      <c r="BG70" s="210">
        <f t="shared" ref="BG70:BI70" si="172">+BF70</f>
        <v>4.4999999999999998E-2</v>
      </c>
      <c r="BH70" s="210">
        <f t="shared" si="172"/>
        <v>4.4999999999999998E-2</v>
      </c>
      <c r="BI70" s="210">
        <f t="shared" si="172"/>
        <v>4.4999999999999998E-2</v>
      </c>
      <c r="BJ70" s="271"/>
      <c r="BK70"/>
      <c r="BL70"/>
      <c r="BM70"/>
      <c r="BN70"/>
      <c r="BO70"/>
      <c r="BP70"/>
    </row>
    <row r="71" spans="1:68" s="161" customFormat="1" hidden="1" outlineLevel="1">
      <c r="A71" s="235"/>
      <c r="C71" s="235"/>
      <c r="G71" s="177"/>
      <c r="H71" s="177"/>
      <c r="I71" s="177"/>
      <c r="K71" s="177"/>
      <c r="L71" s="177"/>
      <c r="M71" s="177"/>
      <c r="N71" s="177"/>
      <c r="O71" s="177"/>
      <c r="P71" s="177"/>
      <c r="Q71" s="235"/>
      <c r="AL71" s="163"/>
      <c r="AM71" s="163"/>
      <c r="AN71" s="163"/>
      <c r="AO71" s="163"/>
      <c r="AP71" s="163"/>
      <c r="AQ71" s="163"/>
      <c r="AR71" s="163"/>
      <c r="AS71" s="163"/>
      <c r="AV71" s="163"/>
      <c r="AW71" s="163"/>
      <c r="AX71" s="163"/>
      <c r="AY71" s="163"/>
      <c r="AZ71" s="163"/>
      <c r="BA71" s="163"/>
      <c r="BB71" s="163"/>
      <c r="BC71" s="163"/>
      <c r="BD71" s="163"/>
      <c r="BE71" s="163"/>
      <c r="BF71" s="177"/>
      <c r="BG71" s="177"/>
      <c r="BH71" s="177"/>
      <c r="BI71" s="177"/>
      <c r="BJ71" s="235"/>
      <c r="BK71"/>
      <c r="BL71"/>
      <c r="BM71"/>
      <c r="BN71"/>
      <c r="BO71"/>
      <c r="BP71"/>
    </row>
    <row r="72" spans="1:68" s="234" customFormat="1" hidden="1" outlineLevel="1">
      <c r="A72" s="272"/>
      <c r="B72" s="232" t="s">
        <v>408</v>
      </c>
      <c r="C72" s="272"/>
      <c r="D72" s="233" t="s">
        <v>409</v>
      </c>
      <c r="E72" s="233" t="s">
        <v>409</v>
      </c>
      <c r="F72" s="233" t="s">
        <v>409</v>
      </c>
      <c r="G72" s="233" t="s">
        <v>409</v>
      </c>
      <c r="H72" s="233" t="s">
        <v>409</v>
      </c>
      <c r="I72" s="233" t="s">
        <v>409</v>
      </c>
      <c r="J72" s="233" t="s">
        <v>409</v>
      </c>
      <c r="K72" s="233" t="s">
        <v>409</v>
      </c>
      <c r="L72" s="233" t="s">
        <v>409</v>
      </c>
      <c r="M72" s="233" t="s">
        <v>409</v>
      </c>
      <c r="N72" s="233" t="s">
        <v>409</v>
      </c>
      <c r="O72" s="233" t="s">
        <v>409</v>
      </c>
      <c r="P72" s="233" t="s">
        <v>409</v>
      </c>
      <c r="Q72" s="272"/>
      <c r="R72" s="232"/>
      <c r="S72" s="232"/>
      <c r="T72" s="232"/>
      <c r="U72" s="232"/>
      <c r="V72" s="232"/>
      <c r="W72" s="232"/>
      <c r="X72" s="232"/>
      <c r="Y72" s="232"/>
      <c r="Z72" s="232"/>
      <c r="AA72" s="232"/>
      <c r="AB72" s="232"/>
      <c r="AC72" s="232"/>
      <c r="AD72" s="232"/>
      <c r="AE72" s="232"/>
      <c r="AF72" s="232"/>
      <c r="AG72" s="232"/>
      <c r="AH72" s="232"/>
      <c r="AI72" s="232"/>
      <c r="AJ72" s="232"/>
      <c r="AK72" s="232"/>
      <c r="AL72" s="233" t="s">
        <v>409</v>
      </c>
      <c r="AM72" s="233" t="s">
        <v>409</v>
      </c>
      <c r="AN72" s="233" t="s">
        <v>409</v>
      </c>
      <c r="AO72" s="233" t="s">
        <v>409</v>
      </c>
      <c r="AP72" s="233" t="s">
        <v>409</v>
      </c>
      <c r="AQ72" s="233" t="s">
        <v>409</v>
      </c>
      <c r="AR72" s="233" t="s">
        <v>409</v>
      </c>
      <c r="AS72" s="233" t="s">
        <v>409</v>
      </c>
      <c r="AT72" s="233" t="s">
        <v>409</v>
      </c>
      <c r="AU72" s="233" t="s">
        <v>409</v>
      </c>
      <c r="AV72" s="233" t="s">
        <v>409</v>
      </c>
      <c r="AW72" s="233" t="s">
        <v>409</v>
      </c>
      <c r="AX72" s="233" t="s">
        <v>409</v>
      </c>
      <c r="AY72" s="233" t="s">
        <v>409</v>
      </c>
      <c r="AZ72" s="233" t="s">
        <v>409</v>
      </c>
      <c r="BA72" s="233" t="s">
        <v>409</v>
      </c>
      <c r="BB72" s="233" t="s">
        <v>409</v>
      </c>
      <c r="BC72" s="233" t="s">
        <v>409</v>
      </c>
      <c r="BD72" s="233" t="s">
        <v>409</v>
      </c>
      <c r="BE72" s="233" t="s">
        <v>409</v>
      </c>
      <c r="BF72" s="233" t="s">
        <v>409</v>
      </c>
      <c r="BG72" s="233" t="s">
        <v>409</v>
      </c>
      <c r="BH72" s="233" t="s">
        <v>409</v>
      </c>
      <c r="BI72" s="233" t="s">
        <v>409</v>
      </c>
      <c r="BJ72" s="272"/>
      <c r="BK72"/>
      <c r="BL72"/>
      <c r="BM72"/>
      <c r="BN72"/>
      <c r="BO72"/>
      <c r="BP72"/>
    </row>
    <row r="73" spans="1:68" s="161" customFormat="1" collapsed="1">
      <c r="A73" s="235"/>
      <c r="B73" s="235"/>
      <c r="C73" s="235"/>
      <c r="D73" s="235"/>
      <c r="E73" s="235"/>
      <c r="F73" s="235"/>
      <c r="G73" s="235"/>
      <c r="H73" s="235"/>
      <c r="I73" s="235"/>
      <c r="J73" s="235"/>
      <c r="K73" s="235"/>
      <c r="L73" s="235"/>
      <c r="M73" s="235"/>
      <c r="N73" s="235"/>
      <c r="O73" s="235"/>
      <c r="P73" s="235"/>
      <c r="Q73" s="235"/>
      <c r="R73" s="235"/>
      <c r="S73" s="235"/>
      <c r="T73" s="235"/>
      <c r="U73" s="235"/>
      <c r="V73" s="235"/>
      <c r="W73" s="235"/>
      <c r="X73" s="235"/>
      <c r="Y73" s="235"/>
      <c r="Z73" s="235"/>
      <c r="AA73" s="235"/>
      <c r="AB73" s="235"/>
      <c r="AC73" s="235"/>
      <c r="AD73" s="235"/>
      <c r="AE73" s="235"/>
      <c r="AF73" s="235"/>
      <c r="AG73" s="235"/>
      <c r="AH73" s="235"/>
      <c r="AI73" s="235"/>
      <c r="AJ73" s="235"/>
      <c r="AK73" s="235"/>
      <c r="AL73" s="266"/>
      <c r="AM73" s="266"/>
      <c r="AN73" s="266"/>
      <c r="AO73" s="266"/>
      <c r="AP73" s="266"/>
      <c r="AQ73" s="266"/>
      <c r="AR73" s="266"/>
      <c r="AS73" s="266"/>
      <c r="AT73" s="235"/>
      <c r="AU73" s="235"/>
      <c r="AV73" s="266"/>
      <c r="AW73" s="266"/>
      <c r="AX73" s="266"/>
      <c r="AY73" s="266"/>
      <c r="AZ73" s="266"/>
      <c r="BA73" s="266"/>
      <c r="BB73" s="266"/>
      <c r="BC73" s="266"/>
      <c r="BD73" s="274"/>
      <c r="BE73" s="274"/>
      <c r="BF73" s="235"/>
      <c r="BG73" s="235"/>
      <c r="BH73" s="235"/>
      <c r="BI73" s="235"/>
      <c r="BJ73" s="235"/>
      <c r="BK73"/>
      <c r="BL73"/>
      <c r="BM73"/>
      <c r="BN73"/>
      <c r="BO73"/>
      <c r="BP73"/>
    </row>
    <row r="74" spans="1:68" customFormat="1" ht="15"/>
    <row r="75" spans="1:68">
      <c r="AL75" s="266"/>
      <c r="AM75" s="266"/>
      <c r="AN75" s="266"/>
      <c r="AO75" s="266"/>
      <c r="AP75" s="266"/>
      <c r="AQ75" s="266"/>
      <c r="AR75" s="266"/>
      <c r="AS75" s="266"/>
      <c r="AV75" s="266"/>
    </row>
    <row r="76" spans="1:68">
      <c r="AL76" s="266"/>
      <c r="AM76" s="266"/>
      <c r="AN76" s="266"/>
      <c r="AO76" s="266"/>
      <c r="AP76" s="266"/>
      <c r="AQ76" s="266"/>
      <c r="AR76" s="266"/>
      <c r="AS76" s="266"/>
      <c r="AV76" s="266"/>
    </row>
  </sheetData>
  <conditionalFormatting sqref="D51:F51 Q51:AV51 BF51:BI51">
    <cfRule type="cellIs" dxfId="13" priority="16" stopIfTrue="1" operator="notEqual">
      <formula>0</formula>
    </cfRule>
  </conditionalFormatting>
  <conditionalFormatting sqref="J51:P51">
    <cfRule type="cellIs" dxfId="12" priority="13" stopIfTrue="1" operator="notEqual">
      <formula>0</formula>
    </cfRule>
  </conditionalFormatting>
  <conditionalFormatting sqref="G51">
    <cfRule type="cellIs" dxfId="11" priority="12" stopIfTrue="1" operator="notEqual">
      <formula>0</formula>
    </cfRule>
  </conditionalFormatting>
  <conditionalFormatting sqref="AW51">
    <cfRule type="cellIs" dxfId="10" priority="11" stopIfTrue="1" operator="notEqual">
      <formula>0</formula>
    </cfRule>
  </conditionalFormatting>
  <conditionalFormatting sqref="AX51">
    <cfRule type="cellIs" dxfId="9" priority="10" stopIfTrue="1" operator="notEqual">
      <formula>0</formula>
    </cfRule>
  </conditionalFormatting>
  <conditionalFormatting sqref="AY51">
    <cfRule type="cellIs" dxfId="8" priority="9" stopIfTrue="1" operator="notEqual">
      <formula>0</formula>
    </cfRule>
  </conditionalFormatting>
  <conditionalFormatting sqref="AZ51">
    <cfRule type="cellIs" dxfId="7" priority="8" stopIfTrue="1" operator="notEqual">
      <formula>0</formula>
    </cfRule>
  </conditionalFormatting>
  <conditionalFormatting sqref="H51">
    <cfRule type="cellIs" dxfId="6" priority="7" stopIfTrue="1" operator="notEqual">
      <formula>0</formula>
    </cfRule>
  </conditionalFormatting>
  <conditionalFormatting sqref="BA51">
    <cfRule type="cellIs" dxfId="5" priority="6" stopIfTrue="1" operator="notEqual">
      <formula>0</formula>
    </cfRule>
  </conditionalFormatting>
  <conditionalFormatting sqref="BB51">
    <cfRule type="cellIs" dxfId="4" priority="5" stopIfTrue="1" operator="notEqual">
      <formula>0</formula>
    </cfRule>
  </conditionalFormatting>
  <conditionalFormatting sqref="BC51">
    <cfRule type="cellIs" dxfId="3" priority="4" stopIfTrue="1" operator="notEqual">
      <formula>0</formula>
    </cfRule>
  </conditionalFormatting>
  <conditionalFormatting sqref="BD51">
    <cfRule type="cellIs" dxfId="2" priority="3" stopIfTrue="1" operator="notEqual">
      <formula>0</formula>
    </cfRule>
  </conditionalFormatting>
  <conditionalFormatting sqref="I51">
    <cfRule type="cellIs" dxfId="1" priority="2" stopIfTrue="1" operator="notEqual">
      <formula>0</formula>
    </cfRule>
  </conditionalFormatting>
  <conditionalFormatting sqref="BE51">
    <cfRule type="cellIs" dxfId="0" priority="1" stopIfTrue="1" operator="notEqual">
      <formula>0</formula>
    </cfRule>
  </conditionalFormatting>
  <pageMargins left="0" right="0" top="0" bottom="0" header="0" footer="0"/>
  <pageSetup scale="59" orientation="landscape" r:id="rId1"/>
  <ignoredErrors>
    <ignoredError sqref="J21" formula="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0" tint="-0.34998626667073579"/>
    <pageSetUpPr fitToPage="1"/>
  </sheetPr>
  <dimension ref="B2:BQ94"/>
  <sheetViews>
    <sheetView showGridLines="0" zoomScale="70" zoomScaleNormal="70" workbookViewId="0">
      <pane xSplit="2" ySplit="6" topLeftCell="C27" activePane="bottomRight" state="frozen"/>
      <selection activeCell="C7" sqref="C7"/>
      <selection pane="topRight" activeCell="C7" sqref="C7"/>
      <selection pane="bottomLeft" activeCell="C7" sqref="C7"/>
      <selection pane="bottomRight" activeCell="G61" sqref="G61"/>
    </sheetView>
  </sheetViews>
  <sheetFormatPr defaultRowHeight="15.75" outlineLevelRow="1" outlineLevelCol="1"/>
  <cols>
    <col min="1" max="1" width="1.6640625" style="235" customWidth="1"/>
    <col min="2" max="2" width="25.77734375" style="235" customWidth="1"/>
    <col min="3" max="3" width="1.6640625" style="235" customWidth="1"/>
    <col min="4" max="4" width="8.88671875" style="235" hidden="1" customWidth="1" outlineLevel="1"/>
    <col min="5" max="5" width="8.88671875" style="235" hidden="1" customWidth="1" outlineLevel="1" collapsed="1"/>
    <col min="6" max="6" width="0" style="235" hidden="1" customWidth="1" outlineLevel="1" collapsed="1"/>
    <col min="7" max="7" width="8.88671875" style="235" collapsed="1"/>
    <col min="8" max="8" width="8.88671875" style="235"/>
    <col min="9" max="10" width="8.88671875" style="235" customWidth="1"/>
    <col min="11" max="16" width="8.88671875" style="235" hidden="1" customWidth="1" outlineLevel="1"/>
    <col min="17" max="17" width="1.6640625" style="235" customWidth="1" collapsed="1"/>
    <col min="18" max="37" width="1.6640625" style="235" hidden="1" customWidth="1" outlineLevel="1"/>
    <col min="38" max="41" width="8.88671875" style="235" hidden="1" customWidth="1" outlineLevel="1"/>
    <col min="42" max="42" width="8.88671875" style="235" hidden="1" customWidth="1" outlineLevel="1" collapsed="1"/>
    <col min="43" max="45" width="8.88671875" style="235" hidden="1" customWidth="1" outlineLevel="1"/>
    <col min="46" max="46" width="8.88671875" style="235" hidden="1" customWidth="1" outlineLevel="1" collapsed="1"/>
    <col min="47" max="49" width="8.88671875" style="235" hidden="1" customWidth="1" outlineLevel="1"/>
    <col min="50" max="50" width="0" style="235" hidden="1" customWidth="1" outlineLevel="1" collapsed="1"/>
    <col min="51" max="53" width="0" style="235" hidden="1" customWidth="1" outlineLevel="1"/>
    <col min="54" max="54" width="8.88671875" style="235" collapsed="1"/>
    <col min="55" max="61" width="8.88671875" style="235"/>
    <col min="62" max="62" width="1.6640625" style="235" customWidth="1"/>
    <col min="63" max="63" width="8.88671875" style="235"/>
    <col min="70" max="16384" width="8.88671875" style="235"/>
  </cols>
  <sheetData>
    <row r="2" spans="2:69">
      <c r="B2" s="240" t="s">
        <v>197</v>
      </c>
    </row>
    <row r="3" spans="2:69">
      <c r="B3" s="240" t="s">
        <v>198</v>
      </c>
      <c r="G3" s="273"/>
    </row>
    <row r="4" spans="2:69">
      <c r="B4" s="235" t="s">
        <v>165</v>
      </c>
    </row>
    <row r="5" spans="2:69" ht="16.5" thickBot="1"/>
    <row r="6" spans="2:69" s="251" customFormat="1" ht="16.5" thickBot="1">
      <c r="B6" s="194" t="s">
        <v>257</v>
      </c>
      <c r="C6" s="276"/>
      <c r="D6" s="195">
        <f>'Income Statement'!D6</f>
        <v>2013</v>
      </c>
      <c r="E6" s="196">
        <f>'Income Statement'!E6</f>
        <v>2014</v>
      </c>
      <c r="F6" s="196">
        <f>'Income Statement'!F6</f>
        <v>2015</v>
      </c>
      <c r="G6" s="196">
        <f>'Income Statement'!G6</f>
        <v>2016</v>
      </c>
      <c r="H6" s="196">
        <f>'Income Statement'!H6</f>
        <v>2017</v>
      </c>
      <c r="I6" s="196" t="str">
        <f>'Income Statement'!I6</f>
        <v>2018E</v>
      </c>
      <c r="J6" s="196" t="str">
        <f>'Income Statement'!J6</f>
        <v>2019E</v>
      </c>
      <c r="K6" s="196" t="str">
        <f>'Income Statement'!K6</f>
        <v>2020E</v>
      </c>
      <c r="L6" s="196" t="str">
        <f>'Income Statement'!L6</f>
        <v>2021E</v>
      </c>
      <c r="M6" s="196" t="str">
        <f>'Income Statement'!M6</f>
        <v>2022E</v>
      </c>
      <c r="N6" s="196" t="str">
        <f>'Income Statement'!N6</f>
        <v>2023E</v>
      </c>
      <c r="O6" s="196" t="str">
        <f>'Income Statement'!O6</f>
        <v>2024E</v>
      </c>
      <c r="P6" s="197" t="str">
        <f>'Income Statement'!P6</f>
        <v>2025E</v>
      </c>
      <c r="Q6" s="241"/>
      <c r="R6" s="196"/>
      <c r="S6" s="196"/>
      <c r="T6" s="196"/>
      <c r="U6" s="196"/>
      <c r="V6" s="196"/>
      <c r="W6" s="196"/>
      <c r="X6" s="196"/>
      <c r="Y6" s="196"/>
      <c r="Z6" s="196"/>
      <c r="AA6" s="196"/>
      <c r="AB6" s="196"/>
      <c r="AC6" s="196"/>
      <c r="AD6" s="196"/>
      <c r="AE6" s="196"/>
      <c r="AF6" s="196"/>
      <c r="AG6" s="196"/>
      <c r="AH6" s="196"/>
      <c r="AI6" s="196"/>
      <c r="AJ6" s="196"/>
      <c r="AK6" s="196"/>
      <c r="AL6" s="196" t="s">
        <v>248</v>
      </c>
      <c r="AM6" s="196" t="s">
        <v>249</v>
      </c>
      <c r="AN6" s="196" t="s">
        <v>250</v>
      </c>
      <c r="AO6" s="196" t="s">
        <v>251</v>
      </c>
      <c r="AP6" s="196" t="str">
        <f>'Income Statement'!AP6</f>
        <v>1Q14</v>
      </c>
      <c r="AQ6" s="196" t="str">
        <f>'Income Statement'!AQ6</f>
        <v>2Q14</v>
      </c>
      <c r="AR6" s="196" t="str">
        <f>'Income Statement'!AR6</f>
        <v>3Q14</v>
      </c>
      <c r="AS6" s="196" t="str">
        <f>'Income Statement'!AS6</f>
        <v>4Q14</v>
      </c>
      <c r="AT6" s="196" t="str">
        <f>'Income Statement'!AT6</f>
        <v>1Q15</v>
      </c>
      <c r="AU6" s="196" t="str">
        <f>'Income Statement'!AU6</f>
        <v>2Q15</v>
      </c>
      <c r="AV6" s="196" t="str">
        <f>'Income Statement'!AV6</f>
        <v>3Q15</v>
      </c>
      <c r="AW6" s="196" t="str">
        <f>'Income Statement'!AW6</f>
        <v>4Q15</v>
      </c>
      <c r="AX6" s="196" t="str">
        <f>'Income Statement'!AX6</f>
        <v>1Q16</v>
      </c>
      <c r="AY6" s="196" t="str">
        <f>'Income Statement'!AY6</f>
        <v>2Q16</v>
      </c>
      <c r="AZ6" s="196" t="str">
        <f>'Income Statement'!AZ6</f>
        <v>3Q16</v>
      </c>
      <c r="BA6" s="196" t="str">
        <f>'Income Statement'!BA6</f>
        <v>4Q16</v>
      </c>
      <c r="BB6" s="196" t="str">
        <f>'Income Statement'!BB6</f>
        <v>1Q17</v>
      </c>
      <c r="BC6" s="196" t="str">
        <f>'Income Statement'!BC6</f>
        <v>2Q17</v>
      </c>
      <c r="BD6" s="196" t="str">
        <f>'Income Statement'!BD6</f>
        <v>3Q17</v>
      </c>
      <c r="BE6" s="196" t="str">
        <f>'Income Statement'!BE6</f>
        <v>4Q17</v>
      </c>
      <c r="BF6" s="196" t="str">
        <f>'Income Statement'!BF6</f>
        <v>1Q18E</v>
      </c>
      <c r="BG6" s="196" t="str">
        <f>'Income Statement'!BG6</f>
        <v>2Q18E</v>
      </c>
      <c r="BH6" s="196" t="str">
        <f>'Income Statement'!BH6</f>
        <v>3Q18E</v>
      </c>
      <c r="BI6" s="197" t="str">
        <f>'Income Statement'!BI6</f>
        <v>4Q18E</v>
      </c>
      <c r="BL6"/>
      <c r="BM6"/>
      <c r="BN6"/>
      <c r="BO6"/>
      <c r="BP6"/>
      <c r="BQ6"/>
    </row>
    <row r="8" spans="2:69">
      <c r="B8" s="236" t="s">
        <v>13</v>
      </c>
      <c r="C8" s="236"/>
      <c r="D8" s="236">
        <f>SUM(AL8:AO8)</f>
        <v>18553</v>
      </c>
      <c r="E8" s="236">
        <f>SUM(AP8:AS8)</f>
        <v>6518</v>
      </c>
      <c r="F8" s="236">
        <f>SUM(AT8:AW8)</f>
        <v>13687</v>
      </c>
      <c r="G8" s="236">
        <f>SUM(AX8:BA8)</f>
        <v>13333</v>
      </c>
      <c r="H8" s="236">
        <f>SUM(BB8:BE8)</f>
        <v>29847</v>
      </c>
      <c r="I8" s="236">
        <f ca="1">SUM(BF8:BI8)</f>
        <v>21499.140852612421</v>
      </c>
      <c r="J8" s="236">
        <f ca="1">+'Income Statement'!J53</f>
        <v>21984.39773951417</v>
      </c>
      <c r="K8" s="236">
        <f ca="1">+'Income Statement'!K53</f>
        <v>21933.024809072747</v>
      </c>
      <c r="L8" s="236">
        <f ca="1">+'Income Statement'!L53</f>
        <v>21827.981939006568</v>
      </c>
      <c r="M8" s="236">
        <f ca="1">+'Income Statement'!M53</f>
        <v>21974.11968068908</v>
      </c>
      <c r="N8" s="236">
        <f ca="1">+'Income Statement'!N53</f>
        <v>22056.710557378614</v>
      </c>
      <c r="O8" s="236">
        <f ca="1">+'Income Statement'!O53</f>
        <v>22114.065407436858</v>
      </c>
      <c r="P8" s="236">
        <f ca="1">+'Income Statement'!P53</f>
        <v>22159.039527965782</v>
      </c>
      <c r="Q8" s="236"/>
      <c r="R8" s="236"/>
      <c r="S8" s="236"/>
      <c r="T8" s="236"/>
      <c r="U8" s="236"/>
      <c r="V8" s="236"/>
      <c r="W8" s="236"/>
      <c r="X8" s="236"/>
      <c r="Y8" s="236"/>
      <c r="Z8" s="236"/>
      <c r="AA8" s="236"/>
      <c r="AB8" s="236"/>
      <c r="AC8" s="236"/>
      <c r="AD8" s="236"/>
      <c r="AE8" s="236"/>
      <c r="AF8" s="236"/>
      <c r="AG8" s="236"/>
      <c r="AH8" s="236"/>
      <c r="AI8" s="236"/>
      <c r="AJ8" s="236"/>
      <c r="AK8" s="236"/>
      <c r="AL8" s="261">
        <v>3773</v>
      </c>
      <c r="AM8" s="261">
        <f>7653-AL8</f>
        <v>3880</v>
      </c>
      <c r="AN8" s="261">
        <f>11558-AM8-AL8</f>
        <v>3905</v>
      </c>
      <c r="AO8" s="261">
        <f>18553-AN8-AM8-AL8</f>
        <v>6995</v>
      </c>
      <c r="AP8" s="261">
        <v>3734</v>
      </c>
      <c r="AQ8" s="261">
        <f>7355-AP8</f>
        <v>3621</v>
      </c>
      <c r="AR8" s="261">
        <f>10414-AQ8-AP8</f>
        <v>3059</v>
      </c>
      <c r="AS8" s="261">
        <f>6518-AR8-AQ8-AP8</f>
        <v>-3896</v>
      </c>
      <c r="AT8" s="261">
        <v>3276</v>
      </c>
      <c r="AU8" s="261">
        <f>6422-AT8</f>
        <v>3146</v>
      </c>
      <c r="AV8" s="261">
        <f>9601-AU8-AT8</f>
        <v>3179</v>
      </c>
      <c r="AW8" s="261">
        <f>13687-SUM(AT8:AV8)</f>
        <v>4086</v>
      </c>
      <c r="AX8" s="261">
        <v>3885</v>
      </c>
      <c r="AY8" s="261">
        <f>7400-AX8</f>
        <v>3515</v>
      </c>
      <c r="AZ8" s="261">
        <f>10818-AX8-AY8</f>
        <v>3418</v>
      </c>
      <c r="BA8" s="261">
        <f>13333-AX8-AY8-AZ8</f>
        <v>2515</v>
      </c>
      <c r="BB8" s="261">
        <v>3574</v>
      </c>
      <c r="BC8" s="261">
        <v>4014</v>
      </c>
      <c r="BD8" s="261">
        <v>3123</v>
      </c>
      <c r="BE8" s="261">
        <v>19136</v>
      </c>
      <c r="BF8" s="425">
        <f ca="1">+'Income Statement'!BF53</f>
        <v>5363.2625813923687</v>
      </c>
      <c r="BG8" s="425">
        <f ca="1">+'Income Statement'!BG53</f>
        <v>5545.1293907354893</v>
      </c>
      <c r="BH8" s="425">
        <f ca="1">+'Income Statement'!BH53</f>
        <v>5670.6050524327347</v>
      </c>
      <c r="BI8" s="425">
        <f ca="1">+'Income Statement'!BI53</f>
        <v>4920.1438280518287</v>
      </c>
      <c r="BK8" s="236"/>
    </row>
    <row r="9" spans="2:69">
      <c r="B9" s="236"/>
      <c r="C9" s="236"/>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236"/>
      <c r="AK9" s="236"/>
      <c r="AL9" s="261"/>
      <c r="AM9" s="261"/>
      <c r="AN9" s="261"/>
      <c r="AO9" s="261"/>
      <c r="AP9" s="261"/>
      <c r="AQ9" s="261"/>
      <c r="AR9" s="261"/>
      <c r="AS9" s="261"/>
      <c r="AT9" s="261"/>
      <c r="AU9" s="261"/>
      <c r="AV9" s="261"/>
      <c r="AW9" s="261"/>
      <c r="AX9" s="261"/>
      <c r="AY9" s="261"/>
      <c r="AZ9" s="261"/>
      <c r="BA9" s="261"/>
      <c r="BB9" s="261"/>
      <c r="BC9" s="261"/>
      <c r="BD9" s="261"/>
      <c r="BE9" s="261"/>
      <c r="BF9" s="236"/>
      <c r="BG9" s="236"/>
      <c r="BH9" s="236"/>
      <c r="BI9" s="236"/>
    </row>
    <row r="10" spans="2:69">
      <c r="B10" s="236" t="s">
        <v>23</v>
      </c>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61"/>
      <c r="AM10" s="261"/>
      <c r="AN10" s="261"/>
      <c r="AO10" s="261"/>
      <c r="AP10" s="261"/>
      <c r="AQ10" s="261"/>
      <c r="AR10" s="261"/>
      <c r="AS10" s="261"/>
      <c r="AT10" s="261"/>
      <c r="AU10" s="261"/>
      <c r="AV10" s="261"/>
      <c r="AW10" s="261"/>
      <c r="AX10" s="261"/>
      <c r="AY10" s="261"/>
      <c r="AZ10" s="261"/>
      <c r="BA10" s="261"/>
      <c r="BB10" s="261"/>
      <c r="BC10" s="261"/>
      <c r="BD10" s="261"/>
      <c r="BE10" s="261"/>
      <c r="BF10" s="236"/>
      <c r="BG10" s="236"/>
      <c r="BH10" s="236"/>
      <c r="BI10" s="236"/>
    </row>
    <row r="11" spans="2:69">
      <c r="B11" s="285" t="s">
        <v>259</v>
      </c>
      <c r="C11" s="236"/>
      <c r="D11" s="236">
        <f>SUM(AL11:AO11)</f>
        <v>18395</v>
      </c>
      <c r="E11" s="236">
        <f>SUM(AP11:AS11)</f>
        <v>18273</v>
      </c>
      <c r="F11" s="236">
        <f>SUM(AT11:AW11)</f>
        <v>22016</v>
      </c>
      <c r="G11" s="236">
        <f>SUM(AX11:BA11)</f>
        <v>25847</v>
      </c>
      <c r="H11" s="236">
        <f>SUM(BB11:BE11)</f>
        <v>24387</v>
      </c>
      <c r="I11" s="236">
        <f ca="1">SUM(BF11:BI11)</f>
        <v>18969.669908134376</v>
      </c>
      <c r="J11" s="236">
        <f ca="1">+'Income Statement'!J33</f>
        <v>19637.000349412425</v>
      </c>
      <c r="K11" s="236">
        <f ca="1">+'Income Statement'!K33</f>
        <v>19766.948571851444</v>
      </c>
      <c r="L11" s="236">
        <f ca="1">+'Income Statement'!L33</f>
        <v>19875.209011573184</v>
      </c>
      <c r="M11" s="236">
        <f ca="1">+'Income Statement'!M33</f>
        <v>19968.154680127154</v>
      </c>
      <c r="N11" s="236">
        <f ca="1">+'Income Statement'!N33</f>
        <v>20045.795678656606</v>
      </c>
      <c r="O11" s="236">
        <f ca="1">+'Income Statement'!O33</f>
        <v>20135.227054680192</v>
      </c>
      <c r="P11" s="236">
        <f ca="1">+'Income Statement'!P33</f>
        <v>20253.908334602776</v>
      </c>
      <c r="Q11" s="236"/>
      <c r="R11" s="236"/>
      <c r="S11" s="236"/>
      <c r="T11" s="236"/>
      <c r="U11" s="236"/>
      <c r="V11" s="236"/>
      <c r="W11" s="236"/>
      <c r="X11" s="236"/>
      <c r="Y11" s="236"/>
      <c r="Z11" s="236"/>
      <c r="AA11" s="236"/>
      <c r="AB11" s="236"/>
      <c r="AC11" s="236"/>
      <c r="AD11" s="236"/>
      <c r="AE11" s="236"/>
      <c r="AF11" s="236"/>
      <c r="AG11" s="236"/>
      <c r="AH11" s="236"/>
      <c r="AI11" s="236"/>
      <c r="AJ11" s="236"/>
      <c r="AK11" s="236"/>
      <c r="AL11" s="261">
        <v>4529</v>
      </c>
      <c r="AM11" s="261">
        <f>9100-AL11</f>
        <v>4571</v>
      </c>
      <c r="AN11" s="261">
        <f>13715-AM11-AL11</f>
        <v>4615</v>
      </c>
      <c r="AO11" s="261">
        <f>18395-AN11-AM11-AL11</f>
        <v>4680</v>
      </c>
      <c r="AP11" s="261">
        <v>4617</v>
      </c>
      <c r="AQ11" s="261">
        <f>9167-AP11</f>
        <v>4550</v>
      </c>
      <c r="AR11" s="261">
        <f>13706-AQ11-AP11</f>
        <v>4539</v>
      </c>
      <c r="AS11" s="261">
        <f>18273-AR11-AQ11-AP11</f>
        <v>4567</v>
      </c>
      <c r="AT11" s="261">
        <v>4578</v>
      </c>
      <c r="AU11" s="261">
        <f>9274-AT11</f>
        <v>4696</v>
      </c>
      <c r="AV11" s="261">
        <f>15539-AU11-AT11</f>
        <v>6265</v>
      </c>
      <c r="AW11" s="261">
        <f>22016-AT11-AU11-AV11</f>
        <v>6477</v>
      </c>
      <c r="AX11" s="261">
        <v>6563</v>
      </c>
      <c r="AY11" s="261">
        <f>13139-AX11</f>
        <v>6576</v>
      </c>
      <c r="AZ11" s="261">
        <f>19718-AX11-AY11</f>
        <v>6579</v>
      </c>
      <c r="BA11" s="261">
        <f>25847-AX11-AY11-AZ11</f>
        <v>6129</v>
      </c>
      <c r="BB11" s="261">
        <v>6127</v>
      </c>
      <c r="BC11" s="261">
        <v>6147</v>
      </c>
      <c r="BD11" s="261">
        <v>6042</v>
      </c>
      <c r="BE11" s="261">
        <v>6071</v>
      </c>
      <c r="BF11" s="425">
        <f ca="1">+'Income Statement'!BF33</f>
        <v>4682.1890514778815</v>
      </c>
      <c r="BG11" s="425">
        <f ca="1">+'Income Statement'!BG33</f>
        <v>4694.7666450195184</v>
      </c>
      <c r="BH11" s="425">
        <f ca="1">+'Income Statement'!BH33</f>
        <v>4696.4930562169293</v>
      </c>
      <c r="BI11" s="425">
        <f ca="1">+'Income Statement'!BI33</f>
        <v>4896.2211554200494</v>
      </c>
      <c r="BK11" s="236"/>
    </row>
    <row r="12" spans="2:69">
      <c r="B12" s="285" t="s">
        <v>8</v>
      </c>
      <c r="C12" s="236"/>
      <c r="D12" s="236">
        <f>SUM(AL12:AO12)</f>
        <v>-324</v>
      </c>
      <c r="E12" s="236">
        <f>SUM(AP12:AS12)</f>
        <v>-27</v>
      </c>
      <c r="F12" s="236">
        <f>SUM(AT12:AW12)</f>
        <v>-49</v>
      </c>
      <c r="G12" s="236">
        <f>SUM(AX12:BA12)</f>
        <v>-37</v>
      </c>
      <c r="H12" s="236">
        <f>SUM(BB12:BE12)</f>
        <v>174</v>
      </c>
      <c r="I12" s="236">
        <f>SUM(BF12:BI12)</f>
        <v>0</v>
      </c>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61">
        <v>-185</v>
      </c>
      <c r="AM12" s="261">
        <f>-198-AL12</f>
        <v>-13</v>
      </c>
      <c r="AN12" s="261">
        <f>-232-AM12-AL12</f>
        <v>-34</v>
      </c>
      <c r="AO12" s="261">
        <f>-324-AN12-AM12-AL12</f>
        <v>-92</v>
      </c>
      <c r="AP12" s="261">
        <v>17</v>
      </c>
      <c r="AQ12" s="261">
        <f>-58-AP12</f>
        <v>-75</v>
      </c>
      <c r="AR12" s="261">
        <f>-45-AQ12-AP12</f>
        <v>13</v>
      </c>
      <c r="AS12" s="261">
        <f>-27-AR12-AQ12-AP12</f>
        <v>18</v>
      </c>
      <c r="AT12" s="261">
        <v>0</v>
      </c>
      <c r="AU12" s="261">
        <f>-23-AT12</f>
        <v>-23</v>
      </c>
      <c r="AV12" s="261">
        <f>-36-AU12-AT12</f>
        <v>-13</v>
      </c>
      <c r="AW12" s="261">
        <f>-49-AT12-AU12-AV12</f>
        <v>-13</v>
      </c>
      <c r="AX12" s="261">
        <v>-13</v>
      </c>
      <c r="AY12" s="261">
        <f>-22-AX12</f>
        <v>-9</v>
      </c>
      <c r="AZ12" s="261">
        <f>-22-AX12-AY12</f>
        <v>0</v>
      </c>
      <c r="BA12" s="261">
        <f>-37-AX12-AY12-AZ12</f>
        <v>-15</v>
      </c>
      <c r="BB12" s="261">
        <v>182</v>
      </c>
      <c r="BC12" s="261">
        <v>-15</v>
      </c>
      <c r="BD12" s="261">
        <v>4</v>
      </c>
      <c r="BE12" s="261">
        <v>3</v>
      </c>
      <c r="BF12" s="236"/>
      <c r="BG12" s="236"/>
      <c r="BH12" s="236"/>
      <c r="BI12" s="236"/>
      <c r="BK12" s="236"/>
    </row>
    <row r="13" spans="2:69">
      <c r="B13" s="285" t="s">
        <v>372</v>
      </c>
      <c r="C13" s="236"/>
      <c r="D13" s="236">
        <f>SUM(AL13:AO13)</f>
        <v>954</v>
      </c>
      <c r="E13" s="236">
        <f>SUM(AP13:AS13)</f>
        <v>1032</v>
      </c>
      <c r="F13" s="236">
        <f>SUM(AT13:AW13)</f>
        <v>1416</v>
      </c>
      <c r="G13" s="236">
        <f>SUM(AX13:BA13)</f>
        <v>1474</v>
      </c>
      <c r="H13" s="236">
        <f>SUM(BB13:BE13)</f>
        <v>1642</v>
      </c>
      <c r="I13" s="236">
        <f>SUM(BF13:BI13)</f>
        <v>0</v>
      </c>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61">
        <v>262</v>
      </c>
      <c r="AM13" s="261">
        <f>439-AL13</f>
        <v>177</v>
      </c>
      <c r="AN13" s="261">
        <f>653-AM13-AL13</f>
        <v>214</v>
      </c>
      <c r="AO13" s="261">
        <f>954-AN13-AM13-AL13</f>
        <v>301</v>
      </c>
      <c r="AP13" s="261">
        <v>241</v>
      </c>
      <c r="AQ13" s="261">
        <f>444-AP13</f>
        <v>203</v>
      </c>
      <c r="AR13" s="261">
        <f>692-AQ13-AP13</f>
        <v>248</v>
      </c>
      <c r="AS13" s="261">
        <f>1032-AR13-AQ13-AP13</f>
        <v>340</v>
      </c>
      <c r="AT13" s="261">
        <v>285</v>
      </c>
      <c r="AU13" s="261">
        <f>535-AT13</f>
        <v>250</v>
      </c>
      <c r="AV13" s="261">
        <f>895-AU13-AT13</f>
        <v>360</v>
      </c>
      <c r="AW13" s="261">
        <f>1416-AT13-AU13-AV13</f>
        <v>521</v>
      </c>
      <c r="AX13" s="261">
        <v>374</v>
      </c>
      <c r="AY13" s="261">
        <f>705-AX13</f>
        <v>331</v>
      </c>
      <c r="AZ13" s="261">
        <f>1036-AX13-AY13</f>
        <v>331</v>
      </c>
      <c r="BA13" s="261">
        <f>1474-AX13-AY13-AZ13</f>
        <v>438</v>
      </c>
      <c r="BB13" s="261">
        <v>393</v>
      </c>
      <c r="BC13" s="261">
        <v>402</v>
      </c>
      <c r="BD13" s="261">
        <v>421</v>
      </c>
      <c r="BE13" s="261">
        <v>426</v>
      </c>
      <c r="BF13" s="236"/>
      <c r="BG13" s="236"/>
      <c r="BH13" s="236"/>
      <c r="BI13" s="236"/>
      <c r="BK13" s="236"/>
    </row>
    <row r="14" spans="2:69">
      <c r="B14" s="285" t="s">
        <v>14</v>
      </c>
      <c r="C14" s="236"/>
      <c r="D14" s="236">
        <f>SUM(AL14:AO14)</f>
        <v>6242</v>
      </c>
      <c r="E14" s="236">
        <f>SUM(AP14:AS14)</f>
        <v>1772</v>
      </c>
      <c r="F14" s="236">
        <f>SUM(AT14:AW14)</f>
        <v>4117</v>
      </c>
      <c r="G14" s="236">
        <f>SUM(AX14:BA14)</f>
        <v>2947</v>
      </c>
      <c r="H14" s="236">
        <f>SUM(BB14:BE14)</f>
        <v>-15940</v>
      </c>
      <c r="I14" s="236">
        <f>SUM(BF14:BI14)</f>
        <v>5338.6227769075194</v>
      </c>
      <c r="J14" s="236">
        <f>+'Balance Sheet'!J34-'Balance Sheet'!I34</f>
        <v>2355.9750295896301</v>
      </c>
      <c r="K14" s="236">
        <f>+'Balance Sheet'!K34-'Balance Sheet'!J34</f>
        <v>2389.2322312825345</v>
      </c>
      <c r="L14" s="236">
        <f>+'Balance Sheet'!L34-'Balance Sheet'!K34</f>
        <v>2414.7553034483863</v>
      </c>
      <c r="M14" s="236">
        <f>+'Balance Sheet'!M34-'Balance Sheet'!L34</f>
        <v>2434.5510661505396</v>
      </c>
      <c r="N14" s="236">
        <f>+'Balance Sheet'!N34-'Balance Sheet'!M34</f>
        <v>2454.6530075917835</v>
      </c>
      <c r="O14" s="236">
        <f>+'Balance Sheet'!O34-'Balance Sheet'!N34</f>
        <v>2476.4669382240536</v>
      </c>
      <c r="P14" s="236">
        <f>+'Balance Sheet'!P34-'Balance Sheet'!O34</f>
        <v>2498.7044657231454</v>
      </c>
      <c r="Q14" s="236"/>
      <c r="R14" s="236"/>
      <c r="S14" s="236"/>
      <c r="T14" s="236"/>
      <c r="U14" s="236"/>
      <c r="V14" s="236"/>
      <c r="W14" s="236"/>
      <c r="X14" s="236"/>
      <c r="Y14" s="236"/>
      <c r="Z14" s="236"/>
      <c r="AA14" s="236"/>
      <c r="AB14" s="236"/>
      <c r="AC14" s="236"/>
      <c r="AD14" s="236"/>
      <c r="AE14" s="236"/>
      <c r="AF14" s="236"/>
      <c r="AG14" s="236"/>
      <c r="AH14" s="236"/>
      <c r="AI14" s="236"/>
      <c r="AJ14" s="236"/>
      <c r="AK14" s="236"/>
      <c r="AL14" s="261">
        <v>509</v>
      </c>
      <c r="AM14" s="261">
        <f>926-AL14</f>
        <v>417</v>
      </c>
      <c r="AN14" s="261">
        <f>2389-AM14-AL14</f>
        <v>1463</v>
      </c>
      <c r="AO14" s="261">
        <f>6242-AN14-AM14-AL14</f>
        <v>3853</v>
      </c>
      <c r="AP14" s="261">
        <v>578</v>
      </c>
      <c r="AQ14" s="261">
        <f>546-AP14</f>
        <v>-32</v>
      </c>
      <c r="AR14" s="261">
        <f>1304-AQ14-AP14</f>
        <v>758</v>
      </c>
      <c r="AS14" s="261">
        <f>1772-AR14-AQ14-AP14</f>
        <v>468</v>
      </c>
      <c r="AT14" s="261">
        <v>214</v>
      </c>
      <c r="AU14" s="261">
        <f>1183-AT14</f>
        <v>969</v>
      </c>
      <c r="AV14" s="261">
        <f>1539-AU14-AT14</f>
        <v>356</v>
      </c>
      <c r="AW14" s="261">
        <f>4117-AT14-AU14-AV14</f>
        <v>2578</v>
      </c>
      <c r="AX14" s="261">
        <v>1346</v>
      </c>
      <c r="AY14" s="261">
        <f>1767-AX14</f>
        <v>421</v>
      </c>
      <c r="AZ14" s="261">
        <f>3011-AX14-AY14</f>
        <v>1244</v>
      </c>
      <c r="BA14" s="261">
        <f>2947-AX14-AY14-AZ14</f>
        <v>-64</v>
      </c>
      <c r="BB14" s="261">
        <v>480</v>
      </c>
      <c r="BC14" s="261">
        <v>484</v>
      </c>
      <c r="BD14" s="261">
        <v>2290</v>
      </c>
      <c r="BE14" s="261">
        <v>-19194</v>
      </c>
      <c r="BF14" s="425">
        <f>+'Balance Sheet'!BF34-'Balance Sheet'!BE34</f>
        <v>1334.6556942268799</v>
      </c>
      <c r="BG14" s="425">
        <f>+'Balance Sheet'!BG34-'Balance Sheet'!BF34</f>
        <v>1334.6556942268799</v>
      </c>
      <c r="BH14" s="425">
        <f>+'Balance Sheet'!BH34-'Balance Sheet'!BG34</f>
        <v>1334.6556942268799</v>
      </c>
      <c r="BI14" s="425">
        <f>+'Balance Sheet'!BI34-'Balance Sheet'!BH34</f>
        <v>1334.6556942268799</v>
      </c>
      <c r="BK14" s="236"/>
    </row>
    <row r="15" spans="2:69">
      <c r="B15" s="285" t="s">
        <v>373</v>
      </c>
      <c r="C15" s="236"/>
      <c r="D15" s="236">
        <f>SUM(AL15:AO15)</f>
        <v>-8076</v>
      </c>
      <c r="E15" s="236">
        <f>SUM(AP15:AS15)</f>
        <v>8457</v>
      </c>
      <c r="F15" s="236">
        <f>SUM(AT15:AW15)</f>
        <v>91</v>
      </c>
      <c r="G15" s="236">
        <f>SUM(AX15:BA15)</f>
        <v>-169</v>
      </c>
      <c r="H15" s="236">
        <f>SUM(BB15:BE15)</f>
        <v>-282</v>
      </c>
      <c r="I15" s="236">
        <f>SUM(BF15:BI15)</f>
        <v>0</v>
      </c>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6"/>
      <c r="AJ15" s="236"/>
      <c r="AK15" s="236"/>
      <c r="AL15" s="261">
        <v>-11</v>
      </c>
      <c r="AM15" s="261">
        <f>-260-AL15</f>
        <v>-249</v>
      </c>
      <c r="AN15" s="261">
        <f>-272-AM15-AL15</f>
        <v>-12</v>
      </c>
      <c r="AO15" s="261">
        <f>-492-7584-AN15-AM15-AL15</f>
        <v>-7804</v>
      </c>
      <c r="AP15" s="261">
        <v>-122</v>
      </c>
      <c r="AQ15" s="261">
        <f>-1365-AP15</f>
        <v>-1243</v>
      </c>
      <c r="AR15" s="261">
        <f>-1374-AQ15-AP15</f>
        <v>-9</v>
      </c>
      <c r="AS15" s="261">
        <f>-1532+7869+2120-AR15-AQ15-AP15</f>
        <v>9831</v>
      </c>
      <c r="AT15" s="261">
        <v>-33</v>
      </c>
      <c r="AU15" s="261">
        <f>-50-AT15</f>
        <v>-17</v>
      </c>
      <c r="AV15" s="261">
        <f>-46-AU15-AT15</f>
        <v>4</v>
      </c>
      <c r="AW15" s="261">
        <f>91-AT15-AU15-AV15</f>
        <v>137</v>
      </c>
      <c r="AX15" s="261">
        <v>-44</v>
      </c>
      <c r="AY15" s="261">
        <f>-85-AX15</f>
        <v>-41</v>
      </c>
      <c r="AZ15" s="261">
        <f>-88-AX15-AY15</f>
        <v>-3</v>
      </c>
      <c r="BA15" s="261">
        <f>-169-AX15-AY15-AZ15</f>
        <v>-81</v>
      </c>
      <c r="BB15" s="261">
        <v>61</v>
      </c>
      <c r="BC15" s="261">
        <v>-49</v>
      </c>
      <c r="BD15" s="261">
        <v>-126</v>
      </c>
      <c r="BE15" s="261">
        <v>-168</v>
      </c>
      <c r="BF15" s="236"/>
      <c r="BG15" s="236"/>
      <c r="BH15" s="236"/>
      <c r="BI15" s="236"/>
      <c r="BK15" s="236"/>
    </row>
    <row r="16" spans="2:69">
      <c r="B16" s="285"/>
      <c r="C16" s="236"/>
      <c r="D16" s="236"/>
      <c r="E16" s="236"/>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c r="AI16" s="236"/>
      <c r="AJ16" s="236"/>
      <c r="AK16" s="236"/>
      <c r="AL16" s="261"/>
      <c r="AM16" s="261"/>
      <c r="AN16" s="261"/>
      <c r="AO16" s="261"/>
      <c r="AP16" s="261"/>
      <c r="AQ16" s="261"/>
      <c r="AR16" s="261"/>
      <c r="AS16" s="261"/>
      <c r="AT16" s="261"/>
      <c r="AU16" s="261"/>
      <c r="AV16" s="261"/>
      <c r="AW16" s="261"/>
      <c r="AX16" s="261"/>
      <c r="AY16" s="261"/>
      <c r="AZ16" s="261"/>
      <c r="BA16" s="261"/>
      <c r="BB16" s="261"/>
      <c r="BC16" s="261"/>
      <c r="BD16" s="261"/>
      <c r="BE16" s="261"/>
      <c r="BF16" s="236"/>
      <c r="BG16" s="236"/>
      <c r="BH16" s="236"/>
      <c r="BI16" s="236"/>
      <c r="BK16" s="236"/>
    </row>
    <row r="17" spans="2:69">
      <c r="B17" s="236" t="s">
        <v>374</v>
      </c>
      <c r="C17" s="236"/>
      <c r="D17" s="236"/>
      <c r="E17" s="236"/>
      <c r="F17" s="236"/>
      <c r="G17" s="236"/>
      <c r="H17" s="236"/>
      <c r="I17" s="236"/>
      <c r="J17" s="236"/>
      <c r="K17" s="236"/>
      <c r="L17" s="236"/>
      <c r="M17" s="236"/>
      <c r="N17" s="236"/>
      <c r="O17" s="236"/>
      <c r="P17" s="236"/>
      <c r="Q17" s="236"/>
      <c r="R17" s="236"/>
      <c r="S17" s="236"/>
      <c r="T17" s="236"/>
      <c r="U17" s="236"/>
      <c r="V17" s="236"/>
      <c r="W17" s="236"/>
      <c r="X17" s="236"/>
      <c r="Y17" s="236"/>
      <c r="Z17" s="236"/>
      <c r="AA17" s="236"/>
      <c r="AB17" s="236"/>
      <c r="AC17" s="236"/>
      <c r="AD17" s="236"/>
      <c r="AE17" s="236"/>
      <c r="AF17" s="236"/>
      <c r="AG17" s="236"/>
      <c r="AH17" s="236"/>
      <c r="AI17" s="236"/>
      <c r="AJ17" s="236"/>
      <c r="AK17" s="236"/>
      <c r="AL17" s="261"/>
      <c r="AM17" s="261"/>
      <c r="AN17" s="261"/>
      <c r="AO17" s="261"/>
      <c r="AP17" s="261"/>
      <c r="AQ17" s="261"/>
      <c r="AR17" s="261"/>
      <c r="AS17" s="261"/>
      <c r="AT17" s="261"/>
      <c r="AU17" s="261"/>
      <c r="AV17" s="261"/>
      <c r="AW17" s="261"/>
      <c r="AX17" s="261"/>
      <c r="AY17" s="261"/>
      <c r="AZ17" s="261"/>
      <c r="BA17" s="261"/>
      <c r="BB17" s="261"/>
      <c r="BC17" s="261"/>
      <c r="BD17" s="261"/>
      <c r="BE17" s="261"/>
      <c r="BF17" s="236"/>
      <c r="BG17" s="236"/>
      <c r="BH17" s="236"/>
      <c r="BI17" s="236"/>
      <c r="BK17" s="236"/>
    </row>
    <row r="18" spans="2:69">
      <c r="B18" s="285" t="s">
        <v>15</v>
      </c>
      <c r="C18" s="236"/>
      <c r="D18" s="236">
        <f>SUM(AL18:AO18)</f>
        <v>-1329</v>
      </c>
      <c r="E18" s="236">
        <f>SUM(AP18:AS18)</f>
        <v>-2651</v>
      </c>
      <c r="F18" s="236">
        <f>SUM(AT18:AW18)</f>
        <v>-535</v>
      </c>
      <c r="G18" s="236">
        <f>SUM(AX18:BA18)</f>
        <v>-1003</v>
      </c>
      <c r="H18" s="236">
        <f>SUM(BB18:BE18)</f>
        <v>-986</v>
      </c>
      <c r="I18" s="236">
        <f ca="1">SUM(BF18:BI18)</f>
        <v>1195.7421709028677</v>
      </c>
      <c r="J18" s="236">
        <f ca="1">+'Balance Sheet'!I9-'Balance Sheet'!J9</f>
        <v>-212.32326120110338</v>
      </c>
      <c r="K18" s="236">
        <f ca="1">+'Balance Sheet'!J9-'Balance Sheet'!K9</f>
        <v>-189.71016334451815</v>
      </c>
      <c r="L18" s="236">
        <f ca="1">+'Balance Sheet'!K9-'Balance Sheet'!L9</f>
        <v>-166.93679784987398</v>
      </c>
      <c r="M18" s="236">
        <f ca="1">+'Balance Sheet'!L9-'Balance Sheet'!M9</f>
        <v>-152.34103241680896</v>
      </c>
      <c r="N18" s="236">
        <f ca="1">+'Balance Sheet'!M9-'Balance Sheet'!N9</f>
        <v>-139.94470782839744</v>
      </c>
      <c r="O18" s="236">
        <f ca="1">+'Balance Sheet'!N9-'Balance Sheet'!O9</f>
        <v>-154.02333135442677</v>
      </c>
      <c r="P18" s="236">
        <f ca="1">+'Balance Sheet'!O9-'Balance Sheet'!P9</f>
        <v>-186.08567862502241</v>
      </c>
      <c r="Q18" s="236"/>
      <c r="R18" s="236"/>
      <c r="S18" s="236"/>
      <c r="T18" s="236"/>
      <c r="U18" s="236"/>
      <c r="V18" s="236"/>
      <c r="W18" s="236"/>
      <c r="X18" s="236"/>
      <c r="Y18" s="236"/>
      <c r="Z18" s="236"/>
      <c r="AA18" s="236"/>
      <c r="AB18" s="236"/>
      <c r="AC18" s="236"/>
      <c r="AD18" s="236"/>
      <c r="AE18" s="236"/>
      <c r="AF18" s="236"/>
      <c r="AG18" s="236"/>
      <c r="AH18" s="236"/>
      <c r="AI18" s="236"/>
      <c r="AJ18" s="236"/>
      <c r="AK18" s="236"/>
      <c r="AL18" s="261">
        <v>295</v>
      </c>
      <c r="AM18" s="261">
        <f>-290-AL18</f>
        <v>-585</v>
      </c>
      <c r="AN18" s="261">
        <f>-440-AM18-AL18</f>
        <v>-150</v>
      </c>
      <c r="AO18" s="261">
        <f>-1329-AN18-AM18-AL18</f>
        <v>-889</v>
      </c>
      <c r="AP18" s="261">
        <v>-498</v>
      </c>
      <c r="AQ18" s="261">
        <f>-566-AP18</f>
        <v>-68</v>
      </c>
      <c r="AR18" s="261">
        <f>-1269-AQ18-AP18</f>
        <v>-703</v>
      </c>
      <c r="AS18" s="261">
        <f>-2651-AR18-AQ18-AP18</f>
        <v>-1382</v>
      </c>
      <c r="AT18" s="261">
        <v>739</v>
      </c>
      <c r="AU18" s="261">
        <f>434-AT18</f>
        <v>-305</v>
      </c>
      <c r="AV18" s="261">
        <f>453-AU18-AT18</f>
        <v>19</v>
      </c>
      <c r="AW18" s="261">
        <f>-535-AT18-AU18-AV18</f>
        <v>-988</v>
      </c>
      <c r="AX18" s="261">
        <v>627</v>
      </c>
      <c r="AY18" s="261">
        <f>543-AX18</f>
        <v>-84</v>
      </c>
      <c r="AZ18" s="261">
        <f>-1108-AX18-AY18</f>
        <v>-1651</v>
      </c>
      <c r="BA18" s="261">
        <f>-1003-AX18-AY18-AZ18</f>
        <v>105</v>
      </c>
      <c r="BB18" s="261">
        <v>445</v>
      </c>
      <c r="BC18" s="261">
        <v>-326</v>
      </c>
      <c r="BD18" s="261">
        <v>-771</v>
      </c>
      <c r="BE18" s="261">
        <v>-334</v>
      </c>
      <c r="BF18" s="425">
        <f ca="1">+'Balance Sheet'!BE9-'Balance Sheet'!BF9</f>
        <v>2035.9195076475644</v>
      </c>
      <c r="BG18" s="425">
        <f ca="1">+'Balance Sheet'!BF9-'Balance Sheet'!BG9</f>
        <v>-83.477510476393945</v>
      </c>
      <c r="BH18" s="425">
        <f ca="1">+'Balance Sheet'!BG9-'Balance Sheet'!BH9</f>
        <v>-40.955149164410614</v>
      </c>
      <c r="BI18" s="425">
        <f ca="1">+'Balance Sheet'!BH9-'Balance Sheet'!BI9</f>
        <v>-715.74467710389217</v>
      </c>
      <c r="BK18" s="236"/>
    </row>
    <row r="19" spans="2:69">
      <c r="B19" s="285" t="s">
        <v>16</v>
      </c>
      <c r="C19" s="236"/>
      <c r="D19" s="236">
        <f>SUM(AL19:AO19)</f>
        <v>412</v>
      </c>
      <c r="E19" s="236">
        <f>SUM(AP19:AS19)</f>
        <v>-962</v>
      </c>
      <c r="F19" s="236">
        <f>SUM(AT19:AW19)</f>
        <v>-1789</v>
      </c>
      <c r="G19" s="236">
        <f>SUM(AX19:BA19)</f>
        <v>1708</v>
      </c>
      <c r="H19" s="236">
        <f>SUM(BB19:BE19)</f>
        <v>-777</v>
      </c>
      <c r="I19" s="236">
        <f>SUM(BF19:BI19)</f>
        <v>0</v>
      </c>
      <c r="J19" s="236"/>
      <c r="K19" s="236"/>
      <c r="L19" s="236"/>
      <c r="M19" s="236"/>
      <c r="N19" s="236"/>
      <c r="O19" s="236"/>
      <c r="P19" s="236"/>
      <c r="Q19" s="236"/>
      <c r="R19" s="236"/>
      <c r="S19" s="236"/>
      <c r="T19" s="236"/>
      <c r="U19" s="236"/>
      <c r="V19" s="236"/>
      <c r="W19" s="236"/>
      <c r="X19" s="236"/>
      <c r="Y19" s="236"/>
      <c r="Z19" s="236"/>
      <c r="AA19" s="236"/>
      <c r="AB19" s="236"/>
      <c r="AC19" s="236"/>
      <c r="AD19" s="236"/>
      <c r="AE19" s="236"/>
      <c r="AF19" s="236"/>
      <c r="AG19" s="236"/>
      <c r="AH19" s="236"/>
      <c r="AI19" s="236"/>
      <c r="AJ19" s="236"/>
      <c r="AK19" s="236"/>
      <c r="AL19" s="261">
        <v>864</v>
      </c>
      <c r="AM19" s="261">
        <f>784-AL19</f>
        <v>-80</v>
      </c>
      <c r="AN19" s="261">
        <f>520-AM19-AL19</f>
        <v>-264</v>
      </c>
      <c r="AO19" s="261">
        <f>412-AN19-AM19-AL19</f>
        <v>-108</v>
      </c>
      <c r="AP19" s="261">
        <v>-340</v>
      </c>
      <c r="AQ19" s="261">
        <f>-771-AP19</f>
        <v>-431</v>
      </c>
      <c r="AR19" s="261">
        <f>-813-AQ19-AP19</f>
        <v>-42</v>
      </c>
      <c r="AS19" s="261">
        <f>-962-AR19-AQ19-AP19</f>
        <v>-149</v>
      </c>
      <c r="AT19" s="261">
        <v>13</v>
      </c>
      <c r="AU19" s="261">
        <f>743-AT19</f>
        <v>730</v>
      </c>
      <c r="AV19" s="261">
        <f>350-AU19-AT19</f>
        <v>-393</v>
      </c>
      <c r="AW19" s="261">
        <f>-1789-AT19-AU19-AV19</f>
        <v>-2139</v>
      </c>
      <c r="AX19" s="261">
        <v>612</v>
      </c>
      <c r="AY19" s="261">
        <f>1069-AX19</f>
        <v>457</v>
      </c>
      <c r="AZ19" s="261">
        <f>1805-AX19-AY19</f>
        <v>736</v>
      </c>
      <c r="BA19" s="261">
        <f>1708-AX19-AY19-AZ19</f>
        <v>-97</v>
      </c>
      <c r="BB19" s="261">
        <v>228</v>
      </c>
      <c r="BC19" s="261">
        <v>243</v>
      </c>
      <c r="BD19" s="261">
        <v>-577</v>
      </c>
      <c r="BE19" s="261">
        <v>-671</v>
      </c>
      <c r="BF19" s="236"/>
      <c r="BG19" s="236"/>
      <c r="BH19" s="236"/>
      <c r="BI19" s="236"/>
      <c r="BK19" s="236"/>
    </row>
    <row r="20" spans="2:69">
      <c r="B20" s="285" t="s">
        <v>375</v>
      </c>
      <c r="C20" s="236"/>
      <c r="D20" s="236">
        <f>SUM(AL20:AO20)</f>
        <v>-152</v>
      </c>
      <c r="E20" s="236">
        <f>SUM(AP20:AS20)</f>
        <v>2412</v>
      </c>
      <c r="F20" s="236">
        <f>SUM(AT20:AW20)</f>
        <v>1291</v>
      </c>
      <c r="G20" s="236">
        <f>SUM(AX20:BA20)</f>
        <v>118</v>
      </c>
      <c r="H20" s="236">
        <f>SUM(BB20:BE20)</f>
        <v>816</v>
      </c>
      <c r="I20" s="236">
        <f ca="1">SUM(BF20:BI20)</f>
        <v>-271.82178765305434</v>
      </c>
      <c r="J20" s="236">
        <f ca="1">+'Balance Sheet'!J27-'Balance Sheet'!I27</f>
        <v>-378.39615654695808</v>
      </c>
      <c r="K20" s="236">
        <f ca="1">+'Balance Sheet'!K27-'Balance Sheet'!J27</f>
        <v>-70.765890735150606</v>
      </c>
      <c r="L20" s="236">
        <f ca="1">+'Balance Sheet'!L27-'Balance Sheet'!K27</f>
        <v>-122.2835755851047</v>
      </c>
      <c r="M20" s="236">
        <f ca="1">+'Balance Sheet'!M27-'Balance Sheet'!L27</f>
        <v>-268.26801359314413</v>
      </c>
      <c r="N20" s="236">
        <f ca="1">+'Balance Sheet'!N27-'Balance Sheet'!M27</f>
        <v>-278.98014089901699</v>
      </c>
      <c r="O20" s="236">
        <f ca="1">+'Balance Sheet'!O27-'Balance Sheet'!N27</f>
        <v>-231.81738348986983</v>
      </c>
      <c r="P20" s="236">
        <f ca="1">+'Balance Sheet'!P27-'Balance Sheet'!O27</f>
        <v>-143.63667638364859</v>
      </c>
      <c r="Q20" s="236"/>
      <c r="R20" s="236"/>
      <c r="S20" s="236"/>
      <c r="T20" s="236"/>
      <c r="U20" s="236"/>
      <c r="V20" s="236"/>
      <c r="W20" s="236"/>
      <c r="X20" s="236"/>
      <c r="Y20" s="236"/>
      <c r="Z20" s="236"/>
      <c r="AA20" s="236"/>
      <c r="AB20" s="236"/>
      <c r="AC20" s="236"/>
      <c r="AD20" s="236"/>
      <c r="AE20" s="236"/>
      <c r="AF20" s="236"/>
      <c r="AG20" s="236"/>
      <c r="AH20" s="236"/>
      <c r="AI20" s="236"/>
      <c r="AJ20" s="236"/>
      <c r="AK20" s="236"/>
      <c r="AL20" s="261">
        <v>-1675</v>
      </c>
      <c r="AM20" s="261">
        <f>-340-AL20</f>
        <v>1335</v>
      </c>
      <c r="AN20" s="261">
        <f>-420-AM20-AL20</f>
        <v>-80</v>
      </c>
      <c r="AO20" s="261">
        <f>-152-AN20-AM20-AL20</f>
        <v>268</v>
      </c>
      <c r="AP20" s="261">
        <v>1025</v>
      </c>
      <c r="AQ20" s="261">
        <f>2894-AP20</f>
        <v>1869</v>
      </c>
      <c r="AR20" s="261">
        <f>4763-AQ20-AP20</f>
        <v>1869</v>
      </c>
      <c r="AS20" s="261">
        <f>2412-AR20-AQ20-AP20</f>
        <v>-2351</v>
      </c>
      <c r="AT20" s="261">
        <v>-1817</v>
      </c>
      <c r="AU20" s="261">
        <f>-1125-AT20</f>
        <v>692</v>
      </c>
      <c r="AV20" s="261">
        <f>1279-AU20-AT20</f>
        <v>2404</v>
      </c>
      <c r="AW20" s="261">
        <f>1291-AT20-AU20-AV20</f>
        <v>12</v>
      </c>
      <c r="AX20" s="261">
        <v>-4006</v>
      </c>
      <c r="AY20" s="261">
        <f>-3059-AX20</f>
        <v>947</v>
      </c>
      <c r="AZ20" s="261">
        <f>-1173-AX20-AY20</f>
        <v>1886</v>
      </c>
      <c r="BA20" s="261">
        <f>118-AX20-AY20-AZ20</f>
        <v>1291</v>
      </c>
      <c r="BB20" s="261">
        <v>-1778</v>
      </c>
      <c r="BC20" s="261">
        <v>-983</v>
      </c>
      <c r="BD20" s="261">
        <v>1324</v>
      </c>
      <c r="BE20" s="261">
        <v>2253</v>
      </c>
      <c r="BF20" s="425">
        <f ca="1">+'Balance Sheet'!BF27-'Balance Sheet'!BE27</f>
        <v>-3397.5857469201073</v>
      </c>
      <c r="BG20" s="425">
        <f ca="1">+'Balance Sheet'!BG27-'Balance Sheet'!BF27</f>
        <v>-22.655067001356656</v>
      </c>
      <c r="BH20" s="425">
        <f ca="1">+'Balance Sheet'!BH27-'Balance Sheet'!BG27</f>
        <v>-61.951585394552239</v>
      </c>
      <c r="BI20" s="425">
        <f ca="1">+'Balance Sheet'!BI27-'Balance Sheet'!BH27</f>
        <v>3210.3706116629619</v>
      </c>
      <c r="BK20" s="449"/>
    </row>
    <row r="21" spans="2:69">
      <c r="B21" s="285"/>
      <c r="C21" s="236"/>
      <c r="D21" s="236"/>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c r="AI21" s="236"/>
      <c r="AJ21" s="236"/>
      <c r="AK21" s="236"/>
      <c r="AL21" s="261"/>
      <c r="AM21" s="261"/>
      <c r="AN21" s="261"/>
      <c r="AO21" s="261"/>
      <c r="AP21" s="261"/>
      <c r="AQ21" s="261"/>
      <c r="AR21" s="261"/>
      <c r="AS21" s="261"/>
      <c r="AT21" s="261"/>
      <c r="AU21" s="261"/>
      <c r="AV21" s="261"/>
      <c r="AW21" s="261"/>
      <c r="AX21" s="261"/>
      <c r="AY21" s="261"/>
      <c r="AZ21" s="261"/>
      <c r="BA21" s="261"/>
      <c r="BB21" s="261"/>
      <c r="BC21" s="261"/>
      <c r="BD21" s="261"/>
      <c r="BE21" s="261"/>
      <c r="BF21" s="236"/>
      <c r="BG21" s="236"/>
      <c r="BH21" s="236"/>
      <c r="BI21" s="236"/>
      <c r="BK21" s="236"/>
    </row>
    <row r="22" spans="2:69">
      <c r="B22" s="236" t="s">
        <v>376</v>
      </c>
      <c r="C22" s="236"/>
      <c r="D22" s="236">
        <f>SUM(AL22:AO22)</f>
        <v>-209</v>
      </c>
      <c r="E22" s="236">
        <f>SUM(AP22:AS22)</f>
        <v>-560</v>
      </c>
      <c r="F22" s="236">
        <f>SUM(AT22:AW22)</f>
        <v>-735</v>
      </c>
      <c r="G22" s="236">
        <f>SUM(AX22:BA22)</f>
        <v>-910</v>
      </c>
      <c r="H22" s="236">
        <f>SUM(BB22:BE22)</f>
        <v>-1066</v>
      </c>
      <c r="I22" s="236">
        <f>SUM(BF22:BI22)</f>
        <v>-903.64699999999721</v>
      </c>
      <c r="J22" s="236">
        <f>+'Balance Sheet'!J35+'Balance Sheet'!J44-'Balance Sheet'!I35-'Balance Sheet'!I44</f>
        <v>-2632.5078979983809</v>
      </c>
      <c r="K22" s="236">
        <f>+'Balance Sheet'!K35+'Balance Sheet'!K44-'Balance Sheet'!J35-'Balance Sheet'!J44</f>
        <v>-2708.7854270979678</v>
      </c>
      <c r="L22" s="236">
        <f>+'Balance Sheet'!L35+'Balance Sheet'!L44-'Balance Sheet'!K35-'Balance Sheet'!K44</f>
        <v>-2788.9093810799422</v>
      </c>
      <c r="M22" s="236">
        <f>+'Balance Sheet'!M35+'Balance Sheet'!M44-'Balance Sheet'!L35-'Balance Sheet'!L44</f>
        <v>-2873.0822445675749</v>
      </c>
      <c r="N22" s="236">
        <f>+'Balance Sheet'!N35+'Balance Sheet'!N44-'Balance Sheet'!M35-'Balance Sheet'!M44</f>
        <v>-2961.5176649642567</v>
      </c>
      <c r="O22" s="236">
        <f>+'Balance Sheet'!O35+'Balance Sheet'!O44-'Balance Sheet'!N35-'Balance Sheet'!N44</f>
        <v>-3054.4410966263376</v>
      </c>
      <c r="P22" s="236">
        <f>+'Balance Sheet'!P35+'Balance Sheet'!P44-'Balance Sheet'!O35-'Balance Sheet'!O44</f>
        <v>-3152.0904837962998</v>
      </c>
      <c r="Q22" s="236"/>
      <c r="R22" s="236"/>
      <c r="S22" s="236"/>
      <c r="T22" s="236"/>
      <c r="U22" s="236"/>
      <c r="V22" s="236"/>
      <c r="W22" s="236"/>
      <c r="X22" s="236"/>
      <c r="Y22" s="236"/>
      <c r="Z22" s="236"/>
      <c r="AA22" s="236"/>
      <c r="AB22" s="236"/>
      <c r="AC22" s="236"/>
      <c r="AD22" s="236"/>
      <c r="AE22" s="236"/>
      <c r="AF22" s="236"/>
      <c r="AG22" s="236"/>
      <c r="AH22" s="236"/>
      <c r="AI22" s="236"/>
      <c r="AJ22" s="236"/>
      <c r="AK22" s="236"/>
      <c r="AL22" s="261">
        <v>0</v>
      </c>
      <c r="AM22" s="261">
        <f>0-AL22</f>
        <v>0</v>
      </c>
      <c r="AN22" s="261">
        <f>-175-AM22-AL22</f>
        <v>-175</v>
      </c>
      <c r="AO22" s="261">
        <f>-209-AN22-AM22-AL22</f>
        <v>-34</v>
      </c>
      <c r="AP22" s="261">
        <v>-140</v>
      </c>
      <c r="AQ22" s="261">
        <f>-280-AP22</f>
        <v>-140</v>
      </c>
      <c r="AR22" s="261">
        <f>-420-AQ22-AP22</f>
        <v>-140</v>
      </c>
      <c r="AS22" s="261">
        <f>-560-AR22-AQ22-AP22</f>
        <v>-140</v>
      </c>
      <c r="AT22" s="261">
        <v>-140</v>
      </c>
      <c r="AU22" s="261">
        <f>-455-AT22</f>
        <v>-315</v>
      </c>
      <c r="AV22" s="261">
        <f>-595-AU22-AT22</f>
        <v>-140</v>
      </c>
      <c r="AW22" s="261">
        <f>-735-AT22-AU22-AV22</f>
        <v>-140</v>
      </c>
      <c r="AX22" s="261">
        <v>-140</v>
      </c>
      <c r="AY22" s="261">
        <f>-280-AX22</f>
        <v>-140</v>
      </c>
      <c r="AZ22" s="261">
        <f>-770-AX22-AY22</f>
        <v>-490</v>
      </c>
      <c r="BA22" s="261">
        <f>-910-AX22-AY22-AZ22</f>
        <v>-140</v>
      </c>
      <c r="BB22" s="261">
        <v>-140</v>
      </c>
      <c r="BC22" s="261">
        <v>-140</v>
      </c>
      <c r="BD22" s="261">
        <v>-140</v>
      </c>
      <c r="BE22" s="261">
        <v>-646</v>
      </c>
      <c r="BF22" s="425">
        <f>+'Balance Sheet'!BF35+'Balance Sheet'!BF44-'Balance Sheet'!BE35-'Balance Sheet'!BE44</f>
        <v>-225.9117499999993</v>
      </c>
      <c r="BG22" s="425">
        <f>+'Balance Sheet'!BG35+'Balance Sheet'!BG44-'Balance Sheet'!BF35-'Balance Sheet'!BF44</f>
        <v>-225.9117499999993</v>
      </c>
      <c r="BH22" s="425">
        <f>+'Balance Sheet'!BH35+'Balance Sheet'!BH44-'Balance Sheet'!BG35-'Balance Sheet'!BG44</f>
        <v>-225.9117499999993</v>
      </c>
      <c r="BI22" s="425">
        <f>+'Balance Sheet'!BI35+'Balance Sheet'!BI44-'Balance Sheet'!BH35-'Balance Sheet'!BH44</f>
        <v>-225.9117499999993</v>
      </c>
      <c r="BK22" s="236"/>
    </row>
    <row r="23" spans="2:69">
      <c r="B23" s="236" t="s">
        <v>10</v>
      </c>
      <c r="C23" s="236"/>
      <c r="D23" s="236">
        <f>SUM(AL23:AO23)</f>
        <v>330</v>
      </c>
      <c r="E23" s="236">
        <f>SUM(AP23:AS23)</f>
        <v>-2926</v>
      </c>
      <c r="F23" s="236">
        <f>SUM(AT23:AW23)</f>
        <v>-3630</v>
      </c>
      <c r="G23" s="236">
        <f>SUM(AX23:BA23)</f>
        <v>-3964</v>
      </c>
      <c r="H23" s="236">
        <f>SUM(BB23:BE23)</f>
        <v>1336</v>
      </c>
      <c r="I23" s="236">
        <f>SUM(BF23:BI23)</f>
        <v>0</v>
      </c>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c r="AI23" s="236"/>
      <c r="AJ23" s="236"/>
      <c r="AK23" s="236"/>
      <c r="AL23" s="261">
        <v>-162</v>
      </c>
      <c r="AM23" s="261">
        <f>-103-AL23</f>
        <v>59</v>
      </c>
      <c r="AN23" s="261">
        <f>-417-AM23-AL23</f>
        <v>-314</v>
      </c>
      <c r="AO23" s="261">
        <f>330-AN23-AM23-AL23</f>
        <v>747</v>
      </c>
      <c r="AP23" s="261">
        <v>-313</v>
      </c>
      <c r="AQ23" s="261">
        <f>-497-AP23</f>
        <v>-184</v>
      </c>
      <c r="AR23" s="261">
        <f>-1365-AQ23-AP23</f>
        <v>-868</v>
      </c>
      <c r="AS23" s="261">
        <f>-2926-AR23-AQ23-AP23</f>
        <v>-1561</v>
      </c>
      <c r="AT23" s="261">
        <v>-377</v>
      </c>
      <c r="AU23" s="261">
        <f>-1040-AT23</f>
        <v>-663</v>
      </c>
      <c r="AV23" s="261">
        <f>-2284-AU23-AT23</f>
        <v>-1244</v>
      </c>
      <c r="AW23" s="261">
        <f>-1478-2152-AT23-AU23-AV23</f>
        <v>-1346</v>
      </c>
      <c r="AX23" s="261">
        <v>-1304</v>
      </c>
      <c r="AY23" s="261">
        <f>-2970-AX23</f>
        <v>-1666</v>
      </c>
      <c r="AZ23" s="261">
        <f>207-1883-2349-AX23-AY23</f>
        <v>-1055</v>
      </c>
      <c r="BA23" s="261">
        <f>1024+361-576-2359-2414-AX23-AY23-AZ23</f>
        <v>61</v>
      </c>
      <c r="BB23" s="261">
        <f>579-436-497</f>
        <v>-354</v>
      </c>
      <c r="BC23" s="261">
        <f>-259+328-360-544</f>
        <v>-835</v>
      </c>
      <c r="BD23" s="261">
        <f>209-306-379</f>
        <v>-476</v>
      </c>
      <c r="BE23" s="261">
        <f>-1379-320+269+1517+2914</f>
        <v>3001</v>
      </c>
      <c r="BF23" s="236"/>
      <c r="BG23" s="236"/>
      <c r="BH23" s="236"/>
      <c r="BI23" s="236"/>
      <c r="BK23" s="236"/>
    </row>
    <row r="24" spans="2:69">
      <c r="B24" s="236"/>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K24" s="236"/>
    </row>
    <row r="25" spans="2:69" s="240" customFormat="1">
      <c r="B25" s="252" t="s">
        <v>377</v>
      </c>
      <c r="C25" s="252"/>
      <c r="D25" s="252">
        <f t="shared" ref="D25:J25" si="0">SUM(D8:D24)</f>
        <v>34796</v>
      </c>
      <c r="E25" s="252">
        <f t="shared" si="0"/>
        <v>31338</v>
      </c>
      <c r="F25" s="252">
        <f t="shared" si="0"/>
        <v>35880</v>
      </c>
      <c r="G25" s="252">
        <f>SUM(G8:G24)</f>
        <v>39344</v>
      </c>
      <c r="H25" s="252">
        <f>SUM(H8:H24)</f>
        <v>39151</v>
      </c>
      <c r="I25" s="252">
        <f ca="1">SUM(I8:I24)</f>
        <v>45827.706920904136</v>
      </c>
      <c r="J25" s="252">
        <f t="shared" ca="1" si="0"/>
        <v>40754.145802769781</v>
      </c>
      <c r="K25" s="252">
        <f t="shared" ref="K25:P25" ca="1" si="1">SUM(K8:K24)</f>
        <v>41119.944131029086</v>
      </c>
      <c r="L25" s="252">
        <f t="shared" ca="1" si="1"/>
        <v>41039.81649951321</v>
      </c>
      <c r="M25" s="252">
        <f t="shared" ca="1" si="1"/>
        <v>41083.13413638925</v>
      </c>
      <c r="N25" s="252">
        <f t="shared" ca="1" si="1"/>
        <v>41176.716729935324</v>
      </c>
      <c r="O25" s="252">
        <f t="shared" ca="1" si="1"/>
        <v>41285.477588870468</v>
      </c>
      <c r="P25" s="252">
        <f t="shared" ca="1" si="1"/>
        <v>41429.839489486731</v>
      </c>
      <c r="Q25" s="252"/>
      <c r="R25" s="252"/>
      <c r="S25" s="252"/>
      <c r="T25" s="252"/>
      <c r="U25" s="252"/>
      <c r="V25" s="252"/>
      <c r="W25" s="252"/>
      <c r="X25" s="252"/>
      <c r="Y25" s="252"/>
      <c r="Z25" s="252"/>
      <c r="AA25" s="252"/>
      <c r="AB25" s="252"/>
      <c r="AC25" s="252"/>
      <c r="AD25" s="252"/>
      <c r="AE25" s="252"/>
      <c r="AF25" s="252"/>
      <c r="AG25" s="252"/>
      <c r="AH25" s="252"/>
      <c r="AI25" s="252"/>
      <c r="AJ25" s="252"/>
      <c r="AK25" s="252"/>
      <c r="AL25" s="252">
        <f t="shared" ref="AL25:AV25" si="2">SUM(AL8:AL24)</f>
        <v>8199</v>
      </c>
      <c r="AM25" s="252">
        <f t="shared" si="2"/>
        <v>9512</v>
      </c>
      <c r="AN25" s="252">
        <f t="shared" si="2"/>
        <v>9168</v>
      </c>
      <c r="AO25" s="252">
        <f t="shared" si="2"/>
        <v>7917</v>
      </c>
      <c r="AP25" s="252">
        <f t="shared" si="2"/>
        <v>8799</v>
      </c>
      <c r="AQ25" s="252">
        <f t="shared" si="2"/>
        <v>8070</v>
      </c>
      <c r="AR25" s="252">
        <f t="shared" si="2"/>
        <v>8724</v>
      </c>
      <c r="AS25" s="252">
        <f t="shared" si="2"/>
        <v>5745</v>
      </c>
      <c r="AT25" s="252">
        <f t="shared" si="2"/>
        <v>6738</v>
      </c>
      <c r="AU25" s="252">
        <f t="shared" si="2"/>
        <v>9160</v>
      </c>
      <c r="AV25" s="252">
        <f t="shared" si="2"/>
        <v>10797</v>
      </c>
      <c r="AW25" s="252">
        <f t="shared" ref="AW25:BB25" si="3">SUM(AW8:AW24)</f>
        <v>9185</v>
      </c>
      <c r="AX25" s="252">
        <f t="shared" si="3"/>
        <v>7900</v>
      </c>
      <c r="AY25" s="252">
        <f t="shared" si="3"/>
        <v>10307</v>
      </c>
      <c r="AZ25" s="252">
        <f t="shared" si="3"/>
        <v>10995</v>
      </c>
      <c r="BA25" s="252">
        <f t="shared" si="3"/>
        <v>10142</v>
      </c>
      <c r="BB25" s="252">
        <f t="shared" si="3"/>
        <v>9218</v>
      </c>
      <c r="BC25" s="252">
        <f t="shared" ref="BC25:BD25" si="4">SUM(BC8:BC24)</f>
        <v>8942</v>
      </c>
      <c r="BD25" s="252">
        <f t="shared" si="4"/>
        <v>11114</v>
      </c>
      <c r="BE25" s="252">
        <f t="shared" ref="BE25" si="5">SUM(BE8:BE24)</f>
        <v>9877</v>
      </c>
      <c r="BF25" s="252">
        <f t="shared" ref="BF25:BI25" ca="1" si="6">SUM(BF8:BF24)</f>
        <v>9792.5293378245879</v>
      </c>
      <c r="BG25" s="252">
        <f t="shared" ca="1" si="6"/>
        <v>11242.507402504138</v>
      </c>
      <c r="BH25" s="252">
        <f t="shared" ca="1" si="6"/>
        <v>11372.935318317583</v>
      </c>
      <c r="BI25" s="252">
        <f t="shared" ca="1" si="6"/>
        <v>13419.734862257828</v>
      </c>
      <c r="BK25" s="236"/>
      <c r="BL25"/>
      <c r="BM25"/>
      <c r="BN25"/>
      <c r="BO25"/>
      <c r="BP25"/>
      <c r="BQ25"/>
    </row>
    <row r="26" spans="2:69">
      <c r="B26" s="236"/>
      <c r="C26" s="236"/>
      <c r="D26" s="236"/>
      <c r="E26" s="236"/>
      <c r="F26" s="236"/>
      <c r="G26" s="236"/>
      <c r="H26" s="236"/>
      <c r="I26" s="236"/>
      <c r="J26" s="236"/>
      <c r="K26" s="236"/>
      <c r="L26" s="236"/>
      <c r="M26" s="236"/>
      <c r="N26" s="236"/>
      <c r="O26" s="236"/>
      <c r="P26" s="236"/>
      <c r="Q26" s="236"/>
      <c r="R26" s="236"/>
      <c r="S26" s="236"/>
      <c r="T26" s="236"/>
      <c r="U26" s="236"/>
      <c r="V26" s="236"/>
      <c r="W26" s="236"/>
      <c r="X26" s="236"/>
      <c r="Y26" s="236"/>
      <c r="Z26" s="236"/>
      <c r="AA26" s="236"/>
      <c r="AB26" s="236"/>
      <c r="AC26" s="236"/>
      <c r="AD26" s="236"/>
      <c r="AE26" s="236"/>
      <c r="AF26" s="236"/>
      <c r="AG26" s="236"/>
      <c r="AH26" s="236"/>
      <c r="AI26" s="236"/>
      <c r="AJ26" s="236"/>
      <c r="AK26" s="236"/>
      <c r="AL26" s="236"/>
      <c r="AM26" s="236"/>
      <c r="AN26" s="236"/>
      <c r="AO26" s="236"/>
      <c r="AP26" s="236"/>
      <c r="AQ26" s="236"/>
      <c r="AR26" s="236"/>
      <c r="AS26" s="236"/>
      <c r="AT26" s="236"/>
      <c r="AU26" s="236"/>
      <c r="AV26" s="236"/>
      <c r="AW26" s="236"/>
      <c r="AX26" s="236"/>
      <c r="AY26" s="236"/>
      <c r="AZ26" s="236"/>
      <c r="BA26" s="236"/>
      <c r="BB26" s="236"/>
      <c r="BC26" s="236"/>
      <c r="BD26" s="236"/>
      <c r="BE26" s="236"/>
      <c r="BF26" s="236"/>
      <c r="BG26" s="236"/>
      <c r="BH26" s="236"/>
      <c r="BI26" s="236"/>
    </row>
    <row r="27" spans="2:69">
      <c r="B27" s="236" t="s">
        <v>189</v>
      </c>
      <c r="C27" s="236"/>
      <c r="D27" s="236">
        <f>SUM(AL27:AO27)</f>
        <v>-21228</v>
      </c>
      <c r="E27" s="236">
        <f>SUM(AP27:AS27)</f>
        <v>-21433</v>
      </c>
      <c r="F27" s="236">
        <f>SUM(AT27:AW27)</f>
        <v>-20015</v>
      </c>
      <c r="G27" s="236">
        <f>SUM(AX27:BA27)</f>
        <v>-22408</v>
      </c>
      <c r="H27" s="236">
        <f>SUM(BB27:BE27)</f>
        <v>-21550</v>
      </c>
      <c r="I27" s="236">
        <f ca="1">SUM(BF27:BI27)</f>
        <v>-25068.712605411787</v>
      </c>
      <c r="J27" s="236">
        <f>-J89</f>
        <v>-22994.839274599002</v>
      </c>
      <c r="K27" s="236">
        <f t="shared" ref="K27:P27" si="7">-K89</f>
        <v>-23076.337745646881</v>
      </c>
      <c r="L27" s="236">
        <f t="shared" si="7"/>
        <v>-23123.956367704497</v>
      </c>
      <c r="M27" s="236">
        <f t="shared" si="7"/>
        <v>-23151.304464512799</v>
      </c>
      <c r="N27" s="236">
        <f t="shared" si="7"/>
        <v>-23179.404171942264</v>
      </c>
      <c r="O27" s="236">
        <f t="shared" si="7"/>
        <v>-23232.552803220591</v>
      </c>
      <c r="P27" s="236">
        <f t="shared" si="7"/>
        <v>-23338.550828967702</v>
      </c>
      <c r="Q27" s="236"/>
      <c r="R27" s="236"/>
      <c r="S27" s="236"/>
      <c r="T27" s="236"/>
      <c r="U27" s="236"/>
      <c r="V27" s="236"/>
      <c r="W27" s="236"/>
      <c r="X27" s="236"/>
      <c r="Y27" s="236"/>
      <c r="Z27" s="236"/>
      <c r="AA27" s="236"/>
      <c r="AB27" s="236"/>
      <c r="AC27" s="236"/>
      <c r="AD27" s="236"/>
      <c r="AE27" s="236"/>
      <c r="AF27" s="236"/>
      <c r="AG27" s="236"/>
      <c r="AH27" s="236"/>
      <c r="AI27" s="236"/>
      <c r="AJ27" s="236"/>
      <c r="AK27" s="236"/>
      <c r="AL27" s="261">
        <f>-4252-66</f>
        <v>-4318</v>
      </c>
      <c r="AM27" s="261">
        <f>-9665-140-AL27</f>
        <v>-5487</v>
      </c>
      <c r="AN27" s="261">
        <f>-15565-213-AM27-AL27</f>
        <v>-5973</v>
      </c>
      <c r="AO27" s="261">
        <f>-20944-284-AN27-AM27-AL27</f>
        <v>-5450</v>
      </c>
      <c r="AP27" s="261">
        <f>-5716-55</f>
        <v>-5771</v>
      </c>
      <c r="AQ27" s="261">
        <f>-11649-118-AP27</f>
        <v>-5996</v>
      </c>
      <c r="AR27" s="261">
        <f>-16829-178-AQ27-AP27</f>
        <v>-5240</v>
      </c>
      <c r="AS27" s="261">
        <f>-21199-234-AR27-AQ27-AP27</f>
        <v>-4426</v>
      </c>
      <c r="AT27" s="261">
        <f>-3848-123</f>
        <v>-3971</v>
      </c>
      <c r="AU27" s="261">
        <f>-8328-339-AT27</f>
        <v>-4696</v>
      </c>
      <c r="AV27" s="261">
        <f>-13356-566-AU27-AT27</f>
        <v>-5255</v>
      </c>
      <c r="AW27" s="261">
        <f>-19218-797-AT27-AU27-AV27</f>
        <v>-6093</v>
      </c>
      <c r="AX27" s="261">
        <f>-4451-218</f>
        <v>-4669</v>
      </c>
      <c r="AY27" s="261">
        <f>-9702-437-AX27</f>
        <v>-5470</v>
      </c>
      <c r="AZ27" s="261">
        <f>-15283-669-AX27-AY27</f>
        <v>-5813</v>
      </c>
      <c r="BA27" s="261">
        <f>-21516-892-AX27-AY27-AZ27</f>
        <v>-6456</v>
      </c>
      <c r="BB27" s="261">
        <f>-5784-231</f>
        <v>-6015</v>
      </c>
      <c r="BC27" s="261">
        <f>-4966-242</f>
        <v>-5208</v>
      </c>
      <c r="BD27" s="261">
        <f>-5006-245</f>
        <v>-5251</v>
      </c>
      <c r="BE27" s="261">
        <f>-4891-185</f>
        <v>-5076</v>
      </c>
      <c r="BF27" s="236">
        <f t="shared" ref="BF27:BI27" ca="1" si="8">-BF89</f>
        <v>-5865.9978364347917</v>
      </c>
      <c r="BG27" s="236">
        <f t="shared" ca="1" si="8"/>
        <v>-6128.0310658084436</v>
      </c>
      <c r="BH27" s="236">
        <f t="shared" ca="1" si="8"/>
        <v>-6391.4774564816798</v>
      </c>
      <c r="BI27" s="236">
        <f t="shared" ca="1" si="8"/>
        <v>-6683.2062466868711</v>
      </c>
      <c r="BK27" s="236"/>
    </row>
    <row r="28" spans="2:69">
      <c r="B28" s="236" t="s">
        <v>18</v>
      </c>
      <c r="C28" s="236"/>
      <c r="D28" s="236">
        <f>SUM(AL28:AO28)</f>
        <v>-4113</v>
      </c>
      <c r="E28" s="236">
        <f>SUM(AP28:AS28)</f>
        <v>-3141</v>
      </c>
      <c r="F28" s="236">
        <f>SUM(AT28:AW28)</f>
        <v>-30759</v>
      </c>
      <c r="G28" s="236">
        <f>SUM(AX28:BA28)</f>
        <v>-2959</v>
      </c>
      <c r="H28" s="236">
        <f>SUM(BB28:BE28)</f>
        <v>1123</v>
      </c>
      <c r="I28" s="236">
        <f>SUM(BF28:BI28)</f>
        <v>0</v>
      </c>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61">
        <v>-1045</v>
      </c>
      <c r="AM28" s="261">
        <f>-1182-AL28</f>
        <v>-137</v>
      </c>
      <c r="AN28" s="261">
        <f>-4025-AM28-AL28</f>
        <v>-2843</v>
      </c>
      <c r="AO28" s="261">
        <f>-4113-AN28-AM28-AL28</f>
        <v>-88</v>
      </c>
      <c r="AP28" s="261">
        <v>-662</v>
      </c>
      <c r="AQ28" s="261">
        <f>-857-AP28</f>
        <v>-195</v>
      </c>
      <c r="AR28" s="261">
        <f>-2053-AQ28-AP28</f>
        <v>-1196</v>
      </c>
      <c r="AS28" s="261">
        <f>-3141-AR28-AQ28-AP28</f>
        <v>-1088</v>
      </c>
      <c r="AT28" s="261">
        <v>-19514</v>
      </c>
      <c r="AU28" s="261">
        <f>-20954-AT28</f>
        <v>-1440</v>
      </c>
      <c r="AV28" s="261">
        <f>-30694-AU28-AT28</f>
        <v>-9740</v>
      </c>
      <c r="AW28" s="261">
        <f>-30759-AT28-AU28-AV28</f>
        <v>-65</v>
      </c>
      <c r="AX28" s="261">
        <v>-165</v>
      </c>
      <c r="AY28" s="261">
        <f>-485-AX28</f>
        <v>-320</v>
      </c>
      <c r="AZ28" s="261">
        <f>-2922-AX28-AY28</f>
        <v>-2437</v>
      </c>
      <c r="BA28" s="261">
        <f>-2959-AX28-AY28-AZ28</f>
        <v>-37</v>
      </c>
      <c r="BB28" s="261">
        <v>-162</v>
      </c>
      <c r="BC28" s="261">
        <v>1386</v>
      </c>
      <c r="BD28" s="261">
        <v>-70</v>
      </c>
      <c r="BE28" s="261">
        <v>-31</v>
      </c>
      <c r="BF28" s="261"/>
      <c r="BG28" s="261"/>
      <c r="BH28" s="261"/>
      <c r="BI28" s="261"/>
      <c r="BK28" s="236"/>
    </row>
    <row r="29" spans="2:69">
      <c r="B29" s="236" t="s">
        <v>17</v>
      </c>
      <c r="C29" s="236"/>
      <c r="D29" s="236">
        <f>SUM(AL29:AO29)</f>
        <v>1923</v>
      </c>
      <c r="E29" s="236">
        <f>SUM(AP29:AS29)</f>
        <v>8123</v>
      </c>
      <c r="F29" s="236">
        <f>SUM(AT29:AW29)</f>
        <v>83</v>
      </c>
      <c r="G29" s="236">
        <f>SUM(AX29:BA29)</f>
        <v>646</v>
      </c>
      <c r="H29" s="236">
        <f>SUM(BB29:BE29)</f>
        <v>59</v>
      </c>
      <c r="I29" s="236">
        <f>SUM(BF29:BI29)</f>
        <v>0</v>
      </c>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c r="AL29" s="261">
        <v>5</v>
      </c>
      <c r="AM29" s="261">
        <f>825-AL29</f>
        <v>820</v>
      </c>
      <c r="AN29" s="261">
        <f>846-AM29-AL29</f>
        <v>21</v>
      </c>
      <c r="AO29" s="261">
        <f>1923-AN29-AM29-AL29</f>
        <v>1077</v>
      </c>
      <c r="AP29" s="261">
        <v>351</v>
      </c>
      <c r="AQ29" s="261">
        <f>4921-AP29</f>
        <v>4570</v>
      </c>
      <c r="AR29" s="261">
        <f>6074-AQ29-AP29</f>
        <v>1153</v>
      </c>
      <c r="AS29" s="261">
        <f>8123-AR29-AQ29-AP29</f>
        <v>2049</v>
      </c>
      <c r="AT29" s="261">
        <v>8</v>
      </c>
      <c r="AU29" s="261">
        <f>72-AT29</f>
        <v>64</v>
      </c>
      <c r="AV29" s="261">
        <f>79-AU29-AT29</f>
        <v>7</v>
      </c>
      <c r="AW29" s="261">
        <f>83-AT29-AU29-AV29</f>
        <v>4</v>
      </c>
      <c r="AX29" s="261">
        <v>81</v>
      </c>
      <c r="AY29" s="261">
        <f>107-AX29</f>
        <v>26</v>
      </c>
      <c r="AZ29" s="261">
        <f>184-AX29-AY29</f>
        <v>77</v>
      </c>
      <c r="BA29" s="261">
        <f>646-AX29-AY29-AZ29</f>
        <v>462</v>
      </c>
      <c r="BB29" s="261">
        <v>6</v>
      </c>
      <c r="BC29" s="261">
        <v>45</v>
      </c>
      <c r="BD29" s="261">
        <v>5</v>
      </c>
      <c r="BE29" s="261">
        <v>3</v>
      </c>
      <c r="BF29" s="236"/>
      <c r="BG29" s="236"/>
      <c r="BH29" s="236"/>
      <c r="BI29" s="236"/>
    </row>
    <row r="30" spans="2:69">
      <c r="B30" s="236" t="s">
        <v>392</v>
      </c>
      <c r="C30" s="236"/>
      <c r="D30" s="236">
        <f>SUM(AL30:AO30)</f>
        <v>0</v>
      </c>
      <c r="E30" s="236">
        <f>SUM(AP30:AS30)</f>
        <v>-1890</v>
      </c>
      <c r="F30" s="236">
        <f>SUM(AT30:AW30)</f>
        <v>1545</v>
      </c>
      <c r="G30" s="236">
        <f>SUM(AX30:BA30)</f>
        <v>506</v>
      </c>
      <c r="H30" s="236">
        <f>SUM(BB30:BE30)</f>
        <v>-3</v>
      </c>
      <c r="I30" s="236">
        <f>SUM(BF30:BI30)</f>
        <v>0</v>
      </c>
      <c r="J30" s="236"/>
      <c r="K30" s="236"/>
      <c r="L30" s="236"/>
      <c r="M30" s="236"/>
      <c r="N30" s="236"/>
      <c r="O30" s="236"/>
      <c r="P30" s="236"/>
      <c r="Q30" s="236"/>
      <c r="R30" s="236"/>
      <c r="S30" s="236"/>
      <c r="T30" s="236"/>
      <c r="U30" s="236"/>
      <c r="V30" s="236"/>
      <c r="W30" s="236"/>
      <c r="X30" s="236"/>
      <c r="Y30" s="236"/>
      <c r="Z30" s="236"/>
      <c r="AA30" s="236"/>
      <c r="AB30" s="236"/>
      <c r="AC30" s="236"/>
      <c r="AD30" s="236"/>
      <c r="AE30" s="236"/>
      <c r="AF30" s="236"/>
      <c r="AG30" s="236"/>
      <c r="AH30" s="236"/>
      <c r="AI30" s="236"/>
      <c r="AJ30" s="236"/>
      <c r="AK30" s="236"/>
      <c r="AL30" s="261">
        <v>0</v>
      </c>
      <c r="AM30" s="261">
        <v>0</v>
      </c>
      <c r="AN30" s="261">
        <f>0-AM30</f>
        <v>0</v>
      </c>
      <c r="AO30" s="261">
        <f>0-AN30-AM30-AL30</f>
        <v>0</v>
      </c>
      <c r="AP30" s="261">
        <v>0</v>
      </c>
      <c r="AQ30" s="261">
        <v>0</v>
      </c>
      <c r="AR30" s="261">
        <f>-1996-AQ30-AP30</f>
        <v>-1996</v>
      </c>
      <c r="AS30" s="261">
        <f>-1890-AR30-AQ30-AP30</f>
        <v>106</v>
      </c>
      <c r="AT30" s="261">
        <v>1890</v>
      </c>
      <c r="AU30" s="261">
        <f>1890-AT30</f>
        <v>0</v>
      </c>
      <c r="AV30" s="261">
        <f>1490-AU30-AT30</f>
        <v>-400</v>
      </c>
      <c r="AW30" s="261">
        <f>1545-AT30-AU30-AV30</f>
        <v>55</v>
      </c>
      <c r="AX30" s="261">
        <v>445</v>
      </c>
      <c r="AY30" s="261">
        <f>500-AX30</f>
        <v>55</v>
      </c>
      <c r="AZ30" s="261">
        <f>501-AX30-AY30</f>
        <v>1</v>
      </c>
      <c r="BA30" s="261">
        <f>506-AX30-AY30-AZ30</f>
        <v>5</v>
      </c>
      <c r="BB30" s="261"/>
      <c r="BC30" s="261"/>
      <c r="BD30" s="261">
        <v>-2</v>
      </c>
      <c r="BE30" s="261">
        <f>-2+1</f>
        <v>-1</v>
      </c>
      <c r="BF30" s="236"/>
      <c r="BG30" s="236"/>
      <c r="BH30" s="236"/>
      <c r="BI30" s="236"/>
    </row>
    <row r="31" spans="2:69">
      <c r="B31" s="236" t="s">
        <v>10</v>
      </c>
      <c r="C31" s="236"/>
      <c r="D31" s="236">
        <f>SUM(AL31:AO31)</f>
        <v>294</v>
      </c>
      <c r="E31" s="236">
        <f>SUM(AP31:AS31)</f>
        <v>4</v>
      </c>
      <c r="F31" s="236">
        <f>SUM(AT31:AW31)</f>
        <v>2</v>
      </c>
      <c r="G31" s="236">
        <f>SUM(AX31:BA31)</f>
        <v>0</v>
      </c>
      <c r="H31" s="236">
        <f>SUM(BB31:BE31)</f>
        <v>0</v>
      </c>
      <c r="I31" s="236">
        <f>SUM(BF31:BI31)</f>
        <v>0</v>
      </c>
      <c r="J31" s="236"/>
      <c r="K31" s="236"/>
      <c r="L31" s="236"/>
      <c r="M31" s="236"/>
      <c r="N31" s="236"/>
      <c r="O31" s="236"/>
      <c r="P31" s="236"/>
      <c r="Q31" s="236"/>
      <c r="R31" s="236"/>
      <c r="S31" s="236"/>
      <c r="T31" s="236"/>
      <c r="U31" s="236"/>
      <c r="V31" s="236"/>
      <c r="W31" s="236"/>
      <c r="X31" s="236"/>
      <c r="Y31" s="236"/>
      <c r="Z31" s="236"/>
      <c r="AA31" s="236"/>
      <c r="AB31" s="236"/>
      <c r="AC31" s="236"/>
      <c r="AD31" s="236"/>
      <c r="AE31" s="236"/>
      <c r="AF31" s="236"/>
      <c r="AG31" s="236"/>
      <c r="AH31" s="236"/>
      <c r="AI31" s="236"/>
      <c r="AJ31" s="236"/>
      <c r="AK31" s="236"/>
      <c r="AL31" s="261">
        <v>1</v>
      </c>
      <c r="AM31" s="261">
        <f>301-4-AL31</f>
        <v>296</v>
      </c>
      <c r="AN31" s="261">
        <f>301-4-AM31-AL31</f>
        <v>0</v>
      </c>
      <c r="AO31" s="261">
        <f>301-7-AN31-AM31-AL31</f>
        <v>-3</v>
      </c>
      <c r="AP31" s="261">
        <v>0</v>
      </c>
      <c r="AQ31" s="261">
        <f>2-AP31</f>
        <v>2</v>
      </c>
      <c r="AR31" s="261">
        <f>3-1-AQ31-AP31</f>
        <v>0</v>
      </c>
      <c r="AS31" s="261">
        <f>4-AR31-AQ31-AP31</f>
        <v>2</v>
      </c>
      <c r="AT31" s="261">
        <v>0</v>
      </c>
      <c r="AU31" s="261">
        <f>-1-AT31</f>
        <v>-1</v>
      </c>
      <c r="AV31" s="261">
        <f>0-AU31-AT31</f>
        <v>1</v>
      </c>
      <c r="AW31" s="261">
        <f>1+1-AU31-AT31-AV31</f>
        <v>2</v>
      </c>
      <c r="AX31" s="261">
        <f>1+1-AV31-AU31-AW31</f>
        <v>0</v>
      </c>
      <c r="AY31" s="261">
        <f>0-AX31</f>
        <v>0</v>
      </c>
      <c r="AZ31" s="261">
        <f>0-AY31-AX31</f>
        <v>0</v>
      </c>
      <c r="BA31" s="261">
        <f>0-AZ31-AY31</f>
        <v>0</v>
      </c>
      <c r="BB31" s="261"/>
      <c r="BC31" s="261"/>
      <c r="BD31" s="261"/>
      <c r="BE31" s="261"/>
      <c r="BF31" s="236"/>
      <c r="BG31" s="236"/>
      <c r="BH31" s="236"/>
      <c r="BI31" s="236"/>
    </row>
    <row r="32" spans="2:69">
      <c r="B32" s="236"/>
      <c r="C32" s="236"/>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c r="AL32" s="236"/>
      <c r="AM32" s="236"/>
      <c r="AN32" s="236"/>
      <c r="AO32" s="236"/>
      <c r="AP32" s="236"/>
      <c r="AQ32" s="236"/>
      <c r="AR32" s="236"/>
      <c r="AS32" s="236"/>
      <c r="AT32" s="236"/>
      <c r="AU32" s="236"/>
      <c r="AV32" s="236"/>
      <c r="AW32" s="236"/>
      <c r="AX32" s="236"/>
      <c r="AY32" s="236"/>
      <c r="AZ32" s="236"/>
      <c r="BA32" s="236"/>
      <c r="BB32" s="236"/>
      <c r="BC32" s="236"/>
      <c r="BD32" s="236"/>
      <c r="BE32" s="236"/>
      <c r="BF32" s="236"/>
      <c r="BG32" s="236"/>
      <c r="BH32" s="236"/>
      <c r="BI32" s="236"/>
    </row>
    <row r="33" spans="2:69" s="240" customFormat="1">
      <c r="B33" s="252" t="s">
        <v>378</v>
      </c>
      <c r="C33" s="252"/>
      <c r="D33" s="252">
        <f t="shared" ref="D33:J33" si="9">SUM(D27:D32)</f>
        <v>-23124</v>
      </c>
      <c r="E33" s="252">
        <f t="shared" si="9"/>
        <v>-18337</v>
      </c>
      <c r="F33" s="252">
        <f t="shared" si="9"/>
        <v>-49144</v>
      </c>
      <c r="G33" s="252">
        <f>SUM(G27:G32)</f>
        <v>-24215</v>
      </c>
      <c r="H33" s="252">
        <f>SUM(H27:H32)</f>
        <v>-20371</v>
      </c>
      <c r="I33" s="252">
        <f ca="1">SUM(I27:I32)</f>
        <v>-25068.712605411787</v>
      </c>
      <c r="J33" s="252">
        <f t="shared" si="9"/>
        <v>-22994.839274599002</v>
      </c>
      <c r="K33" s="252">
        <f t="shared" ref="K33:P33" si="10">SUM(K27:K32)</f>
        <v>-23076.337745646881</v>
      </c>
      <c r="L33" s="252">
        <f t="shared" si="10"/>
        <v>-23123.956367704497</v>
      </c>
      <c r="M33" s="252">
        <f t="shared" si="10"/>
        <v>-23151.304464512799</v>
      </c>
      <c r="N33" s="252">
        <f t="shared" si="10"/>
        <v>-23179.404171942264</v>
      </c>
      <c r="O33" s="252">
        <f t="shared" si="10"/>
        <v>-23232.552803220591</v>
      </c>
      <c r="P33" s="252">
        <f t="shared" si="10"/>
        <v>-23338.550828967702</v>
      </c>
      <c r="Q33" s="252"/>
      <c r="R33" s="252"/>
      <c r="S33" s="252"/>
      <c r="T33" s="252"/>
      <c r="U33" s="252"/>
      <c r="V33" s="252"/>
      <c r="W33" s="252"/>
      <c r="X33" s="252"/>
      <c r="Y33" s="252"/>
      <c r="Z33" s="252"/>
      <c r="AA33" s="252"/>
      <c r="AB33" s="252"/>
      <c r="AC33" s="252"/>
      <c r="AD33" s="252"/>
      <c r="AE33" s="252"/>
      <c r="AF33" s="252"/>
      <c r="AG33" s="252"/>
      <c r="AH33" s="252"/>
      <c r="AI33" s="252"/>
      <c r="AJ33" s="252"/>
      <c r="AK33" s="252"/>
      <c r="AL33" s="252">
        <f t="shared" ref="AL33:AV33" si="11">SUM(AL27:AL32)</f>
        <v>-5357</v>
      </c>
      <c r="AM33" s="252">
        <f t="shared" si="11"/>
        <v>-4508</v>
      </c>
      <c r="AN33" s="252">
        <f t="shared" si="11"/>
        <v>-8795</v>
      </c>
      <c r="AO33" s="252">
        <f t="shared" si="11"/>
        <v>-4464</v>
      </c>
      <c r="AP33" s="252">
        <f t="shared" si="11"/>
        <v>-6082</v>
      </c>
      <c r="AQ33" s="252">
        <f t="shared" si="11"/>
        <v>-1619</v>
      </c>
      <c r="AR33" s="252">
        <f t="shared" si="11"/>
        <v>-7279</v>
      </c>
      <c r="AS33" s="252">
        <f t="shared" si="11"/>
        <v>-3357</v>
      </c>
      <c r="AT33" s="252">
        <f t="shared" si="11"/>
        <v>-21587</v>
      </c>
      <c r="AU33" s="252">
        <f t="shared" si="11"/>
        <v>-6073</v>
      </c>
      <c r="AV33" s="252">
        <f t="shared" si="11"/>
        <v>-15387</v>
      </c>
      <c r="AW33" s="252">
        <f t="shared" ref="AW33:BB33" si="12">SUM(AW27:AW32)</f>
        <v>-6097</v>
      </c>
      <c r="AX33" s="252">
        <f t="shared" si="12"/>
        <v>-4308</v>
      </c>
      <c r="AY33" s="252">
        <f t="shared" si="12"/>
        <v>-5709</v>
      </c>
      <c r="AZ33" s="252">
        <f t="shared" si="12"/>
        <v>-8172</v>
      </c>
      <c r="BA33" s="252">
        <f t="shared" si="12"/>
        <v>-6026</v>
      </c>
      <c r="BB33" s="252">
        <f t="shared" si="12"/>
        <v>-6171</v>
      </c>
      <c r="BC33" s="252">
        <f t="shared" ref="BC33:BD33" si="13">SUM(BC27:BC32)</f>
        <v>-3777</v>
      </c>
      <c r="BD33" s="252">
        <f t="shared" si="13"/>
        <v>-5318</v>
      </c>
      <c r="BE33" s="252">
        <f t="shared" ref="BE33" si="14">SUM(BE27:BE32)</f>
        <v>-5105</v>
      </c>
      <c r="BF33" s="252">
        <f t="shared" ref="BF33:BI33" ca="1" si="15">SUM(BF27:BF32)</f>
        <v>-5865.9978364347917</v>
      </c>
      <c r="BG33" s="252">
        <f t="shared" ca="1" si="15"/>
        <v>-6128.0310658084436</v>
      </c>
      <c r="BH33" s="252">
        <f t="shared" ca="1" si="15"/>
        <v>-6391.4774564816798</v>
      </c>
      <c r="BI33" s="252">
        <f t="shared" ca="1" si="15"/>
        <v>-6683.2062466868711</v>
      </c>
      <c r="BK33" s="236"/>
      <c r="BL33"/>
      <c r="BM33"/>
      <c r="BN33"/>
      <c r="BO33"/>
      <c r="BP33"/>
      <c r="BQ33"/>
    </row>
    <row r="34" spans="2:69" s="240" customFormat="1">
      <c r="B34" s="252"/>
      <c r="C34" s="252"/>
      <c r="D34" s="252"/>
      <c r="E34" s="252"/>
      <c r="F34" s="252"/>
      <c r="G34" s="252"/>
      <c r="H34" s="252"/>
      <c r="I34" s="252"/>
      <c r="J34" s="252"/>
      <c r="K34" s="252"/>
      <c r="L34" s="252"/>
      <c r="M34" s="252"/>
      <c r="N34" s="252"/>
      <c r="O34" s="252"/>
      <c r="P34" s="252"/>
      <c r="Q34" s="252"/>
      <c r="R34" s="252"/>
      <c r="S34" s="252"/>
      <c r="T34" s="252"/>
      <c r="U34" s="252"/>
      <c r="V34" s="252"/>
      <c r="W34" s="252"/>
      <c r="X34" s="252"/>
      <c r="Y34" s="252"/>
      <c r="Z34" s="252"/>
      <c r="AA34" s="252"/>
      <c r="AB34" s="252"/>
      <c r="AC34" s="252"/>
      <c r="AD34" s="252"/>
      <c r="AE34" s="252"/>
      <c r="AF34" s="252"/>
      <c r="AG34" s="252"/>
      <c r="AH34" s="252"/>
      <c r="AI34" s="252"/>
      <c r="AJ34" s="252"/>
      <c r="AK34" s="252"/>
      <c r="AL34" s="252"/>
      <c r="AM34" s="252"/>
      <c r="AN34" s="252"/>
      <c r="AO34" s="252"/>
      <c r="AP34" s="252"/>
      <c r="AQ34" s="252"/>
      <c r="AR34" s="252"/>
      <c r="AS34" s="252"/>
      <c r="AT34" s="252"/>
      <c r="AU34" s="252"/>
      <c r="AV34" s="252"/>
      <c r="AW34" s="252"/>
      <c r="AX34" s="252"/>
      <c r="AY34" s="252"/>
      <c r="AZ34" s="252"/>
      <c r="BA34" s="252"/>
      <c r="BB34" s="252"/>
      <c r="BC34" s="252"/>
      <c r="BD34" s="252"/>
      <c r="BE34" s="252"/>
      <c r="BF34" s="252"/>
      <c r="BG34" s="252"/>
      <c r="BH34" s="252"/>
      <c r="BI34" s="252"/>
      <c r="BL34"/>
      <c r="BM34"/>
      <c r="BN34"/>
      <c r="BO34"/>
      <c r="BP34"/>
      <c r="BQ34"/>
    </row>
    <row r="35" spans="2:69">
      <c r="B35" s="236" t="s">
        <v>379</v>
      </c>
      <c r="C35" s="236"/>
      <c r="D35" s="236">
        <f t="shared" ref="D35:D41" si="16">SUM(AL35:AO35)</f>
        <v>20</v>
      </c>
      <c r="E35" s="236">
        <f t="shared" ref="E35:E41" si="17">SUM(AP35:AS35)</f>
        <v>-16</v>
      </c>
      <c r="F35" s="236">
        <f t="shared" ref="F35:F41" si="18">SUM(AT35:AW35)</f>
        <v>-1</v>
      </c>
      <c r="G35" s="236">
        <f t="shared" ref="G35:G41" si="19">SUM(AX35:BA35)</f>
        <v>0</v>
      </c>
      <c r="H35" s="236">
        <f t="shared" ref="H35:H41" si="20">SUM(BB35:BE35)</f>
        <v>-2</v>
      </c>
      <c r="I35" s="236">
        <f t="shared" ref="I35:I41" si="21">SUM(BF35:BI35)</f>
        <v>0</v>
      </c>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61">
        <f>274+1474</f>
        <v>1748</v>
      </c>
      <c r="AM35" s="261">
        <f>1476-233-AL35</f>
        <v>-505</v>
      </c>
      <c r="AN35" s="261">
        <f>1851+1476-1476-AM35-AL35</f>
        <v>608</v>
      </c>
      <c r="AO35" s="261">
        <f>20+1476-1476-AN35-AM35-AL35</f>
        <v>-1831</v>
      </c>
      <c r="AP35" s="261">
        <v>-17</v>
      </c>
      <c r="AQ35" s="261">
        <f>134-AP35</f>
        <v>151</v>
      </c>
      <c r="AR35" s="261">
        <f>-16-AQ35-AP35</f>
        <v>-150</v>
      </c>
      <c r="AS35" s="261">
        <f>-16-AR35-AQ35-AP35</f>
        <v>0</v>
      </c>
      <c r="AT35" s="261">
        <v>0</v>
      </c>
      <c r="AU35" s="261">
        <f>0-AT35</f>
        <v>0</v>
      </c>
      <c r="AV35" s="261">
        <f>-1-AU35-AT35</f>
        <v>-1</v>
      </c>
      <c r="AW35" s="261">
        <f>-1-AT35-AU35-AV35</f>
        <v>0</v>
      </c>
      <c r="AX35" s="261"/>
      <c r="AY35" s="261"/>
      <c r="AZ35" s="261"/>
      <c r="BA35" s="261"/>
      <c r="BB35" s="261">
        <v>-1</v>
      </c>
      <c r="BC35" s="261">
        <v>-1</v>
      </c>
      <c r="BD35" s="261"/>
      <c r="BE35" s="261"/>
      <c r="BF35" s="236"/>
      <c r="BG35" s="236"/>
      <c r="BH35" s="236"/>
      <c r="BI35" s="236"/>
    </row>
    <row r="36" spans="2:69">
      <c r="B36" s="236" t="s">
        <v>380</v>
      </c>
      <c r="C36" s="236"/>
      <c r="D36" s="236">
        <f t="shared" si="16"/>
        <v>16836</v>
      </c>
      <c r="E36" s="236">
        <f t="shared" si="17"/>
        <v>16033</v>
      </c>
      <c r="F36" s="236">
        <f t="shared" si="18"/>
        <v>33969</v>
      </c>
      <c r="G36" s="236">
        <f t="shared" si="19"/>
        <v>10140</v>
      </c>
      <c r="H36" s="236">
        <f t="shared" si="20"/>
        <v>48793</v>
      </c>
      <c r="I36" s="236">
        <f t="shared" si="21"/>
        <v>0</v>
      </c>
      <c r="J36" s="236"/>
      <c r="K36" s="236"/>
      <c r="L36" s="236"/>
      <c r="M36" s="236"/>
      <c r="N36" s="236"/>
      <c r="O36" s="236"/>
      <c r="P36" s="236"/>
      <c r="Q36" s="236"/>
      <c r="R36" s="236"/>
      <c r="S36" s="236"/>
      <c r="T36" s="236"/>
      <c r="U36" s="236"/>
      <c r="V36" s="236"/>
      <c r="W36" s="236"/>
      <c r="X36" s="236"/>
      <c r="Y36" s="236"/>
      <c r="Z36" s="236"/>
      <c r="AA36" s="236"/>
      <c r="AB36" s="236"/>
      <c r="AC36" s="236"/>
      <c r="AD36" s="236"/>
      <c r="AE36" s="236"/>
      <c r="AF36" s="236"/>
      <c r="AG36" s="236"/>
      <c r="AH36" s="236"/>
      <c r="AI36" s="236"/>
      <c r="AJ36" s="236"/>
      <c r="AK36" s="236"/>
      <c r="AL36" s="261">
        <v>4875</v>
      </c>
      <c r="AM36" s="261">
        <f>6416-AL36</f>
        <v>1541</v>
      </c>
      <c r="AN36" s="261">
        <f>6416-AM36-AL36</f>
        <v>0</v>
      </c>
      <c r="AO36" s="261">
        <f>12040+4796-AN36-AM36-AL36</f>
        <v>10420</v>
      </c>
      <c r="AP36" s="261">
        <v>2987</v>
      </c>
      <c r="AQ36" s="261">
        <f>8564-AP36</f>
        <v>5577</v>
      </c>
      <c r="AR36" s="261">
        <f>8564-AQ36-AP36</f>
        <v>0</v>
      </c>
      <c r="AS36" s="261">
        <f>15926+107-AR36-AQ36-AP36</f>
        <v>7469</v>
      </c>
      <c r="AT36" s="261">
        <v>16572</v>
      </c>
      <c r="AU36" s="261">
        <f>33958-AT36</f>
        <v>17386</v>
      </c>
      <c r="AV36" s="261">
        <f>33967-AU36-AT36</f>
        <v>9</v>
      </c>
      <c r="AW36" s="261">
        <f>33969-AT36-AU36-AV36</f>
        <v>2</v>
      </c>
      <c r="AX36" s="261">
        <v>5978</v>
      </c>
      <c r="AY36" s="261">
        <f>10140-AX36</f>
        <v>4162</v>
      </c>
      <c r="AZ36" s="261">
        <f>10140-AY36-AX36</f>
        <v>0</v>
      </c>
      <c r="BA36" s="261">
        <f>10140-AX36-AY36-AZ36</f>
        <v>0</v>
      </c>
      <c r="BB36" s="261">
        <v>12440</v>
      </c>
      <c r="BC36" s="261">
        <v>11675</v>
      </c>
      <c r="BD36" s="261">
        <v>22646</v>
      </c>
      <c r="BE36" s="261">
        <v>2032</v>
      </c>
      <c r="BF36" s="236"/>
      <c r="BG36" s="236"/>
      <c r="BH36" s="236"/>
      <c r="BI36" s="236"/>
    </row>
    <row r="37" spans="2:69">
      <c r="B37" s="236" t="s">
        <v>381</v>
      </c>
      <c r="C37" s="236"/>
      <c r="D37" s="236">
        <f t="shared" si="16"/>
        <v>-7698</v>
      </c>
      <c r="E37" s="236">
        <f t="shared" si="17"/>
        <v>-10400</v>
      </c>
      <c r="F37" s="236">
        <f t="shared" si="18"/>
        <v>-10042</v>
      </c>
      <c r="G37" s="236">
        <f t="shared" si="19"/>
        <v>-10823</v>
      </c>
      <c r="H37" s="236">
        <f t="shared" si="20"/>
        <v>-12339</v>
      </c>
      <c r="I37" s="236">
        <f t="shared" si="21"/>
        <v>0</v>
      </c>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61">
        <v>-1791</v>
      </c>
      <c r="AM37" s="261">
        <f>-1823-AL37</f>
        <v>-32</v>
      </c>
      <c r="AN37" s="261">
        <f>-2131-AM37-AL37</f>
        <v>-308</v>
      </c>
      <c r="AO37" s="261">
        <f>-7698-AN37-AM37-AL37</f>
        <v>-5567</v>
      </c>
      <c r="AP37" s="261">
        <v>-1867</v>
      </c>
      <c r="AQ37" s="261">
        <f>-3508-AP37</f>
        <v>-1641</v>
      </c>
      <c r="AR37" s="261">
        <f>-10376-AQ37-AP37</f>
        <v>-6868</v>
      </c>
      <c r="AS37" s="261">
        <f>-10400-AR37-AQ37-AP37</f>
        <v>-24</v>
      </c>
      <c r="AT37" s="261">
        <v>-596</v>
      </c>
      <c r="AU37" s="261">
        <f>-2919-AT37</f>
        <v>-2323</v>
      </c>
      <c r="AV37" s="261">
        <f>-9962-AU37-AT37</f>
        <v>-7043</v>
      </c>
      <c r="AW37" s="261">
        <f>-10042-AT37-AU37-AV37</f>
        <v>-80</v>
      </c>
      <c r="AX37" s="261">
        <v>-2296</v>
      </c>
      <c r="AY37" s="261">
        <f>-9129-AX37</f>
        <v>-6833</v>
      </c>
      <c r="AZ37" s="261">
        <f>-10688-AX37-AY37</f>
        <v>-1559</v>
      </c>
      <c r="BA37" s="261">
        <f>-10823-AX37-AY37-AZ37</f>
        <v>-135</v>
      </c>
      <c r="BB37" s="261">
        <v>-3053</v>
      </c>
      <c r="BC37" s="261">
        <v>-3065</v>
      </c>
      <c r="BD37" s="261">
        <v>-4191</v>
      </c>
      <c r="BE37" s="261">
        <v>-2030</v>
      </c>
      <c r="BF37" s="236"/>
      <c r="BG37" s="236"/>
      <c r="BH37" s="236"/>
      <c r="BI37" s="236"/>
    </row>
    <row r="38" spans="2:69">
      <c r="B38" s="236" t="s">
        <v>382</v>
      </c>
      <c r="C38" s="236"/>
      <c r="D38" s="236">
        <f t="shared" si="16"/>
        <v>-13028</v>
      </c>
      <c r="E38" s="236">
        <f t="shared" si="17"/>
        <v>-1617</v>
      </c>
      <c r="F38" s="236">
        <f t="shared" si="18"/>
        <v>-269</v>
      </c>
      <c r="G38" s="236">
        <f t="shared" si="19"/>
        <v>-512</v>
      </c>
      <c r="H38" s="236">
        <f t="shared" si="20"/>
        <v>-463</v>
      </c>
      <c r="I38" s="236">
        <f t="shared" si="21"/>
        <v>0</v>
      </c>
      <c r="J38" s="236"/>
      <c r="K38" s="236"/>
      <c r="L38" s="236"/>
      <c r="M38" s="236"/>
      <c r="N38" s="236"/>
      <c r="O38" s="236"/>
      <c r="P38" s="236"/>
      <c r="Q38" s="236"/>
      <c r="R38" s="236"/>
      <c r="S38" s="236"/>
      <c r="T38" s="236"/>
      <c r="U38" s="236"/>
      <c r="V38" s="236"/>
      <c r="W38" s="236"/>
      <c r="X38" s="236"/>
      <c r="Y38" s="236"/>
      <c r="Z38" s="236"/>
      <c r="AA38" s="236"/>
      <c r="AB38" s="236"/>
      <c r="AC38" s="236"/>
      <c r="AD38" s="236"/>
      <c r="AE38" s="236"/>
      <c r="AF38" s="236"/>
      <c r="AG38" s="236"/>
      <c r="AH38" s="236"/>
      <c r="AI38" s="236"/>
      <c r="AJ38" s="236"/>
      <c r="AK38" s="236"/>
      <c r="AL38" s="261">
        <v>-5911</v>
      </c>
      <c r="AM38" s="261">
        <f>-9217-AL38</f>
        <v>-3306</v>
      </c>
      <c r="AN38" s="261">
        <f>-11134-AM38-AL38</f>
        <v>-1917</v>
      </c>
      <c r="AO38" s="261">
        <f>-13028-AN38-AM38-AL38</f>
        <v>-1894</v>
      </c>
      <c r="AP38" s="261">
        <v>-1237</v>
      </c>
      <c r="AQ38" s="261">
        <f>-1396-AP38</f>
        <v>-159</v>
      </c>
      <c r="AR38" s="261">
        <f>-1617-AQ38-AP38</f>
        <v>-221</v>
      </c>
      <c r="AS38" s="261">
        <f>-1617-AR38-AQ38-AP38</f>
        <v>0</v>
      </c>
      <c r="AT38" s="261">
        <v>0</v>
      </c>
      <c r="AU38" s="261">
        <f>0-AT38</f>
        <v>0</v>
      </c>
      <c r="AV38" s="261">
        <f>0-AU38-AT38</f>
        <v>0</v>
      </c>
      <c r="AW38" s="261">
        <f>-269-AT38-AU38-AV38</f>
        <v>-269</v>
      </c>
      <c r="AX38" s="261"/>
      <c r="AY38" s="261">
        <f>-197-AX38</f>
        <v>-197</v>
      </c>
      <c r="AZ38" s="261">
        <f>-444-AX38-AY38</f>
        <v>-247</v>
      </c>
      <c r="BA38" s="261">
        <f>-512-AX38-AY38-AZ38</f>
        <v>-68</v>
      </c>
      <c r="BB38" s="261">
        <v>-177</v>
      </c>
      <c r="BC38" s="261">
        <v>-281</v>
      </c>
      <c r="BD38" s="261">
        <v>-2</v>
      </c>
      <c r="BE38" s="261">
        <v>-3</v>
      </c>
      <c r="BF38" s="236"/>
      <c r="BG38" s="236"/>
      <c r="BH38" s="236"/>
      <c r="BI38" s="236"/>
    </row>
    <row r="39" spans="2:69">
      <c r="B39" s="236" t="s">
        <v>383</v>
      </c>
      <c r="C39" s="236"/>
      <c r="D39" s="236">
        <f t="shared" si="16"/>
        <v>114</v>
      </c>
      <c r="E39" s="236">
        <f t="shared" si="17"/>
        <v>39</v>
      </c>
      <c r="F39" s="236">
        <f t="shared" si="18"/>
        <v>143</v>
      </c>
      <c r="G39" s="236">
        <f t="shared" si="19"/>
        <v>146</v>
      </c>
      <c r="H39" s="236">
        <f t="shared" si="20"/>
        <v>33</v>
      </c>
      <c r="I39" s="236">
        <f t="shared" si="21"/>
        <v>0</v>
      </c>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61">
        <v>56</v>
      </c>
      <c r="AM39" s="261">
        <f>104-AL39</f>
        <v>48</v>
      </c>
      <c r="AN39" s="261">
        <f>108-AM39-AL39</f>
        <v>4</v>
      </c>
      <c r="AO39" s="261">
        <f>114-AN39-AM39-AL39</f>
        <v>6</v>
      </c>
      <c r="AP39" s="261">
        <v>13</v>
      </c>
      <c r="AQ39" s="261">
        <f>27-AP39</f>
        <v>14</v>
      </c>
      <c r="AR39" s="261">
        <f>34-AQ39-AP39</f>
        <v>7</v>
      </c>
      <c r="AS39" s="261">
        <f>39-AR39-AQ39-AP39</f>
        <v>5</v>
      </c>
      <c r="AT39" s="261">
        <v>8</v>
      </c>
      <c r="AU39" s="261">
        <f>20-AT39</f>
        <v>12</v>
      </c>
      <c r="AV39" s="261">
        <f>133-AU39-AT39</f>
        <v>113</v>
      </c>
      <c r="AW39" s="261">
        <f>143-AT39-AU39-AV39</f>
        <v>10</v>
      </c>
      <c r="AX39" s="261">
        <v>89</v>
      </c>
      <c r="AY39" s="261">
        <f>119-AX39</f>
        <v>30</v>
      </c>
      <c r="AZ39" s="261">
        <f>137-AX39-AY39</f>
        <v>18</v>
      </c>
      <c r="BA39" s="261">
        <f>146-AX39-AY39-AZ39</f>
        <v>9</v>
      </c>
      <c r="BB39" s="261">
        <v>21</v>
      </c>
      <c r="BC39" s="261">
        <v>3</v>
      </c>
      <c r="BD39" s="261">
        <v>2</v>
      </c>
      <c r="BE39" s="261">
        <v>7</v>
      </c>
      <c r="BF39" s="236"/>
      <c r="BG39" s="236"/>
      <c r="BH39" s="236"/>
      <c r="BI39" s="236"/>
    </row>
    <row r="40" spans="2:69">
      <c r="B40" s="236" t="s">
        <v>19</v>
      </c>
      <c r="C40" s="236"/>
      <c r="D40" s="236">
        <f t="shared" si="16"/>
        <v>-9696</v>
      </c>
      <c r="E40" s="236">
        <f t="shared" si="17"/>
        <v>-9552</v>
      </c>
      <c r="F40" s="236">
        <f t="shared" si="18"/>
        <v>-10200</v>
      </c>
      <c r="G40" s="236">
        <f t="shared" si="19"/>
        <v>-11797</v>
      </c>
      <c r="H40" s="236">
        <f t="shared" si="20"/>
        <v>-12038</v>
      </c>
      <c r="I40" s="236">
        <f t="shared" si="21"/>
        <v>-12464.815507113712</v>
      </c>
      <c r="J40" s="236">
        <f>-'Income Statement'!J63*'Income Statement'!J57</f>
        <v>-12776.316737608517</v>
      </c>
      <c r="K40" s="236">
        <f>-'Income Statement'!K63*'Income Statement'!K57</f>
        <v>-13090.738776346248</v>
      </c>
      <c r="L40" s="236">
        <f>-'Income Statement'!L63*'Income Statement'!L57</f>
        <v>-13407.985627552915</v>
      </c>
      <c r="M40" s="236">
        <f>-'Income Statement'!M63*'Income Statement'!M57</f>
        <v>-13728.077678802239</v>
      </c>
      <c r="N40" s="236">
        <f>-'Income Statement'!N63*'Income Statement'!N57</f>
        <v>-14051.035450923369</v>
      </c>
      <c r="O40" s="236">
        <f>-'Income Statement'!O63*'Income Statement'!O57</f>
        <v>-14376.879598823742</v>
      </c>
      <c r="P40" s="236">
        <f>-'Income Statement'!P63*'Income Statement'!P57</f>
        <v>-14705.630912316843</v>
      </c>
      <c r="Q40" s="236"/>
      <c r="R40" s="236"/>
      <c r="S40" s="236"/>
      <c r="T40" s="236"/>
      <c r="U40" s="236"/>
      <c r="V40" s="236"/>
      <c r="W40" s="236"/>
      <c r="X40" s="236"/>
      <c r="Y40" s="236"/>
      <c r="Z40" s="236"/>
      <c r="AA40" s="236"/>
      <c r="AB40" s="236"/>
      <c r="AC40" s="236"/>
      <c r="AD40" s="236"/>
      <c r="AE40" s="236"/>
      <c r="AF40" s="236"/>
      <c r="AG40" s="236"/>
      <c r="AH40" s="236"/>
      <c r="AI40" s="236"/>
      <c r="AJ40" s="236"/>
      <c r="AK40" s="236"/>
      <c r="AL40" s="261">
        <v>-2502</v>
      </c>
      <c r="AM40" s="261">
        <f>-4930-AL40</f>
        <v>-2428</v>
      </c>
      <c r="AN40" s="261">
        <f>-7325-AM40-AL40</f>
        <v>-2395</v>
      </c>
      <c r="AO40" s="261">
        <f>-9696-AN40-AM40-AL40</f>
        <v>-2371</v>
      </c>
      <c r="AP40" s="261">
        <v>-2398</v>
      </c>
      <c r="AQ40" s="261">
        <f>-4784-AP40</f>
        <v>-2386</v>
      </c>
      <c r="AR40" s="261">
        <f>-7170-AQ40-AP40</f>
        <v>-2386</v>
      </c>
      <c r="AS40" s="261">
        <f>-9552-AR40-AQ40-AP40</f>
        <v>-2382</v>
      </c>
      <c r="AT40" s="261">
        <v>-2434</v>
      </c>
      <c r="AU40" s="261">
        <f>-4873-AT40</f>
        <v>-2439</v>
      </c>
      <c r="AV40" s="261">
        <f>-7311-AU40-AT40</f>
        <v>-2438</v>
      </c>
      <c r="AW40" s="261">
        <f>-10200-AT40-AU40-AV40</f>
        <v>-2889</v>
      </c>
      <c r="AX40" s="261">
        <v>-2947</v>
      </c>
      <c r="AY40" s="261">
        <f>-5899-AX40</f>
        <v>-2952</v>
      </c>
      <c r="AZ40" s="261">
        <f>-8850-AX40-AY40</f>
        <v>-2951</v>
      </c>
      <c r="BA40" s="261">
        <f>-11797-AX40-AY40-AZ40</f>
        <v>-2947</v>
      </c>
      <c r="BB40" s="261">
        <v>-3009</v>
      </c>
      <c r="BC40" s="261">
        <v>-3012</v>
      </c>
      <c r="BD40" s="261">
        <v>-3009</v>
      </c>
      <c r="BE40" s="261">
        <v>-3008</v>
      </c>
      <c r="BF40" s="236">
        <f>-'Income Statement'!BF63*'Income Statement'!BF57</f>
        <v>-3094.86375</v>
      </c>
      <c r="BG40" s="236">
        <f>-'Income Statement'!BG63*'Income Statement'!BG57</f>
        <v>-3098.7323296874997</v>
      </c>
      <c r="BH40" s="236">
        <f>-'Income Statement'!BH63*'Income Statement'!BH57</f>
        <v>-3102.6057450996091</v>
      </c>
      <c r="BI40" s="236">
        <f>-'Income Statement'!BI63*'Income Statement'!BI57</f>
        <v>-3168.6136823266033</v>
      </c>
    </row>
    <row r="41" spans="2:69">
      <c r="B41" s="236" t="s">
        <v>10</v>
      </c>
      <c r="C41" s="236"/>
      <c r="D41" s="236">
        <f t="shared" si="16"/>
        <v>251</v>
      </c>
      <c r="E41" s="236">
        <f t="shared" si="17"/>
        <v>-2224</v>
      </c>
      <c r="F41" s="236">
        <f t="shared" si="18"/>
        <v>-3818</v>
      </c>
      <c r="G41" s="236">
        <f t="shared" si="19"/>
        <v>-1616</v>
      </c>
      <c r="H41" s="236">
        <f t="shared" si="20"/>
        <v>1946</v>
      </c>
      <c r="I41" s="236">
        <f t="shared" si="21"/>
        <v>790</v>
      </c>
      <c r="J41" s="525">
        <f>+BI86</f>
        <v>899.99999999999977</v>
      </c>
      <c r="K41" s="261"/>
      <c r="L41" s="261"/>
      <c r="M41" s="261"/>
      <c r="N41" s="261"/>
      <c r="O41" s="261"/>
      <c r="P41" s="261"/>
      <c r="Q41" s="236"/>
      <c r="R41" s="236"/>
      <c r="S41" s="236"/>
      <c r="T41" s="236"/>
      <c r="U41" s="236"/>
      <c r="V41" s="236"/>
      <c r="W41" s="236"/>
      <c r="X41" s="236"/>
      <c r="Y41" s="236"/>
      <c r="Z41" s="236"/>
      <c r="AA41" s="236"/>
      <c r="AB41" s="236"/>
      <c r="AC41" s="236"/>
      <c r="AD41" s="236"/>
      <c r="AE41" s="236"/>
      <c r="AF41" s="236"/>
      <c r="AG41" s="236"/>
      <c r="AH41" s="236"/>
      <c r="AI41" s="236"/>
      <c r="AJ41" s="236"/>
      <c r="AK41" s="236"/>
      <c r="AL41" s="261">
        <v>-310</v>
      </c>
      <c r="AM41" s="261">
        <f>41-AL41</f>
        <v>351</v>
      </c>
      <c r="AN41" s="261">
        <f>499-AM41-AL41</f>
        <v>458</v>
      </c>
      <c r="AO41" s="261">
        <f>251-AN41-AM41-AL41</f>
        <v>-248</v>
      </c>
      <c r="AP41" s="261">
        <v>74</v>
      </c>
      <c r="AQ41" s="261">
        <f>-239-AP41</f>
        <v>-313</v>
      </c>
      <c r="AR41" s="261">
        <f>-913-AQ41-AP41</f>
        <v>-674</v>
      </c>
      <c r="AS41" s="261">
        <f>-2224-AR41-AQ41-AP41</f>
        <v>-1311</v>
      </c>
      <c r="AT41" s="261">
        <v>-2860</v>
      </c>
      <c r="AU41" s="261">
        <f>-2071-AT41</f>
        <v>789</v>
      </c>
      <c r="AV41" s="261">
        <f>-2875-AU41-AT41</f>
        <v>-804</v>
      </c>
      <c r="AW41" s="261">
        <f>-3818-AT41-AU41-AV41</f>
        <v>-943</v>
      </c>
      <c r="AX41" s="261">
        <v>471</v>
      </c>
      <c r="AY41" s="261">
        <f>-1137-AX41</f>
        <v>-1608</v>
      </c>
      <c r="AZ41" s="261">
        <f>-534-AX41-AY41</f>
        <v>603</v>
      </c>
      <c r="BA41" s="261">
        <f>-1616-AX41-AY41-AZ41</f>
        <v>-1082</v>
      </c>
      <c r="BB41" s="261">
        <v>-172</v>
      </c>
      <c r="BC41" s="261">
        <v>249</v>
      </c>
      <c r="BD41" s="261">
        <v>1640</v>
      </c>
      <c r="BE41" s="261">
        <v>229</v>
      </c>
      <c r="BF41" s="261">
        <v>-140</v>
      </c>
      <c r="BG41" s="525">
        <f>-140+BF86</f>
        <v>85</v>
      </c>
      <c r="BH41" s="525">
        <f t="shared" ref="BH41:BI41" si="22">-140+BG86</f>
        <v>310</v>
      </c>
      <c r="BI41" s="525">
        <f t="shared" si="22"/>
        <v>535</v>
      </c>
    </row>
    <row r="42" spans="2:69">
      <c r="B42" s="236"/>
      <c r="C42" s="236"/>
      <c r="D42" s="236"/>
      <c r="E42" s="236"/>
      <c r="F42" s="236"/>
      <c r="G42" s="236"/>
      <c r="H42" s="236"/>
      <c r="I42" s="236"/>
      <c r="J42" s="236"/>
      <c r="K42" s="236"/>
      <c r="L42" s="236"/>
      <c r="M42" s="236"/>
      <c r="N42" s="236"/>
      <c r="O42" s="236"/>
      <c r="P42" s="236"/>
      <c r="Q42" s="236"/>
      <c r="R42" s="236"/>
      <c r="S42" s="236"/>
      <c r="T42" s="236"/>
      <c r="U42" s="236"/>
      <c r="V42" s="236"/>
      <c r="W42" s="236"/>
      <c r="X42" s="236"/>
      <c r="Y42" s="236"/>
      <c r="Z42" s="236"/>
      <c r="AA42" s="236"/>
      <c r="AB42" s="236"/>
      <c r="AC42" s="236"/>
      <c r="AD42" s="236"/>
      <c r="AE42" s="236"/>
      <c r="AF42" s="236"/>
      <c r="AG42" s="236"/>
      <c r="AH42" s="236"/>
      <c r="AI42" s="236"/>
      <c r="AJ42" s="236"/>
      <c r="AK42" s="236"/>
      <c r="AL42" s="236"/>
      <c r="AM42" s="236"/>
      <c r="AN42" s="236"/>
      <c r="AO42" s="236"/>
      <c r="AP42" s="236"/>
      <c r="AQ42" s="236"/>
      <c r="AR42" s="236"/>
      <c r="AS42" s="236"/>
      <c r="AT42" s="236"/>
      <c r="AU42" s="236"/>
      <c r="AV42" s="236"/>
      <c r="AW42" s="236"/>
      <c r="AX42" s="236"/>
      <c r="AY42" s="236"/>
      <c r="AZ42" s="236"/>
      <c r="BA42" s="236"/>
      <c r="BB42" s="236"/>
      <c r="BC42" s="236"/>
      <c r="BD42" s="236"/>
      <c r="BE42" s="236"/>
      <c r="BF42" s="236"/>
      <c r="BG42" s="236"/>
      <c r="BH42" s="236"/>
      <c r="BI42" s="236"/>
    </row>
    <row r="43" spans="2:69" s="240" customFormat="1">
      <c r="B43" s="252" t="s">
        <v>384</v>
      </c>
      <c r="C43" s="252"/>
      <c r="D43" s="252">
        <f t="shared" ref="D43:P43" si="23">SUM(D35:D42)</f>
        <v>-13201</v>
      </c>
      <c r="E43" s="252">
        <f t="shared" si="23"/>
        <v>-7737</v>
      </c>
      <c r="F43" s="252">
        <f t="shared" si="23"/>
        <v>9782</v>
      </c>
      <c r="G43" s="252">
        <f t="shared" si="23"/>
        <v>-14462</v>
      </c>
      <c r="H43" s="252">
        <f t="shared" si="23"/>
        <v>25930</v>
      </c>
      <c r="I43" s="252">
        <f t="shared" si="23"/>
        <v>-11674.815507113712</v>
      </c>
      <c r="J43" s="252">
        <f t="shared" si="23"/>
        <v>-11876.316737608517</v>
      </c>
      <c r="K43" s="252">
        <f t="shared" si="23"/>
        <v>-13090.738776346248</v>
      </c>
      <c r="L43" s="252">
        <f t="shared" si="23"/>
        <v>-13407.985627552915</v>
      </c>
      <c r="M43" s="252">
        <f t="shared" si="23"/>
        <v>-13728.077678802239</v>
      </c>
      <c r="N43" s="252">
        <f t="shared" si="23"/>
        <v>-14051.035450923369</v>
      </c>
      <c r="O43" s="252">
        <f t="shared" si="23"/>
        <v>-14376.879598823742</v>
      </c>
      <c r="P43" s="252">
        <f t="shared" si="23"/>
        <v>-14705.630912316843</v>
      </c>
      <c r="Q43" s="252"/>
      <c r="R43" s="252"/>
      <c r="S43" s="252"/>
      <c r="T43" s="252"/>
      <c r="U43" s="252"/>
      <c r="V43" s="252"/>
      <c r="W43" s="252"/>
      <c r="X43" s="252"/>
      <c r="Y43" s="252"/>
      <c r="Z43" s="252"/>
      <c r="AA43" s="252"/>
      <c r="AB43" s="252"/>
      <c r="AC43" s="252"/>
      <c r="AD43" s="252"/>
      <c r="AE43" s="252"/>
      <c r="AF43" s="252"/>
      <c r="AG43" s="252"/>
      <c r="AH43" s="252"/>
      <c r="AI43" s="252"/>
      <c r="AJ43" s="252"/>
      <c r="AK43" s="252"/>
      <c r="AL43" s="252">
        <f t="shared" ref="AL43:BI43" si="24">SUM(AL35:AL42)</f>
        <v>-3835</v>
      </c>
      <c r="AM43" s="252">
        <f t="shared" si="24"/>
        <v>-4331</v>
      </c>
      <c r="AN43" s="252">
        <f t="shared" si="24"/>
        <v>-3550</v>
      </c>
      <c r="AO43" s="252">
        <f t="shared" si="24"/>
        <v>-1485</v>
      </c>
      <c r="AP43" s="252">
        <f t="shared" si="24"/>
        <v>-2445</v>
      </c>
      <c r="AQ43" s="252">
        <f t="shared" si="24"/>
        <v>1243</v>
      </c>
      <c r="AR43" s="252">
        <f t="shared" si="24"/>
        <v>-10292</v>
      </c>
      <c r="AS43" s="252">
        <f t="shared" si="24"/>
        <v>3757</v>
      </c>
      <c r="AT43" s="252">
        <f t="shared" si="24"/>
        <v>10690</v>
      </c>
      <c r="AU43" s="252">
        <f t="shared" si="24"/>
        <v>13425</v>
      </c>
      <c r="AV43" s="252">
        <f t="shared" si="24"/>
        <v>-10164</v>
      </c>
      <c r="AW43" s="252">
        <f t="shared" si="24"/>
        <v>-4169</v>
      </c>
      <c r="AX43" s="252">
        <f t="shared" si="24"/>
        <v>1295</v>
      </c>
      <c r="AY43" s="252">
        <f t="shared" si="24"/>
        <v>-7398</v>
      </c>
      <c r="AZ43" s="252">
        <f t="shared" si="24"/>
        <v>-4136</v>
      </c>
      <c r="BA43" s="252">
        <f t="shared" si="24"/>
        <v>-4223</v>
      </c>
      <c r="BB43" s="252">
        <f t="shared" si="24"/>
        <v>6049</v>
      </c>
      <c r="BC43" s="252">
        <f t="shared" si="24"/>
        <v>5568</v>
      </c>
      <c r="BD43" s="252">
        <f t="shared" si="24"/>
        <v>17086</v>
      </c>
      <c r="BE43" s="252">
        <f t="shared" si="24"/>
        <v>-2773</v>
      </c>
      <c r="BF43" s="252">
        <f t="shared" si="24"/>
        <v>-3234.86375</v>
      </c>
      <c r="BG43" s="252">
        <f t="shared" si="24"/>
        <v>-3013.7323296874997</v>
      </c>
      <c r="BH43" s="252">
        <f t="shared" si="24"/>
        <v>-2792.6057450996091</v>
      </c>
      <c r="BI43" s="252">
        <f t="shared" si="24"/>
        <v>-2633.6136823266033</v>
      </c>
      <c r="BK43" s="236"/>
      <c r="BL43"/>
      <c r="BM43"/>
      <c r="BN43"/>
      <c r="BO43"/>
      <c r="BP43"/>
      <c r="BQ43"/>
    </row>
    <row r="44" spans="2:69" s="240" customFormat="1">
      <c r="B44" s="252"/>
      <c r="C44" s="252"/>
      <c r="D44" s="252"/>
      <c r="E44" s="252"/>
      <c r="F44" s="252"/>
      <c r="G44" s="252"/>
      <c r="H44" s="252"/>
      <c r="I44" s="252"/>
      <c r="J44" s="252"/>
      <c r="K44" s="252"/>
      <c r="L44" s="252"/>
      <c r="M44" s="252"/>
      <c r="N44" s="252"/>
      <c r="O44" s="252"/>
      <c r="P44" s="252"/>
      <c r="Q44" s="252"/>
      <c r="R44" s="252"/>
      <c r="S44" s="252"/>
      <c r="T44" s="252"/>
      <c r="U44" s="252"/>
      <c r="V44" s="252"/>
      <c r="W44" s="252"/>
      <c r="X44" s="252"/>
      <c r="Y44" s="252"/>
      <c r="Z44" s="252"/>
      <c r="AA44" s="252"/>
      <c r="AB44" s="252"/>
      <c r="AC44" s="252"/>
      <c r="AD44" s="252"/>
      <c r="AE44" s="252"/>
      <c r="AF44" s="252"/>
      <c r="AG44" s="252"/>
      <c r="AH44" s="252"/>
      <c r="AI44" s="252"/>
      <c r="AJ44" s="252"/>
      <c r="AK44" s="252"/>
      <c r="AL44" s="252"/>
      <c r="AM44" s="252"/>
      <c r="AN44" s="252"/>
      <c r="AO44" s="252"/>
      <c r="AP44" s="252"/>
      <c r="AQ44" s="252"/>
      <c r="AR44" s="252"/>
      <c r="AS44" s="252"/>
      <c r="AT44" s="252"/>
      <c r="AU44" s="252"/>
      <c r="AV44" s="252"/>
      <c r="AW44" s="252"/>
      <c r="AX44" s="252"/>
      <c r="AY44" s="252"/>
      <c r="AZ44" s="252"/>
      <c r="BA44" s="252"/>
      <c r="BB44" s="252"/>
      <c r="BC44" s="252"/>
      <c r="BD44" s="252"/>
      <c r="BE44" s="252"/>
      <c r="BF44" s="252"/>
      <c r="BG44" s="252"/>
      <c r="BH44" s="252"/>
      <c r="BI44" s="252"/>
      <c r="BL44"/>
      <c r="BM44"/>
      <c r="BN44"/>
      <c r="BO44"/>
      <c r="BP44"/>
      <c r="BQ44"/>
    </row>
    <row r="45" spans="2:69" s="252" customFormat="1" ht="16.5" thickBot="1">
      <c r="B45" s="347" t="s">
        <v>385</v>
      </c>
      <c r="C45" s="247"/>
      <c r="D45" s="348">
        <f t="shared" ref="D45:P45" si="25">+D25+D33+D43</f>
        <v>-1529</v>
      </c>
      <c r="E45" s="348">
        <f t="shared" si="25"/>
        <v>5264</v>
      </c>
      <c r="F45" s="348">
        <f t="shared" si="25"/>
        <v>-3482</v>
      </c>
      <c r="G45" s="348">
        <f t="shared" si="25"/>
        <v>667</v>
      </c>
      <c r="H45" s="348">
        <f t="shared" si="25"/>
        <v>44710</v>
      </c>
      <c r="I45" s="348">
        <f t="shared" ca="1" si="25"/>
        <v>9084.1788083786378</v>
      </c>
      <c r="J45" s="348">
        <f t="shared" ca="1" si="25"/>
        <v>5882.989790562262</v>
      </c>
      <c r="K45" s="348">
        <f t="shared" ca="1" si="25"/>
        <v>4952.8676090359568</v>
      </c>
      <c r="L45" s="348">
        <f t="shared" ca="1" si="25"/>
        <v>4507.8745042557985</v>
      </c>
      <c r="M45" s="348">
        <f t="shared" ca="1" si="25"/>
        <v>4203.751993074211</v>
      </c>
      <c r="N45" s="348">
        <f t="shared" ca="1" si="25"/>
        <v>3946.2771070696908</v>
      </c>
      <c r="O45" s="348">
        <f t="shared" ca="1" si="25"/>
        <v>3676.0451868261353</v>
      </c>
      <c r="P45" s="348">
        <f t="shared" ca="1" si="25"/>
        <v>3385.6577482021858</v>
      </c>
      <c r="Q45" s="247"/>
      <c r="R45" s="247"/>
      <c r="S45" s="247"/>
      <c r="T45" s="247"/>
      <c r="U45" s="247"/>
      <c r="V45" s="247"/>
      <c r="W45" s="247"/>
      <c r="X45" s="247"/>
      <c r="Y45" s="247"/>
      <c r="Z45" s="247"/>
      <c r="AA45" s="247"/>
      <c r="AB45" s="247"/>
      <c r="AC45" s="247"/>
      <c r="AD45" s="247"/>
      <c r="AE45" s="247"/>
      <c r="AF45" s="247"/>
      <c r="AG45" s="247"/>
      <c r="AH45" s="247"/>
      <c r="AI45" s="247"/>
      <c r="AJ45" s="247"/>
      <c r="AK45" s="247"/>
      <c r="AL45" s="348">
        <f t="shared" ref="AL45:BI45" si="26">+AL25+AL33+AL43</f>
        <v>-993</v>
      </c>
      <c r="AM45" s="348">
        <f t="shared" si="26"/>
        <v>673</v>
      </c>
      <c r="AN45" s="348">
        <f t="shared" si="26"/>
        <v>-3177</v>
      </c>
      <c r="AO45" s="348">
        <f t="shared" si="26"/>
        <v>1968</v>
      </c>
      <c r="AP45" s="348">
        <f t="shared" si="26"/>
        <v>272</v>
      </c>
      <c r="AQ45" s="348">
        <f t="shared" si="26"/>
        <v>7694</v>
      </c>
      <c r="AR45" s="348">
        <f t="shared" si="26"/>
        <v>-8847</v>
      </c>
      <c r="AS45" s="348">
        <f t="shared" si="26"/>
        <v>6145</v>
      </c>
      <c r="AT45" s="348">
        <f t="shared" si="26"/>
        <v>-4159</v>
      </c>
      <c r="AU45" s="348">
        <f t="shared" si="26"/>
        <v>16512</v>
      </c>
      <c r="AV45" s="348">
        <f t="shared" si="26"/>
        <v>-14754</v>
      </c>
      <c r="AW45" s="348">
        <f t="shared" si="26"/>
        <v>-1081</v>
      </c>
      <c r="AX45" s="348">
        <f t="shared" si="26"/>
        <v>4887</v>
      </c>
      <c r="AY45" s="348">
        <f t="shared" si="26"/>
        <v>-2800</v>
      </c>
      <c r="AZ45" s="348">
        <f t="shared" si="26"/>
        <v>-1313</v>
      </c>
      <c r="BA45" s="348">
        <f t="shared" si="26"/>
        <v>-107</v>
      </c>
      <c r="BB45" s="348">
        <f t="shared" si="26"/>
        <v>9096</v>
      </c>
      <c r="BC45" s="348">
        <f t="shared" si="26"/>
        <v>10733</v>
      </c>
      <c r="BD45" s="348">
        <f t="shared" si="26"/>
        <v>22882</v>
      </c>
      <c r="BE45" s="348">
        <f t="shared" si="26"/>
        <v>1999</v>
      </c>
      <c r="BF45" s="348">
        <f t="shared" ca="1" si="26"/>
        <v>691.66775138979619</v>
      </c>
      <c r="BG45" s="348">
        <f t="shared" ca="1" si="26"/>
        <v>2100.7440070081943</v>
      </c>
      <c r="BH45" s="348">
        <f t="shared" ca="1" si="26"/>
        <v>2188.8521167362937</v>
      </c>
      <c r="BI45" s="348">
        <f t="shared" ca="1" si="26"/>
        <v>4102.914933244354</v>
      </c>
      <c r="BK45" s="236"/>
      <c r="BL45"/>
      <c r="BM45"/>
      <c r="BN45"/>
      <c r="BO45"/>
      <c r="BP45"/>
      <c r="BQ45"/>
    </row>
    <row r="46" spans="2:69" ht="16.5" thickTop="1">
      <c r="B46" s="236" t="s">
        <v>386</v>
      </c>
      <c r="C46" s="236"/>
      <c r="D46" s="261">
        <v>4868</v>
      </c>
      <c r="E46" s="236">
        <f t="shared" ref="E46:J46" si="27">+D47</f>
        <v>3339</v>
      </c>
      <c r="F46" s="236">
        <f t="shared" si="27"/>
        <v>8603</v>
      </c>
      <c r="G46" s="236">
        <f t="shared" si="27"/>
        <v>5121</v>
      </c>
      <c r="H46" s="236">
        <f t="shared" si="27"/>
        <v>5788</v>
      </c>
      <c r="I46" s="236">
        <f t="shared" si="27"/>
        <v>50498</v>
      </c>
      <c r="J46" s="236">
        <f t="shared" ca="1" si="27"/>
        <v>59582.178808378638</v>
      </c>
      <c r="K46" s="236">
        <f t="shared" ref="K46" ca="1" si="28">+J47</f>
        <v>65465.168598940902</v>
      </c>
      <c r="L46" s="236">
        <f t="shared" ref="L46" ca="1" si="29">+K47</f>
        <v>70418.036207976853</v>
      </c>
      <c r="M46" s="236">
        <f t="shared" ref="M46" ca="1" si="30">+L47</f>
        <v>74925.910712232668</v>
      </c>
      <c r="N46" s="236">
        <f t="shared" ref="N46" ca="1" si="31">+M47</f>
        <v>79129.662705306851</v>
      </c>
      <c r="O46" s="236">
        <f t="shared" ref="O46" ca="1" si="32">+N47</f>
        <v>83075.939812376571</v>
      </c>
      <c r="P46" s="236">
        <f t="shared" ref="P46" ca="1" si="33">+O47</f>
        <v>86751.984999202687</v>
      </c>
      <c r="Q46" s="236"/>
      <c r="R46" s="236"/>
      <c r="S46" s="236"/>
      <c r="T46" s="236"/>
      <c r="U46" s="236"/>
      <c r="V46" s="236"/>
      <c r="W46" s="236"/>
      <c r="X46" s="236"/>
      <c r="Y46" s="236"/>
      <c r="Z46" s="236"/>
      <c r="AA46" s="236"/>
      <c r="AB46" s="236"/>
      <c r="AC46" s="236"/>
      <c r="AD46" s="236"/>
      <c r="AE46" s="236"/>
      <c r="AF46" s="236"/>
      <c r="AG46" s="236"/>
      <c r="AH46" s="236"/>
      <c r="AI46" s="236"/>
      <c r="AJ46" s="236"/>
      <c r="AK46" s="236"/>
      <c r="AL46" s="261">
        <v>4868</v>
      </c>
      <c r="AM46" s="236">
        <f t="shared" ref="AM46:BE46" si="34">+AL47</f>
        <v>3875</v>
      </c>
      <c r="AN46" s="236">
        <f t="shared" si="34"/>
        <v>4548</v>
      </c>
      <c r="AO46" s="236">
        <f t="shared" si="34"/>
        <v>1371</v>
      </c>
      <c r="AP46" s="236">
        <f t="shared" si="34"/>
        <v>3339</v>
      </c>
      <c r="AQ46" s="236">
        <f t="shared" si="34"/>
        <v>3611</v>
      </c>
      <c r="AR46" s="236">
        <f t="shared" si="34"/>
        <v>11305</v>
      </c>
      <c r="AS46" s="236">
        <f t="shared" si="34"/>
        <v>2458</v>
      </c>
      <c r="AT46" s="236">
        <f t="shared" si="34"/>
        <v>8603</v>
      </c>
      <c r="AU46" s="236">
        <f t="shared" si="34"/>
        <v>4444</v>
      </c>
      <c r="AV46" s="236">
        <f t="shared" si="34"/>
        <v>20956</v>
      </c>
      <c r="AW46" s="236">
        <f t="shared" si="34"/>
        <v>6202</v>
      </c>
      <c r="AX46" s="236">
        <f t="shared" si="34"/>
        <v>5121</v>
      </c>
      <c r="AY46" s="236">
        <f t="shared" si="34"/>
        <v>10008</v>
      </c>
      <c r="AZ46" s="236">
        <f t="shared" si="34"/>
        <v>7208</v>
      </c>
      <c r="BA46" s="236">
        <f t="shared" si="34"/>
        <v>5895</v>
      </c>
      <c r="BB46" s="236">
        <f t="shared" si="34"/>
        <v>5788</v>
      </c>
      <c r="BC46" s="236">
        <f t="shared" si="34"/>
        <v>14884</v>
      </c>
      <c r="BD46" s="236">
        <f t="shared" si="34"/>
        <v>25617</v>
      </c>
      <c r="BE46" s="236">
        <f t="shared" si="34"/>
        <v>48499</v>
      </c>
      <c r="BF46" s="236">
        <f t="shared" ref="BF46" si="35">+BE47</f>
        <v>50498</v>
      </c>
      <c r="BG46" s="236">
        <f t="shared" ref="BG46" ca="1" si="36">+BF47</f>
        <v>51189.667751389796</v>
      </c>
      <c r="BH46" s="236">
        <f t="shared" ref="BH46" ca="1" si="37">+BG47</f>
        <v>53290.41175839799</v>
      </c>
      <c r="BI46" s="236">
        <f t="shared" ref="BI46" ca="1" si="38">+BH47</f>
        <v>55479.263875134282</v>
      </c>
    </row>
    <row r="47" spans="2:69">
      <c r="B47" s="236" t="s">
        <v>387</v>
      </c>
      <c r="C47" s="236"/>
      <c r="D47" s="236">
        <f t="shared" ref="D47:J47" si="39">+D45+D46</f>
        <v>3339</v>
      </c>
      <c r="E47" s="236">
        <f t="shared" si="39"/>
        <v>8603</v>
      </c>
      <c r="F47" s="236">
        <f t="shared" si="39"/>
        <v>5121</v>
      </c>
      <c r="G47" s="236">
        <f>+G45+G46</f>
        <v>5788</v>
      </c>
      <c r="H47" s="236">
        <f>+H45+H46</f>
        <v>50498</v>
      </c>
      <c r="I47" s="236">
        <f ca="1">+I45+I46</f>
        <v>59582.178808378638</v>
      </c>
      <c r="J47" s="236">
        <f t="shared" ca="1" si="39"/>
        <v>65465.168598940902</v>
      </c>
      <c r="K47" s="236">
        <f t="shared" ref="K47:P47" ca="1" si="40">+K45+K46</f>
        <v>70418.036207976853</v>
      </c>
      <c r="L47" s="236">
        <f t="shared" ca="1" si="40"/>
        <v>74925.910712232653</v>
      </c>
      <c r="M47" s="236">
        <f t="shared" ca="1" si="40"/>
        <v>79129.662705306881</v>
      </c>
      <c r="N47" s="236">
        <f t="shared" ca="1" si="40"/>
        <v>83075.939812376542</v>
      </c>
      <c r="O47" s="236">
        <f t="shared" ca="1" si="40"/>
        <v>86751.984999202701</v>
      </c>
      <c r="P47" s="236">
        <f t="shared" ca="1" si="40"/>
        <v>90137.642747404869</v>
      </c>
      <c r="Q47" s="236"/>
      <c r="R47" s="236"/>
      <c r="S47" s="236"/>
      <c r="T47" s="236"/>
      <c r="U47" s="236"/>
      <c r="V47" s="236"/>
      <c r="W47" s="236"/>
      <c r="X47" s="236"/>
      <c r="Y47" s="236"/>
      <c r="Z47" s="236"/>
      <c r="AA47" s="236"/>
      <c r="AB47" s="236"/>
      <c r="AC47" s="236"/>
      <c r="AD47" s="236"/>
      <c r="AE47" s="236"/>
      <c r="AF47" s="236"/>
      <c r="AG47" s="236"/>
      <c r="AH47" s="236"/>
      <c r="AI47" s="236"/>
      <c r="AJ47" s="236"/>
      <c r="AK47" s="236"/>
      <c r="AL47" s="236">
        <f>+AL45+AL46</f>
        <v>3875</v>
      </c>
      <c r="AM47" s="236">
        <f t="shared" ref="AM47:AV47" si="41">+AM45+AM46</f>
        <v>4548</v>
      </c>
      <c r="AN47" s="236">
        <f t="shared" si="41"/>
        <v>1371</v>
      </c>
      <c r="AO47" s="236">
        <f t="shared" si="41"/>
        <v>3339</v>
      </c>
      <c r="AP47" s="236">
        <f t="shared" si="41"/>
        <v>3611</v>
      </c>
      <c r="AQ47" s="236">
        <f t="shared" si="41"/>
        <v>11305</v>
      </c>
      <c r="AR47" s="236">
        <f t="shared" si="41"/>
        <v>2458</v>
      </c>
      <c r="AS47" s="236">
        <f t="shared" si="41"/>
        <v>8603</v>
      </c>
      <c r="AT47" s="236">
        <f t="shared" si="41"/>
        <v>4444</v>
      </c>
      <c r="AU47" s="236">
        <f t="shared" si="41"/>
        <v>20956</v>
      </c>
      <c r="AV47" s="236">
        <f t="shared" si="41"/>
        <v>6202</v>
      </c>
      <c r="AW47" s="236">
        <f t="shared" ref="AW47:BB47" si="42">+AW45+AW46</f>
        <v>5121</v>
      </c>
      <c r="AX47" s="236">
        <f t="shared" si="42"/>
        <v>10008</v>
      </c>
      <c r="AY47" s="236">
        <f t="shared" si="42"/>
        <v>7208</v>
      </c>
      <c r="AZ47" s="236">
        <f t="shared" si="42"/>
        <v>5895</v>
      </c>
      <c r="BA47" s="236">
        <f t="shared" si="42"/>
        <v>5788</v>
      </c>
      <c r="BB47" s="236">
        <f t="shared" si="42"/>
        <v>14884</v>
      </c>
      <c r="BC47" s="236">
        <f t="shared" ref="BC47:BD47" si="43">+BC45+BC46</f>
        <v>25617</v>
      </c>
      <c r="BD47" s="236">
        <f t="shared" si="43"/>
        <v>48499</v>
      </c>
      <c r="BE47" s="236">
        <f t="shared" ref="BE47" si="44">+BE45+BE46</f>
        <v>50498</v>
      </c>
      <c r="BF47" s="236">
        <f t="shared" ref="BF47:BI47" ca="1" si="45">+BF45+BF46</f>
        <v>51189.667751389796</v>
      </c>
      <c r="BG47" s="236">
        <f t="shared" ca="1" si="45"/>
        <v>53290.41175839799</v>
      </c>
      <c r="BH47" s="236">
        <f t="shared" ca="1" si="45"/>
        <v>55479.263875134282</v>
      </c>
      <c r="BI47" s="236">
        <f t="shared" ca="1" si="45"/>
        <v>59582.178808378638</v>
      </c>
    </row>
    <row r="48" spans="2:69" ht="16.5" thickBot="1">
      <c r="AL48" s="266"/>
      <c r="AM48" s="266"/>
      <c r="AN48" s="266"/>
      <c r="AO48" s="266"/>
      <c r="AP48" s="266"/>
      <c r="AQ48" s="266"/>
      <c r="AR48" s="266"/>
      <c r="AS48" s="266"/>
      <c r="AV48" s="266"/>
      <c r="AW48" s="266"/>
      <c r="AX48" s="266"/>
      <c r="AY48" s="266"/>
      <c r="AZ48" s="266"/>
      <c r="BA48" s="266"/>
      <c r="BB48" s="266"/>
      <c r="BC48" s="266"/>
      <c r="BD48" s="266"/>
      <c r="BE48" s="266"/>
    </row>
    <row r="49" spans="2:69" s="251" customFormat="1" ht="16.5" thickBot="1">
      <c r="B49" s="194" t="s">
        <v>260</v>
      </c>
      <c r="C49" s="276"/>
      <c r="D49" s="195">
        <f>+D$6</f>
        <v>2013</v>
      </c>
      <c r="E49" s="196">
        <f t="shared" ref="E49:P49" si="46">+E$6</f>
        <v>2014</v>
      </c>
      <c r="F49" s="196">
        <f t="shared" si="46"/>
        <v>2015</v>
      </c>
      <c r="G49" s="196">
        <f t="shared" si="46"/>
        <v>2016</v>
      </c>
      <c r="H49" s="196">
        <f t="shared" si="46"/>
        <v>2017</v>
      </c>
      <c r="I49" s="196" t="str">
        <f t="shared" si="46"/>
        <v>2018E</v>
      </c>
      <c r="J49" s="196" t="str">
        <f t="shared" si="46"/>
        <v>2019E</v>
      </c>
      <c r="K49" s="196" t="str">
        <f t="shared" si="46"/>
        <v>2020E</v>
      </c>
      <c r="L49" s="196" t="str">
        <f t="shared" si="46"/>
        <v>2021E</v>
      </c>
      <c r="M49" s="196" t="str">
        <f t="shared" si="46"/>
        <v>2022E</v>
      </c>
      <c r="N49" s="196" t="str">
        <f t="shared" si="46"/>
        <v>2023E</v>
      </c>
      <c r="O49" s="196" t="str">
        <f t="shared" si="46"/>
        <v>2024E</v>
      </c>
      <c r="P49" s="197" t="str">
        <f t="shared" si="46"/>
        <v>2025E</v>
      </c>
      <c r="Q49" s="241"/>
      <c r="R49" s="196"/>
      <c r="S49" s="196"/>
      <c r="T49" s="196"/>
      <c r="U49" s="196"/>
      <c r="V49" s="196"/>
      <c r="W49" s="196"/>
      <c r="X49" s="196"/>
      <c r="Y49" s="196"/>
      <c r="Z49" s="196"/>
      <c r="AA49" s="196"/>
      <c r="AB49" s="196"/>
      <c r="AC49" s="196"/>
      <c r="AD49" s="196"/>
      <c r="AE49" s="196"/>
      <c r="AF49" s="196"/>
      <c r="AG49" s="196"/>
      <c r="AH49" s="196"/>
      <c r="AI49" s="196"/>
      <c r="AJ49" s="196"/>
      <c r="AK49" s="196"/>
      <c r="AL49" s="196" t="s">
        <v>248</v>
      </c>
      <c r="AM49" s="196" t="s">
        <v>249</v>
      </c>
      <c r="AN49" s="196" t="s">
        <v>250</v>
      </c>
      <c r="AO49" s="196" t="s">
        <v>251</v>
      </c>
      <c r="AP49" s="196" t="s">
        <v>156</v>
      </c>
      <c r="AQ49" s="196" t="s">
        <v>157</v>
      </c>
      <c r="AR49" s="196" t="s">
        <v>158</v>
      </c>
      <c r="AS49" s="196" t="s">
        <v>159</v>
      </c>
      <c r="AT49" s="196" t="str">
        <f>+AT$6</f>
        <v>1Q15</v>
      </c>
      <c r="AU49" s="196" t="str">
        <f t="shared" ref="AU49:BI49" si="47">+AU$6</f>
        <v>2Q15</v>
      </c>
      <c r="AV49" s="196" t="str">
        <f t="shared" si="47"/>
        <v>3Q15</v>
      </c>
      <c r="AW49" s="196" t="str">
        <f t="shared" si="47"/>
        <v>4Q15</v>
      </c>
      <c r="AX49" s="196" t="str">
        <f t="shared" si="47"/>
        <v>1Q16</v>
      </c>
      <c r="AY49" s="196" t="str">
        <f t="shared" si="47"/>
        <v>2Q16</v>
      </c>
      <c r="AZ49" s="196" t="str">
        <f t="shared" si="47"/>
        <v>3Q16</v>
      </c>
      <c r="BA49" s="196" t="str">
        <f t="shared" si="47"/>
        <v>4Q16</v>
      </c>
      <c r="BB49" s="196" t="str">
        <f t="shared" si="47"/>
        <v>1Q17</v>
      </c>
      <c r="BC49" s="196" t="str">
        <f t="shared" si="47"/>
        <v>2Q17</v>
      </c>
      <c r="BD49" s="196" t="str">
        <f t="shared" si="47"/>
        <v>3Q17</v>
      </c>
      <c r="BE49" s="196" t="str">
        <f t="shared" si="47"/>
        <v>4Q17</v>
      </c>
      <c r="BF49" s="196" t="str">
        <f t="shared" si="47"/>
        <v>1Q18E</v>
      </c>
      <c r="BG49" s="196" t="str">
        <f t="shared" si="47"/>
        <v>2Q18E</v>
      </c>
      <c r="BH49" s="196" t="str">
        <f t="shared" si="47"/>
        <v>3Q18E</v>
      </c>
      <c r="BI49" s="197" t="str">
        <f t="shared" si="47"/>
        <v>4Q18E</v>
      </c>
      <c r="BL49"/>
      <c r="BM49"/>
      <c r="BN49"/>
      <c r="BO49"/>
      <c r="BP49"/>
      <c r="BQ49"/>
    </row>
    <row r="50" spans="2:69" s="251" customFormat="1">
      <c r="B50" s="276"/>
      <c r="C50" s="276"/>
      <c r="D50" s="286"/>
      <c r="E50" s="286"/>
      <c r="F50" s="286"/>
      <c r="G50" s="286"/>
      <c r="H50" s="286"/>
      <c r="I50" s="286"/>
      <c r="J50" s="286"/>
      <c r="K50" s="286"/>
      <c r="L50" s="286"/>
      <c r="M50" s="286"/>
      <c r="N50" s="286"/>
      <c r="O50" s="286"/>
      <c r="P50" s="286"/>
      <c r="Q50" s="276"/>
      <c r="R50" s="286"/>
      <c r="S50" s="286"/>
      <c r="T50" s="286"/>
      <c r="U50" s="286"/>
      <c r="V50" s="286"/>
      <c r="W50" s="286"/>
      <c r="X50" s="286"/>
      <c r="Y50" s="286"/>
      <c r="Z50" s="286"/>
      <c r="AA50" s="286"/>
      <c r="AB50" s="286"/>
      <c r="AC50" s="286"/>
      <c r="AD50" s="286"/>
      <c r="AE50" s="286"/>
      <c r="AF50" s="286"/>
      <c r="AG50" s="286"/>
      <c r="AH50" s="286"/>
      <c r="AI50" s="286"/>
      <c r="AJ50" s="286"/>
      <c r="AK50" s="286"/>
      <c r="AL50" s="286"/>
      <c r="AM50" s="286"/>
      <c r="AN50" s="286"/>
      <c r="AO50" s="286"/>
      <c r="AP50" s="286"/>
      <c r="AQ50" s="286"/>
      <c r="AR50" s="286"/>
      <c r="AS50" s="286"/>
      <c r="AT50" s="286"/>
      <c r="AU50" s="286"/>
      <c r="AV50" s="286"/>
      <c r="AW50" s="286"/>
      <c r="AX50" s="286"/>
      <c r="AY50" s="286"/>
      <c r="AZ50" s="286"/>
      <c r="BA50" s="286"/>
      <c r="BB50" s="286"/>
      <c r="BC50" s="286"/>
      <c r="BD50" s="286"/>
      <c r="BE50" s="286"/>
      <c r="BF50" s="286"/>
      <c r="BG50" s="286"/>
      <c r="BH50" s="286"/>
      <c r="BI50" s="286"/>
      <c r="BL50"/>
      <c r="BM50"/>
      <c r="BN50"/>
      <c r="BO50"/>
      <c r="BP50"/>
      <c r="BQ50"/>
    </row>
    <row r="51" spans="2:69" s="236" customFormat="1" hidden="1" outlineLevel="1">
      <c r="B51" s="201" t="s">
        <v>282</v>
      </c>
      <c r="D51" s="168">
        <f>SUM(AL51:AO51)</f>
        <v>41835</v>
      </c>
      <c r="E51" s="168">
        <f>SUM(AP51:AS51)</f>
        <v>41261</v>
      </c>
      <c r="F51" s="168">
        <f>SUM(AT51:AW51)</f>
        <v>47130</v>
      </c>
      <c r="G51" s="168">
        <f t="shared" ref="G51:I57" si="48">SUM(AX51:BA51)</f>
        <v>52479</v>
      </c>
      <c r="H51" s="168">
        <f t="shared" si="48"/>
        <v>52280</v>
      </c>
      <c r="I51" s="168">
        <f t="shared" si="48"/>
        <v>52470</v>
      </c>
      <c r="J51">
        <f ca="1">+'Income Statement'!J24</f>
        <v>54094.090343911346</v>
      </c>
      <c r="K51" s="474">
        <f ca="1">+'Income Statement'!K24</f>
        <v>54157.320474868</v>
      </c>
      <c r="L51" s="474">
        <f ca="1">+'Income Statement'!L24</f>
        <v>54129.161602815482</v>
      </c>
      <c r="M51" s="474">
        <f ca="1">+'Income Statement'!M24</f>
        <v>54411.896546281801</v>
      </c>
      <c r="N51" s="474">
        <f ca="1">+'Income Statement'!N24</f>
        <v>54596.798423628832</v>
      </c>
      <c r="O51" s="474">
        <f ca="1">+'Income Statement'!O24</f>
        <v>54760.716617909871</v>
      </c>
      <c r="P51" s="474">
        <f ca="1">+'Income Statement'!P24</f>
        <v>54937.805846571326</v>
      </c>
      <c r="R51" s="154"/>
      <c r="S51" s="154"/>
      <c r="T51" s="154"/>
      <c r="U51" s="154"/>
      <c r="V51" s="154"/>
      <c r="W51" s="154"/>
      <c r="X51" s="154"/>
      <c r="Y51" s="154"/>
      <c r="Z51" s="154"/>
      <c r="AA51" s="154"/>
      <c r="AB51" s="154"/>
      <c r="AC51" s="154"/>
      <c r="AD51" s="154"/>
      <c r="AE51" s="154"/>
      <c r="AF51" s="154"/>
      <c r="AG51" s="154"/>
      <c r="AH51" s="154"/>
      <c r="AI51" s="154"/>
      <c r="AJ51" s="154"/>
      <c r="AK51" s="154"/>
      <c r="AL51" s="168">
        <f>+'Income Statement'!AL24</f>
        <v>10502</v>
      </c>
      <c r="AM51" s="168">
        <f>+'Income Statement'!AM24</f>
        <v>10768</v>
      </c>
      <c r="AN51" s="168">
        <f>+'Income Statement'!AN24</f>
        <v>10663</v>
      </c>
      <c r="AO51" s="168">
        <f>+'Income Statement'!AO24</f>
        <v>9902</v>
      </c>
      <c r="AP51" s="168">
        <f>+'Income Statement'!AP24</f>
        <v>11033</v>
      </c>
      <c r="AQ51" s="168">
        <f>+'Income Statement'!AQ24</f>
        <v>10386</v>
      </c>
      <c r="AR51" s="168">
        <f>+'Income Statement'!AR24</f>
        <v>10359</v>
      </c>
      <c r="AS51" s="168">
        <f>+'Income Statement'!AS24</f>
        <v>9483</v>
      </c>
      <c r="AT51" s="168">
        <f>+'Income Statement'!AT24</f>
        <v>10650</v>
      </c>
      <c r="AU51" s="168">
        <f>+'Income Statement'!AU24</f>
        <v>11164</v>
      </c>
      <c r="AV51" s="168">
        <f>+'Income Statement'!AV24</f>
        <v>13040</v>
      </c>
      <c r="AW51" s="168">
        <f>+'Income Statement'!AW24</f>
        <v>12276</v>
      </c>
      <c r="AX51" s="168">
        <f>+'Income Statement'!AX24</f>
        <v>13279</v>
      </c>
      <c r="AY51" s="168">
        <f>+'Income Statement'!AY24</f>
        <v>13397</v>
      </c>
      <c r="AZ51" s="168">
        <f>+'Income Statement'!AZ24</f>
        <v>13589</v>
      </c>
      <c r="BA51" s="168">
        <f>+'Income Statement'!BA24</f>
        <v>12214</v>
      </c>
      <c r="BB51" s="168">
        <f>+'Income Statement'!BB24</f>
        <v>13080</v>
      </c>
      <c r="BC51" s="168">
        <f>+'Income Statement'!BC24</f>
        <v>13587</v>
      </c>
      <c r="BD51" s="168">
        <f>+'Income Statement'!BD24</f>
        <v>12994</v>
      </c>
      <c r="BE51" s="168">
        <f>+'Income Statement'!BE24</f>
        <v>11854</v>
      </c>
      <c r="BF51" s="168">
        <f ca="1">+'Income Statement'!BF24</f>
        <v>13125.253735104336</v>
      </c>
      <c r="BG51" s="168">
        <f ca="1">+'Income Statement'!BG24</f>
        <v>13372.155107013659</v>
      </c>
      <c r="BH51" s="168">
        <f ca="1">+'Income Statement'!BH24</f>
        <v>13536.451371064635</v>
      </c>
      <c r="BI51" s="168">
        <f ca="1">+'Income Statement'!BI24</f>
        <v>12762.695940227619</v>
      </c>
      <c r="BL51"/>
      <c r="BM51"/>
      <c r="BN51"/>
      <c r="BO51"/>
      <c r="BP51"/>
      <c r="BQ51"/>
    </row>
    <row r="52" spans="2:69" s="236" customFormat="1" hidden="1" outlineLevel="1">
      <c r="B52" s="201" t="s">
        <v>174</v>
      </c>
      <c r="D52" s="168">
        <f t="shared" ref="D52:D57" si="49">SUM(AL52:AO52)</f>
        <v>-21228</v>
      </c>
      <c r="E52" s="168">
        <f t="shared" ref="E52:E57" si="50">SUM(AP52:AS52)</f>
        <v>-21433</v>
      </c>
      <c r="F52" s="168">
        <f t="shared" ref="F52:F57" si="51">SUM(AT52:AW52)</f>
        <v>-20015</v>
      </c>
      <c r="G52" s="168">
        <f t="shared" si="48"/>
        <v>-22408</v>
      </c>
      <c r="H52" s="168">
        <f t="shared" si="48"/>
        <v>-23754</v>
      </c>
      <c r="I52" s="168">
        <f t="shared" si="48"/>
        <v>-23492</v>
      </c>
      <c r="J52" s="168">
        <f t="shared" ref="J52:P52" si="52">+J27</f>
        <v>-22994.839274599002</v>
      </c>
      <c r="K52" s="168">
        <f t="shared" si="52"/>
        <v>-23076.337745646881</v>
      </c>
      <c r="L52" s="168">
        <f t="shared" si="52"/>
        <v>-23123.956367704497</v>
      </c>
      <c r="M52" s="168">
        <f t="shared" si="52"/>
        <v>-23151.304464512799</v>
      </c>
      <c r="N52" s="168">
        <f t="shared" si="52"/>
        <v>-23179.404171942264</v>
      </c>
      <c r="O52" s="168">
        <f t="shared" si="52"/>
        <v>-23232.552803220591</v>
      </c>
      <c r="P52" s="168">
        <f t="shared" si="52"/>
        <v>-23338.550828967702</v>
      </c>
      <c r="R52" s="154"/>
      <c r="S52" s="154"/>
      <c r="T52" s="154"/>
      <c r="U52" s="154"/>
      <c r="V52" s="154"/>
      <c r="W52" s="154"/>
      <c r="X52" s="154"/>
      <c r="Y52" s="154"/>
      <c r="Z52" s="154"/>
      <c r="AA52" s="154"/>
      <c r="AB52" s="154"/>
      <c r="AC52" s="154"/>
      <c r="AD52" s="154"/>
      <c r="AE52" s="154"/>
      <c r="AF52" s="154"/>
      <c r="AG52" s="154"/>
      <c r="AH52" s="154"/>
      <c r="AI52" s="154"/>
      <c r="AJ52" s="154"/>
      <c r="AK52" s="154"/>
      <c r="AL52" s="168">
        <f t="shared" ref="AL52:BI52" si="53">+AL27</f>
        <v>-4318</v>
      </c>
      <c r="AM52" s="168">
        <f t="shared" si="53"/>
        <v>-5487</v>
      </c>
      <c r="AN52" s="168">
        <f t="shared" si="53"/>
        <v>-5973</v>
      </c>
      <c r="AO52" s="168">
        <f t="shared" si="53"/>
        <v>-5450</v>
      </c>
      <c r="AP52" s="168">
        <f t="shared" si="53"/>
        <v>-5771</v>
      </c>
      <c r="AQ52" s="168">
        <f t="shared" si="53"/>
        <v>-5996</v>
      </c>
      <c r="AR52" s="168">
        <f t="shared" si="53"/>
        <v>-5240</v>
      </c>
      <c r="AS52" s="168">
        <f t="shared" si="53"/>
        <v>-4426</v>
      </c>
      <c r="AT52" s="168">
        <f t="shared" si="53"/>
        <v>-3971</v>
      </c>
      <c r="AU52" s="168">
        <f t="shared" si="53"/>
        <v>-4696</v>
      </c>
      <c r="AV52" s="168">
        <f t="shared" si="53"/>
        <v>-5255</v>
      </c>
      <c r="AW52" s="168">
        <f t="shared" si="53"/>
        <v>-6093</v>
      </c>
      <c r="AX52" s="168">
        <f t="shared" si="53"/>
        <v>-4669</v>
      </c>
      <c r="AY52" s="168">
        <f t="shared" si="53"/>
        <v>-5470</v>
      </c>
      <c r="AZ52" s="168">
        <f t="shared" si="53"/>
        <v>-5813</v>
      </c>
      <c r="BA52" s="168">
        <f t="shared" si="53"/>
        <v>-6456</v>
      </c>
      <c r="BB52" s="168">
        <f t="shared" si="53"/>
        <v>-6015</v>
      </c>
      <c r="BC52" s="168">
        <f t="shared" si="53"/>
        <v>-5208</v>
      </c>
      <c r="BD52" s="168">
        <f t="shared" si="53"/>
        <v>-5251</v>
      </c>
      <c r="BE52" s="168">
        <f t="shared" si="53"/>
        <v>-5076</v>
      </c>
      <c r="BF52" s="168">
        <f t="shared" ca="1" si="53"/>
        <v>-5865.9978364347917</v>
      </c>
      <c r="BG52" s="168">
        <f t="shared" ca="1" si="53"/>
        <v>-6128.0310658084436</v>
      </c>
      <c r="BH52" s="168">
        <f t="shared" ca="1" si="53"/>
        <v>-6391.4774564816798</v>
      </c>
      <c r="BI52" s="168">
        <f t="shared" ca="1" si="53"/>
        <v>-6683.2062466868711</v>
      </c>
      <c r="BL52"/>
      <c r="BM52"/>
      <c r="BN52"/>
      <c r="BO52"/>
      <c r="BP52"/>
      <c r="BQ52"/>
    </row>
    <row r="53" spans="2:69" s="236" customFormat="1" hidden="1" outlineLevel="1">
      <c r="B53" s="201" t="s">
        <v>266</v>
      </c>
      <c r="D53" s="168">
        <f t="shared" si="49"/>
        <v>-3940</v>
      </c>
      <c r="E53" s="168">
        <f t="shared" si="50"/>
        <v>-3613</v>
      </c>
      <c r="F53" s="168">
        <f t="shared" si="51"/>
        <v>-4120</v>
      </c>
      <c r="G53" s="168">
        <f t="shared" si="48"/>
        <v>-4910</v>
      </c>
      <c r="H53" s="168">
        <f t="shared" si="48"/>
        <v>-4996</v>
      </c>
      <c r="I53" s="168">
        <f t="shared" si="48"/>
        <v>-5133</v>
      </c>
      <c r="J53">
        <f>-'Income Statement'!J40</f>
        <v>-7395.57</v>
      </c>
      <c r="K53" s="474">
        <f>-'Income Statement'!K40</f>
        <v>-7395.57</v>
      </c>
      <c r="L53" s="474">
        <f>-'Income Statement'!L40</f>
        <v>-7395.57</v>
      </c>
      <c r="M53" s="474">
        <f>-'Income Statement'!M40</f>
        <v>-7395.57</v>
      </c>
      <c r="N53" s="474">
        <f>-'Income Statement'!N40</f>
        <v>-7395.57</v>
      </c>
      <c r="O53" s="474">
        <f>-'Income Statement'!O40</f>
        <v>-7395.57</v>
      </c>
      <c r="P53" s="474">
        <f>-'Income Statement'!P40</f>
        <v>-7395.57</v>
      </c>
      <c r="R53" s="154"/>
      <c r="S53" s="154"/>
      <c r="T53" s="154"/>
      <c r="U53" s="154"/>
      <c r="V53" s="154"/>
      <c r="W53" s="154"/>
      <c r="X53" s="154"/>
      <c r="Y53" s="154"/>
      <c r="Z53" s="154"/>
      <c r="AA53" s="154"/>
      <c r="AB53" s="154"/>
      <c r="AC53" s="154"/>
      <c r="AD53" s="154"/>
      <c r="AE53" s="154"/>
      <c r="AF53" s="154"/>
      <c r="AG53" s="154"/>
      <c r="AH53" s="154"/>
      <c r="AI53" s="154"/>
      <c r="AJ53" s="154"/>
      <c r="AK53" s="154"/>
      <c r="AL53" s="168">
        <f>-'Income Statement'!AL40</f>
        <v>-827</v>
      </c>
      <c r="AM53" s="168">
        <f>-'Income Statement'!AM40</f>
        <v>-825</v>
      </c>
      <c r="AN53" s="168">
        <f>-'Income Statement'!AN40</f>
        <v>-829</v>
      </c>
      <c r="AO53" s="168">
        <f>-'Income Statement'!AO40</f>
        <v>-1459</v>
      </c>
      <c r="AP53" s="168">
        <f>-'Income Statement'!AP40</f>
        <v>-860</v>
      </c>
      <c r="AQ53" s="168">
        <f>-'Income Statement'!AQ40</f>
        <v>-881</v>
      </c>
      <c r="AR53" s="168">
        <f>-'Income Statement'!AR40</f>
        <v>-1016</v>
      </c>
      <c r="AS53" s="168">
        <f>-'Income Statement'!AS40</f>
        <v>-856</v>
      </c>
      <c r="AT53" s="168">
        <f>-'Income Statement'!AT40</f>
        <v>-899</v>
      </c>
      <c r="AU53" s="168">
        <f>-'Income Statement'!AU40</f>
        <v>-932</v>
      </c>
      <c r="AV53" s="168">
        <f>-'Income Statement'!AV40</f>
        <v>-1146</v>
      </c>
      <c r="AW53" s="168">
        <f>-'Income Statement'!AW40</f>
        <v>-1143</v>
      </c>
      <c r="AX53" s="168">
        <f>-'Income Statement'!AX40</f>
        <v>-1207</v>
      </c>
      <c r="AY53" s="168">
        <f>-'Income Statement'!AY40</f>
        <v>-1258</v>
      </c>
      <c r="AZ53" s="168">
        <f>-'Income Statement'!AZ40</f>
        <v>-1224</v>
      </c>
      <c r="BA53" s="168">
        <f>-'Income Statement'!BA40</f>
        <v>-1221</v>
      </c>
      <c r="BB53" s="168">
        <f>-'Income Statement'!BB40</f>
        <v>-1293</v>
      </c>
      <c r="BC53" s="168">
        <f>-'Income Statement'!BC40</f>
        <v>-1395</v>
      </c>
      <c r="BD53" s="168">
        <f>-'Income Statement'!BD40</f>
        <v>-1686</v>
      </c>
      <c r="BE53" s="168">
        <f>-'Income Statement'!BE40</f>
        <v>-1926</v>
      </c>
      <c r="BF53" s="168">
        <f>-'Income Statement'!BF40</f>
        <v>-1848.8924999999999</v>
      </c>
      <c r="BG53" s="168">
        <f>-'Income Statement'!BG40</f>
        <v>-1848.8924999999999</v>
      </c>
      <c r="BH53" s="168">
        <f>-'Income Statement'!BH40</f>
        <v>-1848.8924999999999</v>
      </c>
      <c r="BI53" s="168">
        <f>-'Income Statement'!BI40</f>
        <v>-1848.8924999999999</v>
      </c>
      <c r="BL53"/>
      <c r="BM53"/>
      <c r="BN53"/>
      <c r="BO53"/>
      <c r="BP53"/>
      <c r="BQ53"/>
    </row>
    <row r="54" spans="2:69" s="236" customFormat="1" hidden="1" outlineLevel="1">
      <c r="B54" s="201" t="s">
        <v>167</v>
      </c>
      <c r="D54" s="168">
        <f t="shared" si="49"/>
        <v>-604.72500000000036</v>
      </c>
      <c r="E54" s="168">
        <f t="shared" si="50"/>
        <v>-5570.4600000000009</v>
      </c>
      <c r="F54" s="168">
        <f t="shared" si="51"/>
        <v>-3862.25</v>
      </c>
      <c r="G54" s="168">
        <f t="shared" si="48"/>
        <v>-6477.52</v>
      </c>
      <c r="H54" s="168">
        <f t="shared" si="48"/>
        <v>-7282</v>
      </c>
      <c r="I54" s="168">
        <f t="shared" si="48"/>
        <v>-7264</v>
      </c>
      <c r="J54">
        <f ca="1">-'Income Statement'!J46+J14</f>
        <v>-4328.1745691451224</v>
      </c>
      <c r="K54" s="474">
        <f ca="1">-'Income Statement'!K46+K14</f>
        <v>-4279.5722064112724</v>
      </c>
      <c r="L54" s="474">
        <f ca="1">-'Income Statement'!L46+L14</f>
        <v>-4222.6726925373423</v>
      </c>
      <c r="M54" s="474">
        <f ca="1">-'Income Statement'!M46+M14</f>
        <v>-4246.5284630650294</v>
      </c>
      <c r="N54" s="474">
        <f ca="1">-'Income Statement'!N46+N14</f>
        <v>-4251.0965237518285</v>
      </c>
      <c r="O54" s="474">
        <f ca="1">-'Income Statement'!O46+O14</f>
        <v>-4246.4145613187738</v>
      </c>
      <c r="P54" s="474">
        <f ca="1">-'Income Statement'!P46+P14</f>
        <v>-4237.6108620296209</v>
      </c>
      <c r="R54" s="154"/>
      <c r="S54" s="154"/>
      <c r="T54" s="154"/>
      <c r="U54" s="154"/>
      <c r="V54" s="154"/>
      <c r="W54" s="154"/>
      <c r="X54" s="154"/>
      <c r="Y54" s="154"/>
      <c r="Z54" s="154"/>
      <c r="AA54" s="154"/>
      <c r="AB54" s="154"/>
      <c r="AC54" s="154"/>
      <c r="AD54" s="154"/>
      <c r="AE54" s="154"/>
      <c r="AF54" s="154"/>
      <c r="AG54" s="154"/>
      <c r="AH54" s="154"/>
      <c r="AI54" s="154"/>
      <c r="AJ54" s="154"/>
      <c r="AK54" s="154"/>
      <c r="AL54" s="168">
        <f>-'Income Statement'!AL46+AL14</f>
        <v>-1225.9000000000001</v>
      </c>
      <c r="AM54" s="168">
        <f>-'Income Statement'!AM46+AM14</f>
        <v>-1529</v>
      </c>
      <c r="AN54" s="168">
        <f>-'Income Statement'!AN46+AN14</f>
        <v>-244.77999999999997</v>
      </c>
      <c r="AO54" s="168">
        <f>-'Income Statement'!AO46+AO14</f>
        <v>2394.9549999999999</v>
      </c>
      <c r="AP54" s="168">
        <f>-'Income Statement'!AP46+AP14</f>
        <v>-1392.2</v>
      </c>
      <c r="AQ54" s="168">
        <f>-'Income Statement'!AQ46+AQ14</f>
        <v>-2613.35</v>
      </c>
      <c r="AR54" s="168">
        <f>-'Income Statement'!AR46+AR14</f>
        <v>-775.25</v>
      </c>
      <c r="AS54" s="168">
        <f>-'Income Statement'!AS46+AS14</f>
        <v>-789.66000000000031</v>
      </c>
      <c r="AT54" s="168">
        <f>-'Income Statement'!AT46+AT14</f>
        <v>-1633.7</v>
      </c>
      <c r="AU54" s="168">
        <f>-'Income Statement'!AU46+AU14</f>
        <v>-958.5</v>
      </c>
      <c r="AV54" s="168">
        <f>-'Income Statement'!AV46+AV14</f>
        <v>-1948.3600000000001</v>
      </c>
      <c r="AW54" s="168">
        <f>-'Income Statement'!AW46+AW14</f>
        <v>678.30999999999972</v>
      </c>
      <c r="AX54" s="168">
        <f>-'Income Statement'!AX46+AX14</f>
        <v>-1075.52</v>
      </c>
      <c r="AY54" s="168">
        <f>-'Income Statement'!AY46+AY14</f>
        <v>-2035</v>
      </c>
      <c r="AZ54" s="168">
        <f>-'Income Statement'!AZ46+AZ14</f>
        <v>-1171</v>
      </c>
      <c r="BA54" s="168">
        <f>-'Income Statement'!BA46+BA14</f>
        <v>-2196</v>
      </c>
      <c r="BB54" s="168">
        <f>-'Income Statement'!BB46+BB14</f>
        <v>-1880</v>
      </c>
      <c r="BC54" s="168">
        <f>-'Income Statement'!BC46+BC14</f>
        <v>-2017</v>
      </c>
      <c r="BD54" s="168">
        <f>-'Income Statement'!BD46+BD14</f>
        <v>-131</v>
      </c>
      <c r="BE54" s="168">
        <f>-'Income Statement'!BE46+BE14</f>
        <v>-20138</v>
      </c>
      <c r="BF54" s="168">
        <f ca="1">-'Income Statement'!BF46+BF14</f>
        <v>-297.00390800720447</v>
      </c>
      <c r="BG54" s="168">
        <f ca="1">-'Income Statement'!BG46+BG14</f>
        <v>-350.89837703177295</v>
      </c>
      <c r="BH54" s="168">
        <f ca="1">-'Income Statement'!BH46+BH14</f>
        <v>-388.28944318809272</v>
      </c>
      <c r="BI54" s="168">
        <f ca="1">-'Income Statement'!BI46+BI14</f>
        <v>-164.38823127886121</v>
      </c>
      <c r="BL54"/>
      <c r="BM54"/>
      <c r="BN54"/>
      <c r="BO54"/>
      <c r="BP54"/>
      <c r="BQ54"/>
    </row>
    <row r="55" spans="2:69" s="236" customFormat="1" hidden="1" outlineLevel="1">
      <c r="B55" s="201" t="s">
        <v>390</v>
      </c>
      <c r="D55" s="165">
        <v>-209</v>
      </c>
      <c r="E55" s="168">
        <f t="shared" si="50"/>
        <v>-560</v>
      </c>
      <c r="F55" s="168">
        <f t="shared" si="51"/>
        <v>-735</v>
      </c>
      <c r="G55" s="168">
        <f t="shared" si="48"/>
        <v>-910</v>
      </c>
      <c r="H55" s="168">
        <f t="shared" si="48"/>
        <v>-910</v>
      </c>
      <c r="I55" s="168">
        <f t="shared" si="48"/>
        <v>-910</v>
      </c>
      <c r="J55" s="165">
        <v>-560</v>
      </c>
      <c r="K55" s="165">
        <v>-560</v>
      </c>
      <c r="L55" s="165">
        <v>-560</v>
      </c>
      <c r="M55" s="165">
        <v>-560</v>
      </c>
      <c r="N55" s="165">
        <v>-560</v>
      </c>
      <c r="O55" s="165">
        <v>-560</v>
      </c>
      <c r="P55" s="165">
        <v>-560</v>
      </c>
      <c r="R55" s="154"/>
      <c r="S55" s="154"/>
      <c r="T55" s="154"/>
      <c r="U55" s="154"/>
      <c r="V55" s="154"/>
      <c r="W55" s="154"/>
      <c r="X55" s="154"/>
      <c r="Y55" s="154"/>
      <c r="Z55" s="154"/>
      <c r="AA55" s="154"/>
      <c r="AB55" s="154"/>
      <c r="AC55" s="154"/>
      <c r="AD55" s="154"/>
      <c r="AE55" s="154"/>
      <c r="AF55" s="154"/>
      <c r="AG55" s="154"/>
      <c r="AH55" s="154"/>
      <c r="AI55" s="154"/>
      <c r="AJ55" s="154"/>
      <c r="AK55" s="154"/>
      <c r="AL55" s="165">
        <f>$D$55/4</f>
        <v>-52.25</v>
      </c>
      <c r="AM55" s="165">
        <f>$D$55/4</f>
        <v>-52.25</v>
      </c>
      <c r="AN55" s="165">
        <f>$D$55/4</f>
        <v>-52.25</v>
      </c>
      <c r="AO55" s="165">
        <f>$D$55/4</f>
        <v>-52.25</v>
      </c>
      <c r="AP55" s="165">
        <v>-140</v>
      </c>
      <c r="AQ55" s="165">
        <v>-140</v>
      </c>
      <c r="AR55" s="165">
        <v>-140</v>
      </c>
      <c r="AS55" s="165">
        <v>-140</v>
      </c>
      <c r="AT55" s="165">
        <v>-140</v>
      </c>
      <c r="AU55" s="165">
        <f>-140-175</f>
        <v>-315</v>
      </c>
      <c r="AV55" s="165">
        <v>-140</v>
      </c>
      <c r="AW55" s="165">
        <v>-140</v>
      </c>
      <c r="AX55" s="166">
        <f t="shared" ref="AX55:BE55" si="54">+AX22</f>
        <v>-140</v>
      </c>
      <c r="AY55" s="166">
        <f t="shared" si="54"/>
        <v>-140</v>
      </c>
      <c r="AZ55" s="166">
        <f t="shared" si="54"/>
        <v>-490</v>
      </c>
      <c r="BA55" s="166">
        <f t="shared" si="54"/>
        <v>-140</v>
      </c>
      <c r="BB55" s="166">
        <f t="shared" si="54"/>
        <v>-140</v>
      </c>
      <c r="BC55" s="166">
        <f t="shared" si="54"/>
        <v>-140</v>
      </c>
      <c r="BD55" s="166">
        <f t="shared" si="54"/>
        <v>-140</v>
      </c>
      <c r="BE55" s="166">
        <f t="shared" si="54"/>
        <v>-646</v>
      </c>
      <c r="BF55" s="165">
        <v>-140</v>
      </c>
      <c r="BG55" s="165">
        <v>-140</v>
      </c>
      <c r="BH55" s="165">
        <v>-140</v>
      </c>
      <c r="BI55" s="165">
        <v>-140</v>
      </c>
      <c r="BL55"/>
      <c r="BM55"/>
      <c r="BN55"/>
      <c r="BO55"/>
      <c r="BP55"/>
      <c r="BQ55"/>
    </row>
    <row r="56" spans="2:69" s="236" customFormat="1" hidden="1" outlineLevel="1">
      <c r="B56" s="201" t="s">
        <v>391</v>
      </c>
      <c r="D56" s="168">
        <f t="shared" si="49"/>
        <v>-1069</v>
      </c>
      <c r="E56" s="168">
        <f t="shared" si="50"/>
        <v>-1201</v>
      </c>
      <c r="F56" s="168">
        <f t="shared" si="51"/>
        <v>-1033</v>
      </c>
      <c r="G56" s="168">
        <f t="shared" si="48"/>
        <v>823</v>
      </c>
      <c r="H56" s="168">
        <f t="shared" si="48"/>
        <v>2485</v>
      </c>
      <c r="I56" s="168">
        <f t="shared" si="48"/>
        <v>99</v>
      </c>
      <c r="J56" s="168">
        <f t="shared" ref="J56:P56" ca="1" si="55">+SUM(J18:J20)</f>
        <v>-590.71941774806146</v>
      </c>
      <c r="K56" s="168">
        <f t="shared" ca="1" si="55"/>
        <v>-260.47605407966876</v>
      </c>
      <c r="L56" s="168">
        <f t="shared" ca="1" si="55"/>
        <v>-289.22037343497868</v>
      </c>
      <c r="M56" s="168">
        <f t="shared" ca="1" si="55"/>
        <v>-420.60904600995309</v>
      </c>
      <c r="N56" s="168">
        <f t="shared" ca="1" si="55"/>
        <v>-418.92484872741443</v>
      </c>
      <c r="O56" s="168">
        <f t="shared" ca="1" si="55"/>
        <v>-385.8407148442966</v>
      </c>
      <c r="P56" s="168">
        <f t="shared" ca="1" si="55"/>
        <v>-329.722355008671</v>
      </c>
      <c r="R56" s="154"/>
      <c r="S56" s="154"/>
      <c r="T56" s="154"/>
      <c r="U56" s="154"/>
      <c r="V56" s="154"/>
      <c r="W56" s="154"/>
      <c r="X56" s="154"/>
      <c r="Y56" s="154"/>
      <c r="Z56" s="154"/>
      <c r="AA56" s="154"/>
      <c r="AB56" s="154"/>
      <c r="AC56" s="154"/>
      <c r="AD56" s="154"/>
      <c r="AE56" s="154"/>
      <c r="AF56" s="154"/>
      <c r="AG56" s="154"/>
      <c r="AH56" s="154"/>
      <c r="AI56" s="154"/>
      <c r="AJ56" s="154"/>
      <c r="AK56" s="154"/>
      <c r="AL56" s="168">
        <f t="shared" ref="AL56:BI56" si="56">+SUM(AL18:AL20)</f>
        <v>-516</v>
      </c>
      <c r="AM56" s="168">
        <f t="shared" si="56"/>
        <v>670</v>
      </c>
      <c r="AN56" s="168">
        <f t="shared" si="56"/>
        <v>-494</v>
      </c>
      <c r="AO56" s="168">
        <f t="shared" si="56"/>
        <v>-729</v>
      </c>
      <c r="AP56" s="168">
        <f t="shared" si="56"/>
        <v>187</v>
      </c>
      <c r="AQ56" s="168">
        <f t="shared" si="56"/>
        <v>1370</v>
      </c>
      <c r="AR56" s="168">
        <f t="shared" si="56"/>
        <v>1124</v>
      </c>
      <c r="AS56" s="168">
        <f t="shared" si="56"/>
        <v>-3882</v>
      </c>
      <c r="AT56" s="168">
        <f t="shared" si="56"/>
        <v>-1065</v>
      </c>
      <c r="AU56" s="168">
        <f t="shared" si="56"/>
        <v>1117</v>
      </c>
      <c r="AV56" s="168">
        <f t="shared" si="56"/>
        <v>2030</v>
      </c>
      <c r="AW56" s="168">
        <f t="shared" si="56"/>
        <v>-3115</v>
      </c>
      <c r="AX56" s="168">
        <f t="shared" si="56"/>
        <v>-2767</v>
      </c>
      <c r="AY56" s="168">
        <f t="shared" si="56"/>
        <v>1320</v>
      </c>
      <c r="AZ56" s="168">
        <f t="shared" si="56"/>
        <v>971</v>
      </c>
      <c r="BA56" s="168">
        <f t="shared" si="56"/>
        <v>1299</v>
      </c>
      <c r="BB56" s="168">
        <f t="shared" si="56"/>
        <v>-1105</v>
      </c>
      <c r="BC56" s="168">
        <f t="shared" si="56"/>
        <v>-1066</v>
      </c>
      <c r="BD56" s="168">
        <f t="shared" si="56"/>
        <v>-24</v>
      </c>
      <c r="BE56" s="168">
        <f t="shared" si="56"/>
        <v>1248</v>
      </c>
      <c r="BF56" s="168">
        <f t="shared" ca="1" si="56"/>
        <v>-1361.666239272543</v>
      </c>
      <c r="BG56" s="168">
        <f t="shared" ca="1" si="56"/>
        <v>-106.1325774777506</v>
      </c>
      <c r="BH56" s="168">
        <f t="shared" ca="1" si="56"/>
        <v>-102.90673455896285</v>
      </c>
      <c r="BI56" s="168">
        <f t="shared" ca="1" si="56"/>
        <v>2494.6259345590697</v>
      </c>
      <c r="BL56"/>
      <c r="BM56"/>
      <c r="BN56"/>
      <c r="BO56"/>
      <c r="BP56"/>
      <c r="BQ56"/>
    </row>
    <row r="57" spans="2:69" s="236" customFormat="1" hidden="1" outlineLevel="1">
      <c r="B57" s="201" t="s">
        <v>10</v>
      </c>
      <c r="D57" s="168">
        <f t="shared" si="49"/>
        <v>-1216.2750000000005</v>
      </c>
      <c r="E57" s="168">
        <f t="shared" si="50"/>
        <v>1021.46</v>
      </c>
      <c r="F57" s="168">
        <f t="shared" si="51"/>
        <v>-1499.7499999999991</v>
      </c>
      <c r="G57" s="168">
        <f t="shared" si="48"/>
        <v>-1660.4799999999996</v>
      </c>
      <c r="H57" s="168">
        <f t="shared" si="48"/>
        <v>-915</v>
      </c>
      <c r="I57" s="168">
        <f t="shared" si="48"/>
        <v>35</v>
      </c>
      <c r="J57" s="168">
        <f ca="1">+J59-SUM(J51:J56)</f>
        <v>-465.48055424838458</v>
      </c>
      <c r="K57" s="168">
        <f t="shared" ref="K57:P57" ca="1" si="57">+K59-SUM(K51:K56)</f>
        <v>-541.7580833479733</v>
      </c>
      <c r="L57" s="168">
        <f t="shared" ca="1" si="57"/>
        <v>-621.88203732993861</v>
      </c>
      <c r="M57" s="168">
        <f t="shared" ca="1" si="57"/>
        <v>-706.05490081757671</v>
      </c>
      <c r="N57" s="168">
        <f t="shared" ca="1" si="57"/>
        <v>-794.49032121426353</v>
      </c>
      <c r="O57" s="168">
        <f t="shared" ca="1" si="57"/>
        <v>-887.41375287632036</v>
      </c>
      <c r="P57" s="168">
        <f t="shared" ca="1" si="57"/>
        <v>-985.06314004628803</v>
      </c>
      <c r="R57" s="154"/>
      <c r="S57" s="154"/>
      <c r="T57" s="154"/>
      <c r="U57" s="154"/>
      <c r="V57" s="154"/>
      <c r="W57" s="154"/>
      <c r="X57" s="154"/>
      <c r="Y57" s="154"/>
      <c r="Z57" s="154"/>
      <c r="AA57" s="154"/>
      <c r="AB57" s="154"/>
      <c r="AC57" s="154"/>
      <c r="AD57" s="154"/>
      <c r="AE57" s="154"/>
      <c r="AF57" s="154"/>
      <c r="AG57" s="154"/>
      <c r="AH57" s="154"/>
      <c r="AI57" s="154"/>
      <c r="AJ57" s="154"/>
      <c r="AK57" s="154"/>
      <c r="AL57" s="168">
        <f t="shared" ref="AL57:AV57" si="58">+AL59-SUM(AL51:AL56)</f>
        <v>318.14999999999964</v>
      </c>
      <c r="AM57" s="168">
        <f t="shared" si="58"/>
        <v>480.25</v>
      </c>
      <c r="AN57" s="168">
        <f t="shared" si="58"/>
        <v>125.02999999999975</v>
      </c>
      <c r="AO57" s="168">
        <f t="shared" si="58"/>
        <v>-2139.7049999999999</v>
      </c>
      <c r="AP57" s="168">
        <f t="shared" si="58"/>
        <v>-28.800000000000182</v>
      </c>
      <c r="AQ57" s="168">
        <f t="shared" si="58"/>
        <v>-51.650000000000091</v>
      </c>
      <c r="AR57" s="168">
        <f t="shared" si="58"/>
        <v>-827.75</v>
      </c>
      <c r="AS57" s="168">
        <f t="shared" si="58"/>
        <v>1929.6600000000003</v>
      </c>
      <c r="AT57" s="168">
        <f t="shared" si="58"/>
        <v>-174.30000000000018</v>
      </c>
      <c r="AU57" s="168">
        <f t="shared" si="58"/>
        <v>-915.5</v>
      </c>
      <c r="AV57" s="168">
        <f t="shared" si="58"/>
        <v>-1038.6399999999994</v>
      </c>
      <c r="AW57" s="168">
        <f t="shared" ref="AW57:BB57" si="59">+AW59-SUM(AW51:AW56)</f>
        <v>628.69000000000051</v>
      </c>
      <c r="AX57" s="168">
        <f t="shared" si="59"/>
        <v>-189.47999999999956</v>
      </c>
      <c r="AY57" s="168">
        <f t="shared" si="59"/>
        <v>-977</v>
      </c>
      <c r="AZ57" s="168">
        <f t="shared" si="59"/>
        <v>-680</v>
      </c>
      <c r="BA57" s="168">
        <f t="shared" si="59"/>
        <v>186</v>
      </c>
      <c r="BB57" s="168">
        <f t="shared" si="59"/>
        <v>556</v>
      </c>
      <c r="BC57" s="168">
        <f t="shared" ref="BC57:BD57" si="60">+BC59-SUM(BC51:BC56)</f>
        <v>-27</v>
      </c>
      <c r="BD57" s="168">
        <f t="shared" si="60"/>
        <v>101</v>
      </c>
      <c r="BE57" s="168">
        <f t="shared" ref="BE57" si="61">+BE59-SUM(BE51:BE56)</f>
        <v>19485</v>
      </c>
      <c r="BF57" s="168">
        <f t="shared" ref="BF57:BI57" ca="1" si="62">+BF59-SUM(BF51:BF56)</f>
        <v>314.83824999999979</v>
      </c>
      <c r="BG57" s="168">
        <f t="shared" ca="1" si="62"/>
        <v>316.27575000000161</v>
      </c>
      <c r="BH57" s="168">
        <f t="shared" ca="1" si="62"/>
        <v>316.57262500000252</v>
      </c>
      <c r="BI57" s="168">
        <f t="shared" ca="1" si="62"/>
        <v>315.6937187500007</v>
      </c>
      <c r="BL57"/>
      <c r="BM57"/>
      <c r="BN57"/>
      <c r="BO57"/>
      <c r="BP57"/>
      <c r="BQ57"/>
    </row>
    <row r="58" spans="2:69" s="236" customFormat="1" hidden="1" outlineLevel="1">
      <c r="B58" s="154"/>
      <c r="D58" s="154"/>
      <c r="E58" s="154"/>
      <c r="F58" s="154"/>
      <c r="G58" s="154"/>
      <c r="H58" s="154"/>
      <c r="I58" s="154"/>
      <c r="J58" s="154"/>
      <c r="K58" s="154"/>
      <c r="L58" s="154"/>
      <c r="M58" s="154"/>
      <c r="N58" s="154"/>
      <c r="O58" s="154"/>
      <c r="P58" s="154"/>
      <c r="R58" s="154"/>
      <c r="S58" s="154"/>
      <c r="T58" s="154"/>
      <c r="U58" s="154"/>
      <c r="V58" s="154"/>
      <c r="W58" s="154"/>
      <c r="X58" s="154"/>
      <c r="Y58" s="154"/>
      <c r="Z58" s="154"/>
      <c r="AA58" s="154"/>
      <c r="AB58" s="154"/>
      <c r="AC58" s="154"/>
      <c r="AD58" s="154"/>
      <c r="AE58" s="154"/>
      <c r="AF58" s="154"/>
      <c r="AG58" s="154"/>
      <c r="AH58" s="154"/>
      <c r="AI58" s="154"/>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L58"/>
      <c r="BM58"/>
      <c r="BN58"/>
      <c r="BO58"/>
      <c r="BP58"/>
      <c r="BQ58"/>
    </row>
    <row r="59" spans="2:69" s="252" customFormat="1" ht="16.5" collapsed="1" thickBot="1">
      <c r="B59" s="347" t="s">
        <v>388</v>
      </c>
      <c r="C59" s="247"/>
      <c r="D59" s="348">
        <f t="shared" ref="D59:P59" si="63">+D25+D27</f>
        <v>13568</v>
      </c>
      <c r="E59" s="348">
        <f t="shared" si="63"/>
        <v>9905</v>
      </c>
      <c r="F59" s="348">
        <f t="shared" si="63"/>
        <v>15865</v>
      </c>
      <c r="G59" s="348">
        <f t="shared" si="63"/>
        <v>16936</v>
      </c>
      <c r="H59" s="348">
        <f t="shared" si="63"/>
        <v>17601</v>
      </c>
      <c r="I59" s="348">
        <f t="shared" ca="1" si="63"/>
        <v>20758.994315492349</v>
      </c>
      <c r="J59" s="348">
        <f t="shared" ca="1" si="63"/>
        <v>17759.306528170779</v>
      </c>
      <c r="K59" s="348">
        <f t="shared" ca="1" si="63"/>
        <v>18043.606385382205</v>
      </c>
      <c r="L59" s="348">
        <f t="shared" ca="1" si="63"/>
        <v>17915.860131808713</v>
      </c>
      <c r="M59" s="348">
        <f t="shared" ca="1" si="63"/>
        <v>17931.82967187645</v>
      </c>
      <c r="N59" s="348">
        <f t="shared" ca="1" si="63"/>
        <v>17997.31255799306</v>
      </c>
      <c r="O59" s="348">
        <f t="shared" ca="1" si="63"/>
        <v>18052.924785649877</v>
      </c>
      <c r="P59" s="348">
        <f t="shared" ca="1" si="63"/>
        <v>18091.288660519029</v>
      </c>
      <c r="Q59" s="247"/>
      <c r="R59" s="247"/>
      <c r="S59" s="247"/>
      <c r="T59" s="247"/>
      <c r="U59" s="247"/>
      <c r="V59" s="247"/>
      <c r="W59" s="247"/>
      <c r="X59" s="247"/>
      <c r="Y59" s="247"/>
      <c r="Z59" s="247"/>
      <c r="AA59" s="247"/>
      <c r="AB59" s="247"/>
      <c r="AC59" s="247"/>
      <c r="AD59" s="247"/>
      <c r="AE59" s="247"/>
      <c r="AF59" s="247"/>
      <c r="AG59" s="247"/>
      <c r="AH59" s="247"/>
      <c r="AI59" s="247"/>
      <c r="AJ59" s="247"/>
      <c r="AK59" s="247"/>
      <c r="AL59" s="348">
        <f t="shared" ref="AL59:BI59" si="64">+AL25+AL27</f>
        <v>3881</v>
      </c>
      <c r="AM59" s="348">
        <f t="shared" si="64"/>
        <v>4025</v>
      </c>
      <c r="AN59" s="348">
        <f t="shared" si="64"/>
        <v>3195</v>
      </c>
      <c r="AO59" s="348">
        <f t="shared" si="64"/>
        <v>2467</v>
      </c>
      <c r="AP59" s="348">
        <f t="shared" si="64"/>
        <v>3028</v>
      </c>
      <c r="AQ59" s="348">
        <f t="shared" si="64"/>
        <v>2074</v>
      </c>
      <c r="AR59" s="348">
        <f t="shared" si="64"/>
        <v>3484</v>
      </c>
      <c r="AS59" s="348">
        <f t="shared" si="64"/>
        <v>1319</v>
      </c>
      <c r="AT59" s="348">
        <f t="shared" si="64"/>
        <v>2767</v>
      </c>
      <c r="AU59" s="348">
        <f t="shared" si="64"/>
        <v>4464</v>
      </c>
      <c r="AV59" s="348">
        <f t="shared" si="64"/>
        <v>5542</v>
      </c>
      <c r="AW59" s="348">
        <f t="shared" si="64"/>
        <v>3092</v>
      </c>
      <c r="AX59" s="348">
        <f t="shared" si="64"/>
        <v>3231</v>
      </c>
      <c r="AY59" s="348">
        <f t="shared" si="64"/>
        <v>4837</v>
      </c>
      <c r="AZ59" s="348">
        <f t="shared" si="64"/>
        <v>5182</v>
      </c>
      <c r="BA59" s="348">
        <f t="shared" si="64"/>
        <v>3686</v>
      </c>
      <c r="BB59" s="348">
        <f t="shared" si="64"/>
        <v>3203</v>
      </c>
      <c r="BC59" s="348">
        <f t="shared" si="64"/>
        <v>3734</v>
      </c>
      <c r="BD59" s="348">
        <f t="shared" si="64"/>
        <v>5863</v>
      </c>
      <c r="BE59" s="348">
        <f t="shared" si="64"/>
        <v>4801</v>
      </c>
      <c r="BF59" s="348">
        <f t="shared" ca="1" si="64"/>
        <v>3926.5315013897962</v>
      </c>
      <c r="BG59" s="348">
        <f t="shared" ca="1" si="64"/>
        <v>5114.476336695694</v>
      </c>
      <c r="BH59" s="348">
        <f t="shared" ca="1" si="64"/>
        <v>4981.4578618359028</v>
      </c>
      <c r="BI59" s="348">
        <f t="shared" ca="1" si="64"/>
        <v>6736.5286155709573</v>
      </c>
      <c r="BK59" s="236"/>
      <c r="BL59"/>
      <c r="BM59"/>
      <c r="BN59"/>
      <c r="BO59"/>
      <c r="BP59"/>
      <c r="BQ59"/>
    </row>
    <row r="60" spans="2:69" s="284" customFormat="1" ht="16.5" thickTop="1">
      <c r="B60" s="284" t="s">
        <v>389</v>
      </c>
      <c r="D60" s="284">
        <f>+D59/'Income Statement'!D57</f>
        <v>2.5194744905064761</v>
      </c>
      <c r="E60" s="284">
        <f>+E59/'Income Statement'!E57</f>
        <v>1.8969644738102078</v>
      </c>
      <c r="F60" s="284">
        <f>+F59/'Income Statement'!F57</f>
        <v>2.8118215251008021</v>
      </c>
      <c r="G60" s="284">
        <f>+G59/'Income Statement'!G57</f>
        <v>2.7356943827484552</v>
      </c>
      <c r="H60" s="284">
        <f>+H59/'Income Statement'!H57</f>
        <v>2.8464461874343008</v>
      </c>
      <c r="I60" s="284">
        <f ca="1">+I59/'Income Statement'!I57</f>
        <v>3.3474998246246197</v>
      </c>
      <c r="J60" s="284">
        <f ca="1">+J59/'Income Statement'!J57</f>
        <v>2.8495363045895115</v>
      </c>
      <c r="K60" s="284">
        <f ca="1">+K59/'Income Statement'!K57</f>
        <v>2.880749359508215</v>
      </c>
      <c r="L60" s="284">
        <f ca="1">+L59/'Income Statement'!L57</f>
        <v>2.8461234327648413</v>
      </c>
      <c r="M60" s="284">
        <f ca="1">+M59/'Income Statement'!M57</f>
        <v>2.834487923102059</v>
      </c>
      <c r="N60" s="284">
        <f ca="1">+N59/'Income Statement'!N57</f>
        <v>2.8306853891362787</v>
      </c>
      <c r="O60" s="284">
        <f ca="1">+O59/'Income Statement'!O57</f>
        <v>2.8253057618313444</v>
      </c>
      <c r="P60" s="284">
        <f ca="1">+P59/'Income Statement'!P57</f>
        <v>2.8172236390000291</v>
      </c>
      <c r="AL60" s="284">
        <f>+AL59/'Income Statement'!AL57</f>
        <v>0.70180831826401446</v>
      </c>
      <c r="AM60" s="284">
        <f>+AM59/'Income Statement'!AM57</f>
        <v>0.74578469520103763</v>
      </c>
      <c r="AN60" s="284">
        <f>+AN59/'Income Statement'!AN57</f>
        <v>0.59932470455824427</v>
      </c>
      <c r="AO60" s="284">
        <f>+AO59/'Income Statement'!AO57</f>
        <v>0.46696952489116034</v>
      </c>
      <c r="AP60" s="284">
        <f>+AP59/'Income Statement'!AP57</f>
        <v>0.57808323787705229</v>
      </c>
      <c r="AQ60" s="284">
        <f>+AQ59/'Income Statement'!AQ57</f>
        <v>0.39731800766283526</v>
      </c>
      <c r="AR60" s="284">
        <f>+AR59/'Income Statement'!AR57</f>
        <v>0.66820099731492133</v>
      </c>
      <c r="AS60" s="284">
        <f>+AS59/'Income Statement'!AS57</f>
        <v>0.25297276563099347</v>
      </c>
      <c r="AT60" s="284">
        <f>+AT59/'Income Statement'!AT57</f>
        <v>0.53017819505652419</v>
      </c>
      <c r="AU60" s="284">
        <f>+AU59/'Income Statement'!AU57</f>
        <v>0.85517241379310349</v>
      </c>
      <c r="AV60" s="284">
        <f>+AV59/'Income Statement'!AV57</f>
        <v>0.93252566044085483</v>
      </c>
      <c r="AW60" s="284">
        <f>+AW59/'Income Statement'!AW57</f>
        <v>0.49975755616615486</v>
      </c>
      <c r="AX60" s="284">
        <f>+AX59/'Income Statement'!AX57</f>
        <v>0.52197092084006458</v>
      </c>
      <c r="AY60" s="284">
        <f>+AY59/'Income Statement'!AY57</f>
        <v>0.78079096045197738</v>
      </c>
      <c r="AZ60" s="284">
        <f>+AZ59/'Income Statement'!AZ57</f>
        <v>0.83729196962352559</v>
      </c>
      <c r="BA60" s="284">
        <f>+BA59/'Income Statement'!BA57</f>
        <v>0.59557279043464206</v>
      </c>
      <c r="BB60" s="284">
        <f>+BB59/'Income Statement'!BB57</f>
        <v>0.51778208858713226</v>
      </c>
      <c r="BC60" s="284">
        <f>+BC59/'Income Statement'!BC57</f>
        <v>0.60381630012936616</v>
      </c>
      <c r="BD60" s="284">
        <f>+BD59/'Income Statement'!BD57</f>
        <v>0.94839857651245552</v>
      </c>
      <c r="BE60" s="284">
        <f>+BE59/'Income Statement'!BE57</f>
        <v>0.77660951148495627</v>
      </c>
      <c r="BF60" s="284">
        <f ca="1">+BF59/'Income Statement'!BF57</f>
        <v>0.63436257919105421</v>
      </c>
      <c r="BG60" s="284">
        <f ca="1">+BG59/'Income Statement'!BG57</f>
        <v>0.82525300551072078</v>
      </c>
      <c r="BH60" s="284">
        <f ca="1">+BH59/'Income Statement'!BH57</f>
        <v>0.80278615317202884</v>
      </c>
      <c r="BI60" s="284">
        <f ca="1">+BI59/'Income Statement'!BI57</f>
        <v>1.0842690016469678</v>
      </c>
      <c r="BL60"/>
      <c r="BM60"/>
      <c r="BN60"/>
      <c r="BO60"/>
      <c r="BP60"/>
      <c r="BQ60"/>
    </row>
    <row r="61" spans="2:69" s="248" customFormat="1">
      <c r="B61" s="245" t="s">
        <v>407</v>
      </c>
      <c r="C61" s="245"/>
      <c r="D61" s="248">
        <v>6.3113088439540985E-2</v>
      </c>
      <c r="E61" s="248">
        <v>4.7519150145546286E-2</v>
      </c>
      <c r="F61" s="248">
        <v>7.0436410949418882E-2</v>
      </c>
      <c r="G61" s="248">
        <v>6.8529418405522416E-2</v>
      </c>
      <c r="H61" s="248">
        <v>7.1303762210278079E-2</v>
      </c>
      <c r="I61" s="248">
        <v>8.3855206027670826E-2</v>
      </c>
      <c r="J61" s="248">
        <v>7.1381169954647078E-2</v>
      </c>
      <c r="K61" s="248">
        <v>7.2163060107921298E-2</v>
      </c>
      <c r="L61" s="248">
        <v>7.1295677173468047E-2</v>
      </c>
      <c r="M61" s="248">
        <v>7.1004206490532421E-2</v>
      </c>
      <c r="N61" s="248">
        <v>7.0908952633674166E-2</v>
      </c>
      <c r="O61" s="248">
        <v>7.0774192430644228E-2</v>
      </c>
      <c r="P61" s="248">
        <v>7.057173444388655E-2</v>
      </c>
      <c r="Q61" s="245"/>
      <c r="R61" s="245"/>
      <c r="S61" s="245"/>
      <c r="T61" s="245"/>
      <c r="U61" s="245"/>
      <c r="V61" s="245"/>
      <c r="W61" s="245"/>
      <c r="X61" s="245"/>
      <c r="Y61" s="245"/>
      <c r="Z61" s="245"/>
      <c r="AA61" s="245"/>
      <c r="AB61" s="245"/>
      <c r="AC61" s="245"/>
      <c r="AD61" s="245"/>
      <c r="AE61" s="245"/>
      <c r="AF61" s="245"/>
      <c r="AG61" s="245"/>
      <c r="AH61" s="245"/>
      <c r="AI61" s="245"/>
      <c r="AJ61" s="245"/>
      <c r="AK61" s="245"/>
      <c r="AL61" s="248">
        <v>7.0321474775953352E-2</v>
      </c>
      <c r="AM61" s="248">
        <v>7.4727925370845452E-2</v>
      </c>
      <c r="AN61" s="248">
        <v>6.00525756070385E-2</v>
      </c>
      <c r="AO61" s="248">
        <v>4.6790533556228489E-2</v>
      </c>
      <c r="AP61" s="248">
        <v>5.7924172131969168E-2</v>
      </c>
      <c r="AQ61" s="248">
        <v>3.9811423613510546E-2</v>
      </c>
      <c r="AR61" s="248">
        <v>6.6954007746986108E-2</v>
      </c>
      <c r="AS61" s="248">
        <v>2.5347972508115577E-2</v>
      </c>
      <c r="AT61" s="248">
        <v>5.3124067640934289E-2</v>
      </c>
      <c r="AU61" s="248">
        <v>8.5688618616543435E-2</v>
      </c>
      <c r="AV61" s="248">
        <v>9.3439444933953383E-2</v>
      </c>
      <c r="AW61" s="248">
        <v>5.0075907431478439E-2</v>
      </c>
      <c r="AX61" s="248">
        <v>5.2301695474956368E-2</v>
      </c>
      <c r="AY61" s="248">
        <v>7.8235567179556847E-2</v>
      </c>
      <c r="AZ61" s="248">
        <v>8.3896990944241037E-2</v>
      </c>
      <c r="BA61" s="248">
        <v>5.9676632308080367E-2</v>
      </c>
      <c r="BB61" s="248">
        <v>5.1881972804321864E-2</v>
      </c>
      <c r="BC61" s="248">
        <v>6.0502635283503622E-2</v>
      </c>
      <c r="BD61" s="248">
        <v>9.5029917486217988E-2</v>
      </c>
      <c r="BE61" s="248">
        <v>7.7816584317129886E-2</v>
      </c>
      <c r="BF61" s="248">
        <v>6.3563384688482383E-2</v>
      </c>
      <c r="BG61" s="248">
        <v>8.2690681914901878E-2</v>
      </c>
      <c r="BH61" s="248">
        <v>8.0439494305814513E-2</v>
      </c>
      <c r="BI61" s="248">
        <v>0.10864418854178033</v>
      </c>
      <c r="BL61"/>
      <c r="BM61"/>
      <c r="BN61"/>
      <c r="BO61"/>
      <c r="BP61"/>
      <c r="BQ61"/>
    </row>
    <row r="62" spans="2:69">
      <c r="J62" s="287"/>
      <c r="K62" s="287"/>
      <c r="L62" s="287"/>
      <c r="M62" s="287"/>
      <c r="N62" s="287"/>
      <c r="O62" s="287"/>
      <c r="P62" s="287"/>
    </row>
    <row r="63" spans="2:69">
      <c r="B63" s="235" t="s">
        <v>171</v>
      </c>
      <c r="D63" s="274">
        <f>SUM(AL63:AO63)</f>
        <v>9696</v>
      </c>
      <c r="E63" s="274">
        <f>SUM(AP63:AS63)</f>
        <v>9552</v>
      </c>
      <c r="F63" s="274">
        <f>SUM(AT63:AW63)</f>
        <v>10200</v>
      </c>
      <c r="G63" s="274">
        <f>SUM(AX63:BA63)</f>
        <v>11797</v>
      </c>
      <c r="H63" s="274">
        <f>SUM(BB63:BE63)</f>
        <v>12038</v>
      </c>
      <c r="I63" s="274">
        <f>SUM(BF63:BI63)</f>
        <v>12464.815507113712</v>
      </c>
      <c r="J63" s="236">
        <f t="shared" ref="J63:P63" si="65">-J40</f>
        <v>12776.316737608517</v>
      </c>
      <c r="K63" s="236">
        <f t="shared" si="65"/>
        <v>13090.738776346248</v>
      </c>
      <c r="L63" s="236">
        <f t="shared" si="65"/>
        <v>13407.985627552915</v>
      </c>
      <c r="M63" s="236">
        <f t="shared" si="65"/>
        <v>13728.077678802239</v>
      </c>
      <c r="N63" s="236">
        <f t="shared" si="65"/>
        <v>14051.035450923369</v>
      </c>
      <c r="O63" s="236">
        <f t="shared" si="65"/>
        <v>14376.879598823742</v>
      </c>
      <c r="P63" s="236">
        <f t="shared" si="65"/>
        <v>14705.630912316843</v>
      </c>
      <c r="AL63" s="236">
        <f t="shared" ref="AL63:BI63" si="66">-AL40</f>
        <v>2502</v>
      </c>
      <c r="AM63" s="236">
        <f t="shared" si="66"/>
        <v>2428</v>
      </c>
      <c r="AN63" s="236">
        <f t="shared" si="66"/>
        <v>2395</v>
      </c>
      <c r="AO63" s="236">
        <f t="shared" si="66"/>
        <v>2371</v>
      </c>
      <c r="AP63" s="236">
        <f t="shared" si="66"/>
        <v>2398</v>
      </c>
      <c r="AQ63" s="236">
        <f t="shared" si="66"/>
        <v>2386</v>
      </c>
      <c r="AR63" s="236">
        <f t="shared" si="66"/>
        <v>2386</v>
      </c>
      <c r="AS63" s="236">
        <f t="shared" si="66"/>
        <v>2382</v>
      </c>
      <c r="AT63" s="236">
        <f t="shared" si="66"/>
        <v>2434</v>
      </c>
      <c r="AU63" s="236">
        <f t="shared" si="66"/>
        <v>2439</v>
      </c>
      <c r="AV63" s="236">
        <f t="shared" si="66"/>
        <v>2438</v>
      </c>
      <c r="AW63" s="236">
        <f t="shared" si="66"/>
        <v>2889</v>
      </c>
      <c r="AX63" s="236">
        <f t="shared" si="66"/>
        <v>2947</v>
      </c>
      <c r="AY63" s="236">
        <f t="shared" si="66"/>
        <v>2952</v>
      </c>
      <c r="AZ63" s="236">
        <f t="shared" si="66"/>
        <v>2951</v>
      </c>
      <c r="BA63" s="236">
        <f t="shared" si="66"/>
        <v>2947</v>
      </c>
      <c r="BB63" s="236">
        <f t="shared" si="66"/>
        <v>3009</v>
      </c>
      <c r="BC63" s="236">
        <f t="shared" si="66"/>
        <v>3012</v>
      </c>
      <c r="BD63" s="236">
        <f t="shared" si="66"/>
        <v>3009</v>
      </c>
      <c r="BE63" s="236">
        <f t="shared" si="66"/>
        <v>3008</v>
      </c>
      <c r="BF63" s="236">
        <f t="shared" si="66"/>
        <v>3094.86375</v>
      </c>
      <c r="BG63" s="236">
        <f t="shared" si="66"/>
        <v>3098.7323296874997</v>
      </c>
      <c r="BH63" s="236">
        <f t="shared" si="66"/>
        <v>3102.6057450996091</v>
      </c>
      <c r="BI63" s="236">
        <f t="shared" si="66"/>
        <v>3168.6136823266033</v>
      </c>
    </row>
    <row r="64" spans="2:69" s="248" customFormat="1">
      <c r="B64" s="245" t="s">
        <v>397</v>
      </c>
      <c r="C64" s="245"/>
      <c r="D64" s="248">
        <f t="shared" ref="D64:J64" si="67">+D63/D59</f>
        <v>0.714622641509434</v>
      </c>
      <c r="E64" s="248">
        <f t="shared" si="67"/>
        <v>0.9643614336193842</v>
      </c>
      <c r="F64" s="248">
        <f t="shared" si="67"/>
        <v>0.64292467696186573</v>
      </c>
      <c r="G64" s="248">
        <f>+G63/G59</f>
        <v>0.69656353330184217</v>
      </c>
      <c r="H64" s="248">
        <f>+H63/H59</f>
        <v>0.68393841259019372</v>
      </c>
      <c r="I64" s="248">
        <f ca="1">+I63/I59</f>
        <v>0.60045372707729261</v>
      </c>
      <c r="J64" s="248">
        <f t="shared" ca="1" si="67"/>
        <v>0.71941529458608233</v>
      </c>
      <c r="K64" s="248">
        <f t="shared" ref="K64:P64" ca="1" si="68">+K63/K59</f>
        <v>0.72550567202305749</v>
      </c>
      <c r="L64" s="248">
        <f t="shared" ca="1" si="68"/>
        <v>0.74838637547452758</v>
      </c>
      <c r="M64" s="248">
        <f t="shared" ca="1" si="68"/>
        <v>0.76557038127195665</v>
      </c>
      <c r="N64" s="248">
        <f t="shared" ca="1" si="68"/>
        <v>0.7807296453649103</v>
      </c>
      <c r="O64" s="248">
        <f t="shared" ca="1" si="68"/>
        <v>0.79637398202931675</v>
      </c>
      <c r="P64" s="248">
        <f t="shared" ca="1" si="68"/>
        <v>0.81285701578623459</v>
      </c>
      <c r="Q64" s="245"/>
      <c r="R64" s="245"/>
      <c r="S64" s="245"/>
      <c r="T64" s="245"/>
      <c r="U64" s="245"/>
      <c r="V64" s="245"/>
      <c r="W64" s="245"/>
      <c r="X64" s="245"/>
      <c r="Y64" s="245"/>
      <c r="Z64" s="245"/>
      <c r="AA64" s="245"/>
      <c r="AB64" s="245"/>
      <c r="AC64" s="245"/>
      <c r="AD64" s="245"/>
      <c r="AE64" s="245"/>
      <c r="AF64" s="245"/>
      <c r="AG64" s="245"/>
      <c r="AH64" s="245"/>
      <c r="AI64" s="245"/>
      <c r="AJ64" s="245"/>
      <c r="AK64" s="245"/>
      <c r="AL64" s="248">
        <f>+AL63/AL59</f>
        <v>0.64467920639010567</v>
      </c>
      <c r="AM64" s="248">
        <f t="shared" ref="AM64:AV64" si="69">+AM63/AM59</f>
        <v>0.60322981366459627</v>
      </c>
      <c r="AN64" s="248">
        <f t="shared" si="69"/>
        <v>0.74960876369327079</v>
      </c>
      <c r="AO64" s="248">
        <f t="shared" si="69"/>
        <v>0.96108633968382651</v>
      </c>
      <c r="AP64" s="248">
        <f t="shared" si="69"/>
        <v>0.79194187582562747</v>
      </c>
      <c r="AQ64" s="248">
        <f t="shared" si="69"/>
        <v>1.1504339440694311</v>
      </c>
      <c r="AR64" s="248">
        <f t="shared" si="69"/>
        <v>0.68484500574052809</v>
      </c>
      <c r="AS64" s="248">
        <f t="shared" si="69"/>
        <v>1.8059135708870355</v>
      </c>
      <c r="AT64" s="248">
        <f t="shared" si="69"/>
        <v>0.87965305384893389</v>
      </c>
      <c r="AU64" s="248">
        <f t="shared" si="69"/>
        <v>0.5463709677419355</v>
      </c>
      <c r="AV64" s="248">
        <f t="shared" si="69"/>
        <v>0.43991338866835078</v>
      </c>
      <c r="AW64" s="248">
        <f t="shared" ref="AW64:BB64" si="70">+AW63/AW59</f>
        <v>0.93434670116429497</v>
      </c>
      <c r="AX64" s="248">
        <f t="shared" si="70"/>
        <v>0.91210151655834104</v>
      </c>
      <c r="AY64" s="248">
        <f t="shared" si="70"/>
        <v>0.6102956377920199</v>
      </c>
      <c r="AZ64" s="248">
        <f t="shared" si="70"/>
        <v>0.56947124662292548</v>
      </c>
      <c r="BA64" s="248">
        <f t="shared" si="70"/>
        <v>0.799511665762344</v>
      </c>
      <c r="BB64" s="248">
        <f t="shared" si="70"/>
        <v>0.9394317827037153</v>
      </c>
      <c r="BC64" s="248">
        <f t="shared" ref="BC64:BD64" si="71">+BC63/BC59</f>
        <v>0.80664167113015528</v>
      </c>
      <c r="BD64" s="248">
        <f t="shared" si="71"/>
        <v>0.51321848882824495</v>
      </c>
      <c r="BE64" s="248">
        <f t="shared" ref="BE64" si="72">+BE63/BE59</f>
        <v>0.62653613830451993</v>
      </c>
      <c r="BF64" s="248">
        <f t="shared" ref="BF64:BI64" ca="1" si="73">+BF63/BF59</f>
        <v>0.78819277240092755</v>
      </c>
      <c r="BG64" s="248">
        <f t="shared" ca="1" si="73"/>
        <v>0.60587480040810893</v>
      </c>
      <c r="BH64" s="248">
        <f t="shared" ca="1" si="73"/>
        <v>0.62283087223709888</v>
      </c>
      <c r="BI64" s="248">
        <f t="shared" ca="1" si="73"/>
        <v>0.47036298116549247</v>
      </c>
      <c r="BL64"/>
      <c r="BM64"/>
      <c r="BN64"/>
      <c r="BO64"/>
      <c r="BP64"/>
      <c r="BQ64"/>
    </row>
    <row r="65" spans="2:69" ht="16.5" thickBot="1"/>
    <row r="66" spans="2:69" s="251" customFormat="1" ht="16.5" thickBot="1">
      <c r="B66" s="194" t="s">
        <v>393</v>
      </c>
      <c r="C66" s="276"/>
      <c r="D66" s="195">
        <f>+D$6</f>
        <v>2013</v>
      </c>
      <c r="E66" s="196">
        <f t="shared" ref="E66:P66" si="74">+E$6</f>
        <v>2014</v>
      </c>
      <c r="F66" s="196">
        <f t="shared" si="74"/>
        <v>2015</v>
      </c>
      <c r="G66" s="196">
        <f t="shared" si="74"/>
        <v>2016</v>
      </c>
      <c r="H66" s="196">
        <f t="shared" si="74"/>
        <v>2017</v>
      </c>
      <c r="I66" s="196" t="str">
        <f t="shared" si="74"/>
        <v>2018E</v>
      </c>
      <c r="J66" s="196" t="str">
        <f t="shared" si="74"/>
        <v>2019E</v>
      </c>
      <c r="K66" s="196" t="str">
        <f t="shared" si="74"/>
        <v>2020E</v>
      </c>
      <c r="L66" s="196" t="str">
        <f t="shared" si="74"/>
        <v>2021E</v>
      </c>
      <c r="M66" s="196" t="str">
        <f t="shared" si="74"/>
        <v>2022E</v>
      </c>
      <c r="N66" s="196" t="str">
        <f t="shared" si="74"/>
        <v>2023E</v>
      </c>
      <c r="O66" s="196" t="str">
        <f t="shared" si="74"/>
        <v>2024E</v>
      </c>
      <c r="P66" s="197" t="str">
        <f t="shared" si="74"/>
        <v>2025E</v>
      </c>
      <c r="Q66" s="241"/>
      <c r="R66" s="196"/>
      <c r="S66" s="196"/>
      <c r="T66" s="196"/>
      <c r="U66" s="196"/>
      <c r="V66" s="196"/>
      <c r="W66" s="196"/>
      <c r="X66" s="196"/>
      <c r="Y66" s="196"/>
      <c r="Z66" s="196"/>
      <c r="AA66" s="196"/>
      <c r="AB66" s="196"/>
      <c r="AC66" s="196"/>
      <c r="AD66" s="196"/>
      <c r="AE66" s="196"/>
      <c r="AF66" s="196"/>
      <c r="AG66" s="196"/>
      <c r="AH66" s="196"/>
      <c r="AI66" s="196"/>
      <c r="AJ66" s="196"/>
      <c r="AK66" s="196"/>
      <c r="AL66" s="196" t="s">
        <v>248</v>
      </c>
      <c r="AM66" s="196" t="s">
        <v>249</v>
      </c>
      <c r="AN66" s="196" t="s">
        <v>250</v>
      </c>
      <c r="AO66" s="196" t="s">
        <v>251</v>
      </c>
      <c r="AP66" s="196" t="s">
        <v>156</v>
      </c>
      <c r="AQ66" s="196" t="s">
        <v>157</v>
      </c>
      <c r="AR66" s="196" t="s">
        <v>158</v>
      </c>
      <c r="AS66" s="196" t="s">
        <v>159</v>
      </c>
      <c r="AT66" s="196" t="str">
        <f>+AT$6</f>
        <v>1Q15</v>
      </c>
      <c r="AU66" s="196" t="str">
        <f t="shared" ref="AU66:BI66" si="75">+AU$6</f>
        <v>2Q15</v>
      </c>
      <c r="AV66" s="196" t="str">
        <f t="shared" si="75"/>
        <v>3Q15</v>
      </c>
      <c r="AW66" s="196" t="str">
        <f t="shared" si="75"/>
        <v>4Q15</v>
      </c>
      <c r="AX66" s="196" t="str">
        <f t="shared" si="75"/>
        <v>1Q16</v>
      </c>
      <c r="AY66" s="196" t="str">
        <f t="shared" si="75"/>
        <v>2Q16</v>
      </c>
      <c r="AZ66" s="196" t="str">
        <f t="shared" si="75"/>
        <v>3Q16</v>
      </c>
      <c r="BA66" s="196" t="str">
        <f t="shared" si="75"/>
        <v>4Q16</v>
      </c>
      <c r="BB66" s="196" t="str">
        <f t="shared" si="75"/>
        <v>1Q17</v>
      </c>
      <c r="BC66" s="196" t="str">
        <f t="shared" si="75"/>
        <v>2Q17</v>
      </c>
      <c r="BD66" s="196" t="str">
        <f t="shared" si="75"/>
        <v>3Q17</v>
      </c>
      <c r="BE66" s="196" t="str">
        <f t="shared" si="75"/>
        <v>4Q17</v>
      </c>
      <c r="BF66" s="196" t="str">
        <f t="shared" si="75"/>
        <v>1Q18E</v>
      </c>
      <c r="BG66" s="196" t="str">
        <f t="shared" si="75"/>
        <v>2Q18E</v>
      </c>
      <c r="BH66" s="196" t="str">
        <f t="shared" si="75"/>
        <v>3Q18E</v>
      </c>
      <c r="BI66" s="197" t="str">
        <f t="shared" si="75"/>
        <v>4Q18E</v>
      </c>
      <c r="BL66"/>
      <c r="BM66"/>
      <c r="BN66"/>
      <c r="BO66"/>
      <c r="BP66"/>
      <c r="BQ66"/>
    </row>
    <row r="68" spans="2:69" s="236" customFormat="1">
      <c r="B68" s="252" t="s">
        <v>191</v>
      </c>
      <c r="D68" s="252">
        <f>SUM(AL68:AO68)</f>
        <v>10037</v>
      </c>
      <c r="E68" s="247">
        <f>SUM(AP68:AS68)</f>
        <v>10050</v>
      </c>
      <c r="F68" s="247">
        <f>SUM(AT68:AW68)</f>
        <v>10262.5</v>
      </c>
      <c r="G68" s="247">
        <f>SUM(AX68:BA68)</f>
        <v>10197.800000000001</v>
      </c>
      <c r="H68" s="247">
        <f>SUM(BB68:BE68)</f>
        <v>8974.7500000000018</v>
      </c>
      <c r="I68" s="247">
        <f>SUM(BF68:BI68)</f>
        <v>9539.1246238369422</v>
      </c>
      <c r="J68" s="211">
        <v>9500</v>
      </c>
      <c r="K68" s="211">
        <v>9500</v>
      </c>
      <c r="L68" s="211">
        <v>9500</v>
      </c>
      <c r="M68" s="211">
        <v>9500</v>
      </c>
      <c r="N68" s="211">
        <v>9500</v>
      </c>
      <c r="O68" s="211">
        <v>9500</v>
      </c>
      <c r="P68" s="211">
        <v>9500</v>
      </c>
      <c r="R68" s="154"/>
      <c r="S68" s="154"/>
      <c r="T68" s="154"/>
      <c r="U68" s="154"/>
      <c r="V68" s="154"/>
      <c r="W68" s="154"/>
      <c r="X68" s="154"/>
      <c r="Y68" s="154"/>
      <c r="Z68" s="154"/>
      <c r="AA68" s="154"/>
      <c r="AB68" s="154"/>
      <c r="AC68" s="154"/>
      <c r="AD68" s="154"/>
      <c r="AE68" s="154"/>
      <c r="AF68" s="154"/>
      <c r="AG68" s="154"/>
      <c r="AH68" s="154"/>
      <c r="AI68" s="154"/>
      <c r="AJ68" s="154"/>
      <c r="AK68" s="154"/>
      <c r="AL68" s="157">
        <f t="shared" ref="AL68:AU68" si="76">+AL89-AL72</f>
        <v>2022</v>
      </c>
      <c r="AM68" s="157">
        <f t="shared" si="76"/>
        <v>2454</v>
      </c>
      <c r="AN68" s="157">
        <f t="shared" si="76"/>
        <v>2913</v>
      </c>
      <c r="AO68" s="157">
        <f t="shared" si="76"/>
        <v>2648</v>
      </c>
      <c r="AP68" s="252">
        <f t="shared" si="76"/>
        <v>2689</v>
      </c>
      <c r="AQ68" s="252">
        <f t="shared" si="76"/>
        <v>2516</v>
      </c>
      <c r="AR68" s="252">
        <f t="shared" si="76"/>
        <v>2604</v>
      </c>
      <c r="AS68" s="252">
        <f t="shared" si="76"/>
        <v>2241</v>
      </c>
      <c r="AT68" s="252">
        <f t="shared" si="76"/>
        <v>2112</v>
      </c>
      <c r="AU68" s="252">
        <f t="shared" si="76"/>
        <v>2563</v>
      </c>
      <c r="AV68" s="252">
        <f>+AV89-AV72-AV82*(31+31+30-23)/(31+31+30)</f>
        <v>2459.75</v>
      </c>
      <c r="AW68" s="252">
        <f t="shared" ref="AW68:BB68" si="77">+AW89-AW72-AW82</f>
        <v>3127.75</v>
      </c>
      <c r="AX68" s="252">
        <f t="shared" si="77"/>
        <v>1691</v>
      </c>
      <c r="AY68" s="252">
        <f t="shared" si="77"/>
        <v>2420.2000000000003</v>
      </c>
      <c r="AZ68" s="252">
        <f t="shared" si="77"/>
        <v>2720.55</v>
      </c>
      <c r="BA68" s="252">
        <f t="shared" si="77"/>
        <v>3366.05</v>
      </c>
      <c r="BB68" s="252">
        <f t="shared" si="77"/>
        <v>2916.3</v>
      </c>
      <c r="BC68" s="252">
        <f t="shared" ref="BC68:BD68" si="78">+BC89-BC72-BC82</f>
        <v>2074.9</v>
      </c>
      <c r="BD68" s="252">
        <f t="shared" si="78"/>
        <v>2081.85</v>
      </c>
      <c r="BE68" s="252">
        <f t="shared" ref="BE68" si="79">+BE89-BE72-BE82</f>
        <v>1901.7000000000003</v>
      </c>
      <c r="BF68" s="252">
        <v>2377.835288271127</v>
      </c>
      <c r="BG68" s="252">
        <v>2380.2337461284487</v>
      </c>
      <c r="BH68" s="252">
        <v>2379.1205638577917</v>
      </c>
      <c r="BI68" s="252">
        <v>2401.9350255795753</v>
      </c>
      <c r="BL68"/>
      <c r="BM68"/>
      <c r="BN68"/>
      <c r="BO68"/>
      <c r="BP68"/>
      <c r="BQ68"/>
    </row>
    <row r="69" spans="2:69" s="248" customFormat="1">
      <c r="B69" s="245" t="s">
        <v>395</v>
      </c>
      <c r="C69" s="245"/>
      <c r="D69" s="248">
        <v>0.18073938018835647</v>
      </c>
      <c r="E69" s="248">
        <v>0.18070339470655927</v>
      </c>
      <c r="F69" s="248">
        <v>0.15140673640105634</v>
      </c>
      <c r="G69" s="248">
        <v>0.12336595574803723</v>
      </c>
      <c r="H69" s="248">
        <v>0.11175551321802585</v>
      </c>
      <c r="I69" s="248">
        <v>0.11999999999999998</v>
      </c>
      <c r="J69" s="248">
        <v>0.12048630183729217</v>
      </c>
      <c r="K69" s="248">
        <v>0.12169017023131841</v>
      </c>
      <c r="L69" s="248">
        <v>0.12321409022418231</v>
      </c>
      <c r="M69" s="248">
        <v>0.12512745694783148</v>
      </c>
      <c r="N69" s="248">
        <v>0.12744040469207446</v>
      </c>
      <c r="O69" s="248">
        <v>0.13016323109646333</v>
      </c>
      <c r="P69" s="248">
        <v>0.13332236393262761</v>
      </c>
      <c r="Q69" s="245"/>
      <c r="R69" s="158"/>
      <c r="S69" s="158"/>
      <c r="T69" s="158"/>
      <c r="U69" s="158"/>
      <c r="V69" s="158"/>
      <c r="W69" s="158"/>
      <c r="X69" s="158"/>
      <c r="Y69" s="158"/>
      <c r="Z69" s="158"/>
      <c r="AA69" s="158"/>
      <c r="AB69" s="158"/>
      <c r="AC69" s="158"/>
      <c r="AD69" s="158"/>
      <c r="AE69" s="158"/>
      <c r="AF69" s="158"/>
      <c r="AG69" s="158"/>
      <c r="AH69" s="158"/>
      <c r="AI69" s="158"/>
      <c r="AJ69" s="158"/>
      <c r="AK69" s="158"/>
      <c r="AL69" s="159">
        <v>0.14619333381534236</v>
      </c>
      <c r="AM69" s="159">
        <v>0.17619184376794944</v>
      </c>
      <c r="AN69" s="159">
        <v>0.21026418362927674</v>
      </c>
      <c r="AO69" s="159">
        <v>0.19022988505747127</v>
      </c>
      <c r="AP69" s="248">
        <v>0.19424980134363939</v>
      </c>
      <c r="AQ69" s="248">
        <v>0.18130719896231173</v>
      </c>
      <c r="AR69" s="248">
        <v>0.18717653824036803</v>
      </c>
      <c r="AS69" s="248">
        <v>0.16025457665903889</v>
      </c>
      <c r="AT69" s="248">
        <v>0.15294373234846839</v>
      </c>
      <c r="AU69" s="248">
        <v>0.18442829387637619</v>
      </c>
      <c r="AV69" s="248">
        <v>0.1294264667192844</v>
      </c>
      <c r="AW69" s="248">
        <v>0.14844565733270051</v>
      </c>
      <c r="AX69" s="248">
        <v>8.1924325371832765E-2</v>
      </c>
      <c r="AY69" s="248">
        <v>0.1177598287271312</v>
      </c>
      <c r="AZ69" s="248">
        <v>0.13230960023344032</v>
      </c>
      <c r="BA69" s="248">
        <v>0.16099339965563422</v>
      </c>
      <c r="BB69" s="248">
        <v>0.1454949111953702</v>
      </c>
      <c r="BC69" s="248">
        <v>0.10342438440833417</v>
      </c>
      <c r="BD69" s="248">
        <v>0.10398331751660755</v>
      </c>
      <c r="BE69" s="248">
        <v>9.4236868186323111E-2</v>
      </c>
      <c r="BF69" s="210">
        <v>0.12</v>
      </c>
      <c r="BG69" s="210">
        <v>0.12</v>
      </c>
      <c r="BH69" s="210">
        <v>0.12</v>
      </c>
      <c r="BI69" s="210">
        <v>0.12</v>
      </c>
      <c r="BL69"/>
      <c r="BM69"/>
      <c r="BN69"/>
      <c r="BO69"/>
      <c r="BP69"/>
      <c r="BQ69"/>
    </row>
    <row r="70" spans="2:69" s="248" customFormat="1">
      <c r="B70" s="245" t="s">
        <v>252</v>
      </c>
      <c r="C70" s="245"/>
      <c r="E70" s="248">
        <f t="shared" ref="E70:J70" si="80">E68/D68-1</f>
        <v>1.2952077313939103E-3</v>
      </c>
      <c r="F70" s="248">
        <f t="shared" si="80"/>
        <v>2.1144278606965106E-2</v>
      </c>
      <c r="G70" s="248">
        <f t="shared" si="80"/>
        <v>-6.3045066991472831E-3</v>
      </c>
      <c r="H70" s="248">
        <f t="shared" si="80"/>
        <v>-0.11993273058895049</v>
      </c>
      <c r="I70" s="248">
        <f t="shared" si="80"/>
        <v>6.2884718107684368E-2</v>
      </c>
      <c r="J70" s="248">
        <f t="shared" si="80"/>
        <v>-4.1014899563399654E-3</v>
      </c>
      <c r="K70" s="248">
        <f t="shared" ref="K70" si="81">K68/J68-1</f>
        <v>0</v>
      </c>
      <c r="L70" s="248">
        <f t="shared" ref="L70" si="82">L68/K68-1</f>
        <v>0</v>
      </c>
      <c r="M70" s="248">
        <f t="shared" ref="M70" si="83">M68/L68-1</f>
        <v>0</v>
      </c>
      <c r="N70" s="248">
        <f t="shared" ref="N70" si="84">N68/M68-1</f>
        <v>0</v>
      </c>
      <c r="O70" s="248">
        <f t="shared" ref="O70" si="85">O68/N68-1</f>
        <v>0</v>
      </c>
      <c r="P70" s="248">
        <f t="shared" ref="P70" si="86">P68/O68-1</f>
        <v>0</v>
      </c>
      <c r="Q70" s="245"/>
      <c r="R70" s="158"/>
      <c r="S70" s="158"/>
      <c r="T70" s="158"/>
      <c r="U70" s="158"/>
      <c r="V70" s="158"/>
      <c r="W70" s="158"/>
      <c r="X70" s="158"/>
      <c r="Y70" s="158"/>
      <c r="Z70" s="158"/>
      <c r="AA70" s="158"/>
      <c r="AB70" s="158"/>
      <c r="AC70" s="158"/>
      <c r="AD70" s="158"/>
      <c r="AE70" s="158"/>
      <c r="AF70" s="158"/>
      <c r="AG70" s="158"/>
      <c r="AH70" s="158"/>
      <c r="AI70" s="158"/>
      <c r="AJ70" s="158"/>
      <c r="AK70" s="158"/>
      <c r="AL70" s="159"/>
      <c r="AM70" s="159"/>
      <c r="AN70" s="159"/>
      <c r="AO70" s="159"/>
      <c r="AP70" s="248">
        <f>AP68/AL68-1</f>
        <v>0.32987141444114743</v>
      </c>
      <c r="AQ70" s="248">
        <f t="shared" ref="AQ70:BE70" si="87">AQ68/AM68-1</f>
        <v>2.5264873675631572E-2</v>
      </c>
      <c r="AR70" s="248">
        <f t="shared" si="87"/>
        <v>-0.10607621009268797</v>
      </c>
      <c r="AS70" s="248">
        <f t="shared" si="87"/>
        <v>-0.15370090634441091</v>
      </c>
      <c r="AT70" s="248">
        <f t="shared" si="87"/>
        <v>-0.21457791000371884</v>
      </c>
      <c r="AU70" s="248">
        <f t="shared" si="87"/>
        <v>1.8680445151033398E-2</v>
      </c>
      <c r="AV70" s="248">
        <f t="shared" si="87"/>
        <v>-5.5395545314900208E-2</v>
      </c>
      <c r="AW70" s="248">
        <f t="shared" si="87"/>
        <v>0.39569388665774219</v>
      </c>
      <c r="AX70" s="248">
        <f t="shared" si="87"/>
        <v>-0.19933712121212122</v>
      </c>
      <c r="AY70" s="248">
        <f t="shared" si="87"/>
        <v>-5.571595786188055E-2</v>
      </c>
      <c r="AZ70" s="248">
        <f t="shared" si="87"/>
        <v>0.10602703526781188</v>
      </c>
      <c r="BA70" s="248">
        <f t="shared" si="87"/>
        <v>7.6188953720725872E-2</v>
      </c>
      <c r="BB70" s="248">
        <f t="shared" si="87"/>
        <v>0.72460082791247804</v>
      </c>
      <c r="BC70" s="248">
        <f t="shared" si="87"/>
        <v>-0.14267415916040005</v>
      </c>
      <c r="BD70" s="248">
        <f t="shared" si="87"/>
        <v>-0.23476870485747381</v>
      </c>
      <c r="BE70" s="248">
        <f t="shared" si="87"/>
        <v>-0.43503513019711526</v>
      </c>
      <c r="BF70" s="248">
        <f t="shared" ref="BF70" si="88">BF68/BB68-1</f>
        <v>-0.1846396844388003</v>
      </c>
      <c r="BG70" s="248">
        <f t="shared" ref="BG70" si="89">BG68/BC68-1</f>
        <v>0.14715588516480249</v>
      </c>
      <c r="BH70" s="248">
        <f t="shared" ref="BH70" si="90">BH68/BD68-1</f>
        <v>0.14279153822695756</v>
      </c>
      <c r="BI70" s="248">
        <f t="shared" ref="BI70" si="91">BI68/BE68-1</f>
        <v>0.26304623525244519</v>
      </c>
      <c r="BL70"/>
      <c r="BM70"/>
      <c r="BN70"/>
      <c r="BO70"/>
      <c r="BP70"/>
      <c r="BQ70"/>
    </row>
    <row r="71" spans="2:69" s="248" customFormat="1">
      <c r="B71" s="245"/>
      <c r="C71" s="245"/>
      <c r="Q71" s="245"/>
      <c r="R71" s="158"/>
      <c r="S71" s="158"/>
      <c r="T71" s="158"/>
      <c r="U71" s="158"/>
      <c r="V71" s="158"/>
      <c r="W71" s="158"/>
      <c r="X71" s="158"/>
      <c r="Y71" s="158"/>
      <c r="Z71" s="158"/>
      <c r="AA71" s="158"/>
      <c r="AB71" s="158"/>
      <c r="AC71" s="158"/>
      <c r="AD71" s="158"/>
      <c r="AE71" s="158"/>
      <c r="AF71" s="158"/>
      <c r="AG71" s="158"/>
      <c r="AH71" s="158"/>
      <c r="AI71" s="158"/>
      <c r="AJ71" s="158"/>
      <c r="AK71" s="158"/>
      <c r="AL71" s="159"/>
      <c r="AM71" s="159"/>
      <c r="AN71" s="159"/>
      <c r="AO71" s="159"/>
      <c r="BL71"/>
      <c r="BM71"/>
      <c r="BN71"/>
      <c r="BO71"/>
      <c r="BP71"/>
      <c r="BQ71"/>
    </row>
    <row r="72" spans="2:69" s="252" customFormat="1">
      <c r="B72" s="252" t="s">
        <v>29</v>
      </c>
      <c r="D72" s="252">
        <f>SUM(AL72:AO72)</f>
        <v>11191</v>
      </c>
      <c r="E72" s="247">
        <f>SUM(AP72:AS72)</f>
        <v>11383</v>
      </c>
      <c r="F72" s="247">
        <f>SUM(AT72:AW72)</f>
        <v>8478.5</v>
      </c>
      <c r="G72" s="247">
        <f>SUM(AX72:BA72)</f>
        <v>8888.1999999999989</v>
      </c>
      <c r="H72" s="247">
        <f>SUM(BB72:BE72)</f>
        <v>8693.2499999999982</v>
      </c>
      <c r="I72" s="247">
        <f ca="1">SUM(BF72:BI72)</f>
        <v>8837.5879815748449</v>
      </c>
      <c r="J72" s="252">
        <f ca="1">+J73*'AT&amp;T Mobility'!J8</f>
        <v>8571.1012965508144</v>
      </c>
      <c r="K72" s="252">
        <f ca="1">+K73*'AT&amp;T Mobility'!K8</f>
        <v>8566.6493632888505</v>
      </c>
      <c r="L72" s="252">
        <f ca="1">+L73*'AT&amp;T Mobility'!L8</f>
        <v>8531.0380579130724</v>
      </c>
      <c r="M72" s="252">
        <f ca="1">+M73*'AT&amp;T Mobility'!M8</f>
        <v>8468.0285029137704</v>
      </c>
      <c r="N72" s="252">
        <f ca="1">+N73*'AT&amp;T Mobility'!N8</f>
        <v>8381.0735943570071</v>
      </c>
      <c r="O72" s="252">
        <f ca="1">+O73*'AT&amp;T Mobility'!O8</f>
        <v>8273.3319805806223</v>
      </c>
      <c r="P72" s="252">
        <f ca="1">+P73*'AT&amp;T Mobility'!P8</f>
        <v>8147.6828736385269</v>
      </c>
      <c r="R72" s="157"/>
      <c r="S72" s="157"/>
      <c r="T72" s="157"/>
      <c r="U72" s="157"/>
      <c r="V72" s="157"/>
      <c r="W72" s="157"/>
      <c r="X72" s="157"/>
      <c r="Y72" s="157"/>
      <c r="Z72" s="157"/>
      <c r="AA72" s="157"/>
      <c r="AB72" s="157"/>
      <c r="AC72" s="157"/>
      <c r="AD72" s="157"/>
      <c r="AE72" s="157"/>
      <c r="AF72" s="157"/>
      <c r="AG72" s="157"/>
      <c r="AH72" s="157"/>
      <c r="AI72" s="157"/>
      <c r="AJ72" s="157"/>
      <c r="AK72" s="157"/>
      <c r="AL72" s="174">
        <v>2296</v>
      </c>
      <c r="AM72" s="174">
        <v>3033</v>
      </c>
      <c r="AN72" s="174">
        <v>3060</v>
      </c>
      <c r="AO72" s="174">
        <v>2802</v>
      </c>
      <c r="AP72" s="254">
        <v>3082</v>
      </c>
      <c r="AQ72" s="254">
        <v>3480</v>
      </c>
      <c r="AR72" s="254">
        <v>2636</v>
      </c>
      <c r="AS72" s="254">
        <v>2185</v>
      </c>
      <c r="AT72" s="254">
        <v>1859</v>
      </c>
      <c r="AU72" s="254">
        <v>2133</v>
      </c>
      <c r="AV72" s="252">
        <f>+AV73*'AT&amp;T Mobility'!AV8</f>
        <v>2264.25</v>
      </c>
      <c r="AW72" s="252">
        <f>+AW73*'AT&amp;T Mobility'!AW8</f>
        <v>2222.25</v>
      </c>
      <c r="AX72" s="254">
        <v>2200</v>
      </c>
      <c r="AY72" s="252">
        <f>+AY73*'AT&amp;T Mobility'!AY8</f>
        <v>2236.7999999999997</v>
      </c>
      <c r="AZ72" s="252">
        <f>+AZ73*'AT&amp;T Mobility'!AZ8</f>
        <v>2244.4499999999998</v>
      </c>
      <c r="BA72" s="252">
        <f>+BA73*'AT&amp;T Mobility'!BA8</f>
        <v>2206.9499999999998</v>
      </c>
      <c r="BB72" s="252">
        <f>+BB73*'AT&amp;T Mobility'!BB8</f>
        <v>2180.6999999999998</v>
      </c>
      <c r="BC72" s="252">
        <f>+BC73*'AT&amp;T Mobility'!BC8</f>
        <v>2180.1</v>
      </c>
      <c r="BD72" s="252">
        <f>+BD73*'AT&amp;T Mobility'!BD8</f>
        <v>2181.15</v>
      </c>
      <c r="BE72" s="252">
        <f>+BE73*'AT&amp;T Mobility'!BE8</f>
        <v>2151.2999999999997</v>
      </c>
      <c r="BF72" s="252">
        <f ca="1">+BF73*'AT&amp;T Mobility'!BF8</f>
        <v>2205.1625481636652</v>
      </c>
      <c r="BG72" s="252">
        <f ca="1">+BG73*'AT&amp;T Mobility'!BG8</f>
        <v>2204.7973196799949</v>
      </c>
      <c r="BH72" s="252">
        <f ca="1">+BH73*'AT&amp;T Mobility'!BH8</f>
        <v>2209.3568926238886</v>
      </c>
      <c r="BI72" s="252">
        <f ca="1">+BI73*'AT&amp;T Mobility'!BI8</f>
        <v>2218.2712211072958</v>
      </c>
      <c r="BK72" s="236"/>
      <c r="BL72"/>
      <c r="BM72"/>
      <c r="BN72"/>
      <c r="BO72"/>
      <c r="BP72"/>
      <c r="BQ72"/>
    </row>
    <row r="73" spans="2:69" s="248" customFormat="1">
      <c r="B73" s="245" t="s">
        <v>394</v>
      </c>
      <c r="C73" s="245"/>
      <c r="D73" s="248">
        <f>+D72/'AT&amp;T Mobility'!D8</f>
        <v>0.18181375097478555</v>
      </c>
      <c r="E73" s="248">
        <f>+E72/'AT&amp;T Mobility'!E8</f>
        <v>0.18650871673875999</v>
      </c>
      <c r="F73" s="248">
        <f>+F72/'AT&amp;T Mobility'!F8</f>
        <v>0.14169326670788976</v>
      </c>
      <c r="G73" s="248">
        <f>+G72/'AT&amp;T Mobility'!G8</f>
        <v>0.14966827198329571</v>
      </c>
      <c r="H73" s="248">
        <f>+H72/'AT&amp;T Mobility'!H8</f>
        <v>0.14999999999999997</v>
      </c>
      <c r="I73" s="248">
        <f ca="1">+I72/'AT&amp;T Mobility'!I8</f>
        <v>0.15500000000000003</v>
      </c>
      <c r="J73" s="210">
        <v>0.15</v>
      </c>
      <c r="K73" s="210">
        <v>0.15</v>
      </c>
      <c r="L73" s="210">
        <v>0.15</v>
      </c>
      <c r="M73" s="210">
        <v>0.15</v>
      </c>
      <c r="N73" s="210">
        <v>0.15</v>
      </c>
      <c r="O73" s="210">
        <v>0.15</v>
      </c>
      <c r="P73" s="210">
        <v>0.15</v>
      </c>
      <c r="Q73" s="245"/>
      <c r="R73" s="158"/>
      <c r="S73" s="158"/>
      <c r="T73" s="158"/>
      <c r="U73" s="158"/>
      <c r="V73" s="158"/>
      <c r="W73" s="158"/>
      <c r="X73" s="158"/>
      <c r="Y73" s="158"/>
      <c r="Z73" s="158"/>
      <c r="AA73" s="158"/>
      <c r="AB73" s="158"/>
      <c r="AC73" s="158"/>
      <c r="AD73" s="158"/>
      <c r="AE73" s="158"/>
      <c r="AF73" s="158"/>
      <c r="AG73" s="158"/>
      <c r="AH73" s="158"/>
      <c r="AI73" s="158"/>
      <c r="AJ73" s="158"/>
      <c r="AK73" s="158"/>
      <c r="AL73" s="159">
        <f>+AL72/'AT&amp;T Mobility'!AL8</f>
        <v>0.15242647546969396</v>
      </c>
      <c r="AM73" s="159">
        <f>+AM72/'AT&amp;T Mobility'!AM8</f>
        <v>0.19734530548506735</v>
      </c>
      <c r="AN73" s="159">
        <f>+AN72/'AT&amp;T Mobility'!AN8</f>
        <v>0.19793014230271669</v>
      </c>
      <c r="AO73" s="159">
        <f>+AO72/'AT&amp;T Mobility'!AO8</f>
        <v>0.1789272030651341</v>
      </c>
      <c r="AP73" s="248">
        <f>+AP72/'AT&amp;T Mobility'!AP8</f>
        <v>0.20029895366218237</v>
      </c>
      <c r="AQ73" s="248">
        <f>+AQ72/'AT&amp;T Mobility'!AQ8</f>
        <v>0.22973329812516505</v>
      </c>
      <c r="AR73" s="248">
        <f>+AR72/'AT&amp;T Mobility'!AR8</f>
        <v>0.17091357064125007</v>
      </c>
      <c r="AS73" s="248">
        <f>+AS72/'AT&amp;T Mobility'!AS8</f>
        <v>0.14495157224359825</v>
      </c>
      <c r="AT73" s="248">
        <f>+AT72/'AT&amp;T Mobility'!AT8</f>
        <v>0.12550634620577911</v>
      </c>
      <c r="AU73" s="248">
        <f>+AU72/'AT&amp;T Mobility'!AU8</f>
        <v>0.14111809460800528</v>
      </c>
      <c r="AV73" s="210">
        <v>0.15</v>
      </c>
      <c r="AW73" s="210">
        <v>0.15</v>
      </c>
      <c r="AX73" s="248">
        <f>+AX72/'AT&amp;T Mobility'!AX8</f>
        <v>0.14866873901878633</v>
      </c>
      <c r="AY73" s="210">
        <v>0.15</v>
      </c>
      <c r="AZ73" s="210">
        <v>0.15</v>
      </c>
      <c r="BA73" s="210">
        <v>0.15</v>
      </c>
      <c r="BB73" s="210">
        <v>0.15</v>
      </c>
      <c r="BC73" s="210">
        <v>0.15</v>
      </c>
      <c r="BD73" s="210">
        <v>0.15</v>
      </c>
      <c r="BE73" s="210">
        <v>0.15</v>
      </c>
      <c r="BF73" s="210">
        <v>0.155</v>
      </c>
      <c r="BG73" s="210">
        <v>0.155</v>
      </c>
      <c r="BH73" s="210">
        <v>0.155</v>
      </c>
      <c r="BI73" s="210">
        <v>0.155</v>
      </c>
      <c r="BK73" s="236"/>
      <c r="BL73"/>
      <c r="BM73"/>
      <c r="BN73"/>
      <c r="BO73"/>
      <c r="BP73"/>
      <c r="BQ73"/>
    </row>
    <row r="74" spans="2:69" s="248" customFormat="1">
      <c r="B74" s="245" t="s">
        <v>273</v>
      </c>
      <c r="C74" s="245"/>
      <c r="D74" s="248">
        <f>+D72/'AT&amp;T Mobility'!D10</f>
        <v>0.16010243351120904</v>
      </c>
      <c r="E74" s="248">
        <f>+E72/'AT&amp;T Mobility'!E10</f>
        <v>0.15384095577900314</v>
      </c>
      <c r="F74" s="248">
        <f>+F72/'AT&amp;T Mobility'!F10</f>
        <v>0.11503290143138185</v>
      </c>
      <c r="G74" s="248">
        <f>+G72/'AT&amp;T Mobility'!G10</f>
        <v>0.12205545103747543</v>
      </c>
      <c r="H74" s="248">
        <f>+H72/'AT&amp;T Mobility'!H10</f>
        <v>0.12184123113148045</v>
      </c>
      <c r="I74" s="248">
        <f ca="1">+I72/'AT&amp;T Mobility'!I10</f>
        <v>0.12411107076665109</v>
      </c>
      <c r="J74" s="248">
        <f ca="1">+J72/'AT&amp;T Mobility'!J10</f>
        <v>0.12011462684748153</v>
      </c>
      <c r="K74" s="248">
        <f ca="1">+K72/'AT&amp;T Mobility'!K10</f>
        <v>0.12011909892760333</v>
      </c>
      <c r="L74" s="248">
        <f ca="1">+L72/'AT&amp;T Mobility'!L10</f>
        <v>0.12009303470155419</v>
      </c>
      <c r="M74" s="248">
        <f ca="1">+M72/'AT&amp;T Mobility'!M10</f>
        <v>0.12004038051100228</v>
      </c>
      <c r="N74" s="248">
        <f ca="1">+N72/'AT&amp;T Mobility'!N10</f>
        <v>0.12015196310659816</v>
      </c>
      <c r="O74" s="248">
        <f ca="1">+O72/'AT&amp;T Mobility'!O10</f>
        <v>0.12023885720599728</v>
      </c>
      <c r="P74" s="248">
        <f ca="1">+P72/'AT&amp;T Mobility'!P10</f>
        <v>0.12030372598993085</v>
      </c>
      <c r="Q74" s="245"/>
      <c r="R74" s="158"/>
      <c r="S74" s="158"/>
      <c r="T74" s="158"/>
      <c r="U74" s="158"/>
      <c r="V74" s="158"/>
      <c r="W74" s="158"/>
      <c r="X74" s="158"/>
      <c r="Y74" s="158"/>
      <c r="Z74" s="158"/>
      <c r="AA74" s="158"/>
      <c r="AB74" s="158"/>
      <c r="AC74" s="158"/>
      <c r="AD74" s="158"/>
      <c r="AE74" s="158"/>
      <c r="AF74" s="158"/>
      <c r="AG74" s="158"/>
      <c r="AH74" s="158"/>
      <c r="AI74" s="158"/>
      <c r="AJ74" s="158"/>
      <c r="AK74" s="158"/>
      <c r="AL74" s="159">
        <f>+AL72/'AT&amp;T Mobility'!AL10</f>
        <v>0.13755916362111317</v>
      </c>
      <c r="AM74" s="159">
        <f>+AM72/'AT&amp;T Mobility'!AM10</f>
        <v>0.17540917240182755</v>
      </c>
      <c r="AN74" s="159">
        <f>+AN72/'AT&amp;T Mobility'!AN10</f>
        <v>0.17505720823798626</v>
      </c>
      <c r="AO74" s="159">
        <f>+AO72/'AT&amp;T Mobility'!AO10</f>
        <v>0.15197700276617671</v>
      </c>
      <c r="AP74" s="248">
        <f>+AP72/'AT&amp;T Mobility'!AP10</f>
        <v>0.17250643680734357</v>
      </c>
      <c r="AQ74" s="248">
        <f>+AQ72/'AT&amp;T Mobility'!AQ10</f>
        <v>0.19408812046848856</v>
      </c>
      <c r="AR74" s="248">
        <f>+AR72/'AT&amp;T Mobility'!AR10</f>
        <v>0.14375306756830453</v>
      </c>
      <c r="AS74" s="248">
        <f>+AS72/'AT&amp;T Mobility'!AS10</f>
        <v>0.11002568105141246</v>
      </c>
      <c r="AT74" s="248">
        <f>+AT72/'AT&amp;T Mobility'!AT10</f>
        <v>0.10222148905751677</v>
      </c>
      <c r="AU74" s="248">
        <f>+AU72/'AT&amp;T Mobility'!AU10</f>
        <v>0.1165319055944056</v>
      </c>
      <c r="AV74" s="248">
        <f>+AV72/'AT&amp;T Mobility'!AV10</f>
        <v>0.12353374433957118</v>
      </c>
      <c r="AW74" s="248">
        <f>+AW72/'AT&amp;T Mobility'!AW10</f>
        <v>0.11766652546860108</v>
      </c>
      <c r="AX74" s="248">
        <f>+AX72/'AT&amp;T Mobility'!AX10</f>
        <v>0.12253536816308344</v>
      </c>
      <c r="AY74" s="248">
        <f>+AY72/'AT&amp;T Mobility'!AY10</f>
        <v>0.12478661087866107</v>
      </c>
      <c r="AZ74" s="248">
        <f>+AZ72/'AT&amp;T Mobility'!AZ10</f>
        <v>0.12337565963060686</v>
      </c>
      <c r="BA74" s="248">
        <f>+BA72/'AT&amp;T Mobility'!BA10</f>
        <v>0.11770399999999999</v>
      </c>
      <c r="BB74" s="248">
        <f>+BB72/'AT&amp;T Mobility'!BB10</f>
        <v>0.12702860138638083</v>
      </c>
      <c r="BC74" s="248">
        <f>+BC72/'AT&amp;T Mobility'!BC10</f>
        <v>0.12444913802945541</v>
      </c>
      <c r="BD74" s="248">
        <f>+BD72/'AT&amp;T Mobility'!BD10</f>
        <v>0.12509463179628355</v>
      </c>
      <c r="BE74" s="248">
        <f>+BE72/'AT&amp;T Mobility'!BE10</f>
        <v>0.11188371125442062</v>
      </c>
      <c r="BF74" s="248">
        <f ca="1">+BF72/'AT&amp;T Mobility'!BF10</f>
        <v>0.12753367811638311</v>
      </c>
      <c r="BG74" s="248">
        <f ca="1">+BG72/'AT&amp;T Mobility'!BG10</f>
        <v>0.1266932024064113</v>
      </c>
      <c r="BH74" s="248">
        <f ca="1">+BH72/'AT&amp;T Mobility'!BH10</f>
        <v>0.12678695272145588</v>
      </c>
      <c r="BI74" s="248">
        <f ca="1">+BI72/'AT&amp;T Mobility'!BI10</f>
        <v>0.11621365416211343</v>
      </c>
      <c r="BL74"/>
      <c r="BM74"/>
      <c r="BN74"/>
      <c r="BO74"/>
      <c r="BP74"/>
      <c r="BQ74"/>
    </row>
    <row r="75" spans="2:69" s="248" customFormat="1">
      <c r="B75" s="245" t="s">
        <v>252</v>
      </c>
      <c r="C75" s="245"/>
      <c r="E75" s="248">
        <f t="shared" ref="E75:J75" si="92">E72/D72-1</f>
        <v>1.7156643731569998E-2</v>
      </c>
      <c r="F75" s="248">
        <f t="shared" si="92"/>
        <v>-0.25516120530615827</v>
      </c>
      <c r="G75" s="248">
        <f t="shared" si="92"/>
        <v>4.8322226808987345E-2</v>
      </c>
      <c r="H75" s="248">
        <f t="shared" si="92"/>
        <v>-2.1933574852051163E-2</v>
      </c>
      <c r="I75" s="248">
        <f t="shared" ca="1" si="92"/>
        <v>1.660345458543655E-2</v>
      </c>
      <c r="J75" s="248">
        <f t="shared" ca="1" si="92"/>
        <v>-3.015378014675707E-2</v>
      </c>
      <c r="K75" s="248">
        <f t="shared" ref="K75" ca="1" si="93">K72/J72-1</f>
        <v>-5.1941204612238057E-4</v>
      </c>
      <c r="L75" s="248">
        <f t="shared" ref="L75" ca="1" si="94">L72/K72-1</f>
        <v>-4.156970113471159E-3</v>
      </c>
      <c r="M75" s="248">
        <f t="shared" ref="M75" ca="1" si="95">M72/L72-1</f>
        <v>-7.3859188731266734E-3</v>
      </c>
      <c r="N75" s="248">
        <f t="shared" ref="N75" ca="1" si="96">N72/M72-1</f>
        <v>-1.0268613116599989E-2</v>
      </c>
      <c r="O75" s="248">
        <f t="shared" ref="O75" ca="1" si="97">O72/N72-1</f>
        <v>-1.285534753553863E-2</v>
      </c>
      <c r="P75" s="248">
        <f t="shared" ref="P75" ca="1" si="98">P72/O72-1</f>
        <v>-1.5187243451250665E-2</v>
      </c>
      <c r="Q75" s="245"/>
      <c r="R75" s="158"/>
      <c r="S75" s="158"/>
      <c r="T75" s="158"/>
      <c r="U75" s="158"/>
      <c r="V75" s="158"/>
      <c r="W75" s="158"/>
      <c r="X75" s="158"/>
      <c r="Y75" s="158"/>
      <c r="Z75" s="158"/>
      <c r="AA75" s="158"/>
      <c r="AB75" s="158"/>
      <c r="AC75" s="158"/>
      <c r="AD75" s="158"/>
      <c r="AE75" s="158"/>
      <c r="AF75" s="158"/>
      <c r="AG75" s="158"/>
      <c r="AH75" s="158"/>
      <c r="AI75" s="158"/>
      <c r="AJ75" s="158"/>
      <c r="AK75" s="158"/>
      <c r="AL75" s="159"/>
      <c r="AM75" s="159"/>
      <c r="AN75" s="159"/>
      <c r="AO75" s="159"/>
      <c r="AP75" s="248">
        <f>AP72/AL72-1</f>
        <v>0.34233449477351918</v>
      </c>
      <c r="AQ75" s="248">
        <f t="shared" ref="AQ75:BE75" si="99">AQ72/AM72-1</f>
        <v>0.14737883283877351</v>
      </c>
      <c r="AR75" s="248">
        <f t="shared" si="99"/>
        <v>-0.13856209150326793</v>
      </c>
      <c r="AS75" s="248">
        <f t="shared" si="99"/>
        <v>-0.22019985724482516</v>
      </c>
      <c r="AT75" s="248">
        <f t="shared" si="99"/>
        <v>-0.39682024659312132</v>
      </c>
      <c r="AU75" s="248">
        <f t="shared" si="99"/>
        <v>-0.38706896551724135</v>
      </c>
      <c r="AV75" s="248">
        <f t="shared" si="99"/>
        <v>-0.14102807283763275</v>
      </c>
      <c r="AW75" s="248">
        <f t="shared" si="99"/>
        <v>1.7048054919908573E-2</v>
      </c>
      <c r="AX75" s="248">
        <f t="shared" si="99"/>
        <v>0.18343195266272194</v>
      </c>
      <c r="AY75" s="248">
        <f t="shared" si="99"/>
        <v>4.8663853727144657E-2</v>
      </c>
      <c r="AZ75" s="248">
        <f t="shared" si="99"/>
        <v>-8.7446174229878215E-3</v>
      </c>
      <c r="BA75" s="248">
        <f t="shared" si="99"/>
        <v>-6.8849139385758207E-3</v>
      </c>
      <c r="BB75" s="248">
        <f t="shared" si="99"/>
        <v>-8.7727272727273764E-3</v>
      </c>
      <c r="BC75" s="248">
        <f t="shared" si="99"/>
        <v>-2.534871244635184E-2</v>
      </c>
      <c r="BD75" s="248">
        <f t="shared" si="99"/>
        <v>-2.8202900487869997E-2</v>
      </c>
      <c r="BE75" s="248">
        <f t="shared" si="99"/>
        <v>-2.5215795554951459E-2</v>
      </c>
      <c r="BF75" s="248">
        <f t="shared" ref="BF75" ca="1" si="100">BF72/BB72-1</f>
        <v>1.1217750338728516E-2</v>
      </c>
      <c r="BG75" s="248">
        <f t="shared" ref="BG75" ca="1" si="101">BG72/BC72-1</f>
        <v>1.1328526067609257E-2</v>
      </c>
      <c r="BH75" s="248">
        <f t="shared" ref="BH75" ca="1" si="102">BH72/BD72-1</f>
        <v>1.2932119580903789E-2</v>
      </c>
      <c r="BI75" s="248">
        <f t="shared" ref="BI75" ca="1" si="103">BI72/BE72-1</f>
        <v>3.1130582023565223E-2</v>
      </c>
      <c r="BL75"/>
      <c r="BM75"/>
      <c r="BN75"/>
      <c r="BO75"/>
      <c r="BP75"/>
      <c r="BQ75"/>
    </row>
    <row r="76" spans="2:69">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row>
    <row r="77" spans="2:69" s="252" customFormat="1">
      <c r="B77" s="252" t="s">
        <v>300</v>
      </c>
      <c r="F77" s="247">
        <f>SUM(AT77:AW77)</f>
        <v>0</v>
      </c>
      <c r="G77" s="247">
        <f>SUM(AX77:BA77)</f>
        <v>0</v>
      </c>
      <c r="H77" s="247">
        <f>SUM(BB77:BE77)</f>
        <v>0</v>
      </c>
      <c r="I77" s="247">
        <f>SUM(BF77:BI77)</f>
        <v>0</v>
      </c>
      <c r="J77" s="252">
        <v>568.81256257846246</v>
      </c>
      <c r="K77" s="252">
        <v>740.50051564545004</v>
      </c>
      <c r="L77" s="252">
        <v>948.96930477680519</v>
      </c>
      <c r="M77" s="252">
        <v>1209.3712633696878</v>
      </c>
      <c r="N77" s="252">
        <v>1537.9933667349903</v>
      </c>
      <c r="O77" s="252">
        <v>1954.2990148915658</v>
      </c>
      <c r="P77" s="252">
        <v>2482.5297522496576</v>
      </c>
      <c r="R77" s="157"/>
      <c r="S77" s="157"/>
      <c r="T77" s="157"/>
      <c r="U77" s="157"/>
      <c r="V77" s="157"/>
      <c r="W77" s="157"/>
      <c r="X77" s="157"/>
      <c r="Y77" s="157"/>
      <c r="Z77" s="157"/>
      <c r="AA77" s="157"/>
      <c r="AB77" s="157"/>
      <c r="AC77" s="157"/>
      <c r="AD77" s="157"/>
      <c r="AE77" s="157"/>
      <c r="AF77" s="157"/>
      <c r="AG77" s="157"/>
      <c r="AH77" s="157"/>
      <c r="AI77" s="157"/>
      <c r="AJ77" s="157"/>
      <c r="AK77" s="157"/>
      <c r="AL77" s="157"/>
      <c r="AM77" s="157"/>
      <c r="AN77" s="157"/>
      <c r="AO77" s="157"/>
      <c r="AV77" s="254"/>
      <c r="AW77" s="254"/>
      <c r="AX77" s="254"/>
      <c r="AY77" s="254"/>
      <c r="AZ77" s="254"/>
      <c r="BA77" s="254"/>
      <c r="BB77" s="254"/>
      <c r="BC77" s="254"/>
      <c r="BD77" s="254"/>
      <c r="BE77" s="254"/>
      <c r="BF77" s="254"/>
      <c r="BG77" s="254"/>
      <c r="BH77" s="254"/>
      <c r="BI77" s="254"/>
      <c r="BK77" s="236"/>
      <c r="BL77"/>
      <c r="BM77"/>
      <c r="BN77"/>
      <c r="BO77"/>
      <c r="BP77"/>
      <c r="BQ77"/>
    </row>
    <row r="78" spans="2:69" s="248" customFormat="1">
      <c r="B78" s="245" t="s">
        <v>394</v>
      </c>
      <c r="C78" s="245"/>
      <c r="F78" s="248">
        <v>0</v>
      </c>
      <c r="G78" s="248">
        <v>0</v>
      </c>
      <c r="H78" s="248">
        <v>0</v>
      </c>
      <c r="I78" s="248">
        <v>0</v>
      </c>
      <c r="J78" s="210">
        <v>0.15</v>
      </c>
      <c r="K78" s="210">
        <v>0.15</v>
      </c>
      <c r="L78" s="210">
        <v>0.15</v>
      </c>
      <c r="M78" s="210">
        <v>0.15</v>
      </c>
      <c r="N78" s="210">
        <v>0.15</v>
      </c>
      <c r="O78" s="210">
        <v>0.15</v>
      </c>
      <c r="P78" s="210">
        <v>0.15</v>
      </c>
      <c r="Q78" s="245"/>
      <c r="R78" s="158"/>
      <c r="S78" s="158"/>
      <c r="T78" s="158"/>
      <c r="U78" s="158"/>
      <c r="V78" s="158"/>
      <c r="W78" s="158"/>
      <c r="X78" s="158"/>
      <c r="Y78" s="158"/>
      <c r="Z78" s="158"/>
      <c r="AA78" s="158"/>
      <c r="AB78" s="158"/>
      <c r="AC78" s="158"/>
      <c r="AD78" s="158"/>
      <c r="AE78" s="158"/>
      <c r="AF78" s="158"/>
      <c r="AG78" s="158"/>
      <c r="AH78" s="158"/>
      <c r="AI78" s="158"/>
      <c r="AJ78" s="158"/>
      <c r="AK78" s="158"/>
      <c r="AL78" s="159"/>
      <c r="AM78" s="159"/>
      <c r="AN78" s="159"/>
      <c r="AO78" s="159"/>
      <c r="BL78"/>
      <c r="BM78"/>
      <c r="BN78"/>
      <c r="BO78"/>
      <c r="BP78"/>
      <c r="BQ78"/>
    </row>
    <row r="79" spans="2:69" s="248" customFormat="1">
      <c r="B79" s="245" t="s">
        <v>273</v>
      </c>
      <c r="C79" s="245"/>
      <c r="F79" s="248">
        <v>0</v>
      </c>
      <c r="G79" s="248">
        <v>0</v>
      </c>
      <c r="H79" s="248">
        <v>0</v>
      </c>
      <c r="I79" s="248">
        <v>0</v>
      </c>
      <c r="J79" s="248">
        <v>0.1066373512644383</v>
      </c>
      <c r="K79" s="248">
        <v>0.11087544437452494</v>
      </c>
      <c r="L79" s="248">
        <v>0.11476974812509515</v>
      </c>
      <c r="M79" s="248">
        <v>0.1185138140674952</v>
      </c>
      <c r="N79" s="248">
        <v>0.1221086195887801</v>
      </c>
      <c r="O79" s="248">
        <v>0.12551163550107278</v>
      </c>
      <c r="P79" s="248">
        <v>0.12868050117598023</v>
      </c>
      <c r="Q79" s="245"/>
      <c r="R79" s="158"/>
      <c r="S79" s="158"/>
      <c r="T79" s="158"/>
      <c r="U79" s="158"/>
      <c r="V79" s="158"/>
      <c r="W79" s="158"/>
      <c r="X79" s="158"/>
      <c r="Y79" s="158"/>
      <c r="Z79" s="158"/>
      <c r="AA79" s="158"/>
      <c r="AB79" s="158"/>
      <c r="AC79" s="158"/>
      <c r="AD79" s="158"/>
      <c r="AE79" s="158"/>
      <c r="AF79" s="158"/>
      <c r="AG79" s="158"/>
      <c r="AH79" s="158"/>
      <c r="AI79" s="158"/>
      <c r="AJ79" s="158"/>
      <c r="AK79" s="158"/>
      <c r="AL79" s="159"/>
      <c r="AM79" s="159"/>
      <c r="AN79" s="159"/>
      <c r="AO79" s="159"/>
      <c r="BL79"/>
      <c r="BM79"/>
      <c r="BN79"/>
      <c r="BO79"/>
      <c r="BP79"/>
      <c r="BQ79"/>
    </row>
    <row r="80" spans="2:69" s="248" customFormat="1">
      <c r="B80" s="245" t="s">
        <v>252</v>
      </c>
      <c r="C80" s="245"/>
      <c r="Q80" s="245"/>
      <c r="R80" s="158"/>
      <c r="S80" s="158"/>
      <c r="T80" s="158"/>
      <c r="U80" s="158"/>
      <c r="V80" s="158"/>
      <c r="W80" s="158"/>
      <c r="X80" s="158"/>
      <c r="Y80" s="158"/>
      <c r="Z80" s="158"/>
      <c r="AA80" s="158"/>
      <c r="AB80" s="158"/>
      <c r="AC80" s="158"/>
      <c r="AD80" s="158"/>
      <c r="AE80" s="158"/>
      <c r="AF80" s="158"/>
      <c r="AG80" s="158"/>
      <c r="AH80" s="158"/>
      <c r="AI80" s="158"/>
      <c r="AJ80" s="158"/>
      <c r="AK80" s="158"/>
      <c r="AL80" s="159"/>
      <c r="AM80" s="159"/>
      <c r="AN80" s="159"/>
      <c r="AO80" s="159"/>
      <c r="BL80"/>
      <c r="BM80"/>
      <c r="BN80"/>
      <c r="BO80"/>
      <c r="BP80"/>
      <c r="BQ80"/>
    </row>
    <row r="81" spans="2:69">
      <c r="R81" s="161"/>
      <c r="S81" s="161"/>
      <c r="T81" s="161"/>
      <c r="U81" s="161"/>
      <c r="V81" s="161"/>
      <c r="W81" s="161"/>
      <c r="X81" s="161"/>
      <c r="Y81" s="161"/>
      <c r="Z81" s="161"/>
      <c r="AA81" s="161"/>
      <c r="AB81" s="161"/>
      <c r="AC81" s="161"/>
      <c r="AD81" s="161"/>
      <c r="AE81" s="161"/>
      <c r="AF81" s="161"/>
      <c r="AG81" s="161"/>
      <c r="AH81" s="161"/>
      <c r="AI81" s="161"/>
      <c r="AJ81" s="161"/>
      <c r="AK81" s="161"/>
      <c r="AL81" s="161"/>
      <c r="AM81" s="154"/>
      <c r="AN81" s="154"/>
      <c r="AO81" s="154"/>
      <c r="AP81" s="236"/>
      <c r="AQ81" s="236"/>
      <c r="AR81" s="236"/>
      <c r="AS81" s="236"/>
      <c r="AT81" s="236"/>
      <c r="AU81" s="236"/>
      <c r="AV81" s="236"/>
      <c r="AW81" s="236"/>
      <c r="AX81" s="236"/>
      <c r="AY81" s="236"/>
      <c r="AZ81" s="236"/>
      <c r="BA81" s="236"/>
      <c r="BB81" s="236"/>
      <c r="BC81" s="236"/>
      <c r="BD81" s="236"/>
      <c r="BE81" s="236"/>
    </row>
    <row r="82" spans="2:69" s="236" customFormat="1">
      <c r="B82" s="252" t="s">
        <v>292</v>
      </c>
      <c r="D82" s="252">
        <f>SUM(AL82:AO82)</f>
        <v>3786</v>
      </c>
      <c r="E82" s="247">
        <f>SUM(AP82:AS82)</f>
        <v>3225</v>
      </c>
      <c r="F82" s="247">
        <f>SUM(AT82:AW82)</f>
        <v>2833</v>
      </c>
      <c r="G82" s="247">
        <f>SUM(AX82:BA82)</f>
        <v>3322</v>
      </c>
      <c r="H82" s="247">
        <f>SUM(BB82:BE82)</f>
        <v>3882</v>
      </c>
      <c r="I82" s="247">
        <f>SUM(BF82:BI82)</f>
        <v>4442</v>
      </c>
      <c r="J82" s="252">
        <f ca="1">+J89-J77-J72-J68</f>
        <v>4354.9254154697246</v>
      </c>
      <c r="K82" s="252">
        <f t="shared" ref="K82:P82" ca="1" si="104">+K89-K77-K72-K68</f>
        <v>4269.1878667125802</v>
      </c>
      <c r="L82" s="252">
        <f t="shared" ca="1" si="104"/>
        <v>4143.9490050146196</v>
      </c>
      <c r="M82" s="252">
        <f t="shared" ca="1" si="104"/>
        <v>3973.9046982293403</v>
      </c>
      <c r="N82" s="252">
        <f t="shared" ca="1" si="104"/>
        <v>3760.3372108502663</v>
      </c>
      <c r="O82" s="252">
        <f t="shared" ca="1" si="104"/>
        <v>3504.921807748402</v>
      </c>
      <c r="P82" s="252">
        <f t="shared" ca="1" si="104"/>
        <v>3208.3382030795165</v>
      </c>
      <c r="R82" s="154"/>
      <c r="S82" s="154"/>
      <c r="T82" s="154"/>
      <c r="U82" s="154"/>
      <c r="V82" s="154"/>
      <c r="W82" s="154"/>
      <c r="X82" s="154"/>
      <c r="Y82" s="154"/>
      <c r="Z82" s="154"/>
      <c r="AA82" s="154"/>
      <c r="AB82" s="154"/>
      <c r="AC82" s="154"/>
      <c r="AD82" s="154"/>
      <c r="AE82" s="154"/>
      <c r="AF82" s="154"/>
      <c r="AG82" s="154"/>
      <c r="AH82" s="154"/>
      <c r="AI82" s="154"/>
      <c r="AJ82" s="154"/>
      <c r="AK82" s="154"/>
      <c r="AL82" s="174">
        <f>748+78</f>
        <v>826</v>
      </c>
      <c r="AM82" s="174">
        <f>1580+194-AL82</f>
        <v>948</v>
      </c>
      <c r="AN82" s="174">
        <f>2471+276-AM82-AL82</f>
        <v>973</v>
      </c>
      <c r="AO82" s="174">
        <f>3409+377-AN82-AM82-AL82</f>
        <v>1039</v>
      </c>
      <c r="AP82" s="254">
        <f>650+54</f>
        <v>704</v>
      </c>
      <c r="AQ82" s="254">
        <f>1417+109-AP82</f>
        <v>822</v>
      </c>
      <c r="AR82" s="254">
        <f>2207+189-AQ82-AP82</f>
        <v>870</v>
      </c>
      <c r="AS82" s="254">
        <f>2940+285-AR82-AQ82-AP82</f>
        <v>829</v>
      </c>
      <c r="AT82" s="254">
        <f>613+96</f>
        <v>709</v>
      </c>
      <c r="AU82" s="254">
        <f>1251+131-AT82</f>
        <v>673</v>
      </c>
      <c r="AV82" s="211">
        <f t="shared" ref="AV82:BE82" si="105">+AU82+35</f>
        <v>708</v>
      </c>
      <c r="AW82" s="211">
        <f t="shared" si="105"/>
        <v>743</v>
      </c>
      <c r="AX82" s="211">
        <f t="shared" si="105"/>
        <v>778</v>
      </c>
      <c r="AY82" s="211">
        <f t="shared" si="105"/>
        <v>813</v>
      </c>
      <c r="AZ82" s="211">
        <f t="shared" si="105"/>
        <v>848</v>
      </c>
      <c r="BA82" s="211">
        <f t="shared" si="105"/>
        <v>883</v>
      </c>
      <c r="BB82" s="211">
        <f t="shared" si="105"/>
        <v>918</v>
      </c>
      <c r="BC82" s="211">
        <f t="shared" si="105"/>
        <v>953</v>
      </c>
      <c r="BD82" s="211">
        <f t="shared" si="105"/>
        <v>988</v>
      </c>
      <c r="BE82" s="211">
        <f t="shared" si="105"/>
        <v>1023</v>
      </c>
      <c r="BF82" s="211">
        <f t="shared" ref="BF82" si="106">+BE82+35</f>
        <v>1058</v>
      </c>
      <c r="BG82" s="211">
        <f t="shared" ref="BG82" si="107">+BF82+35</f>
        <v>1093</v>
      </c>
      <c r="BH82" s="211">
        <f t="shared" ref="BH82" si="108">+BG82+35</f>
        <v>1128</v>
      </c>
      <c r="BI82" s="211">
        <f t="shared" ref="BI82" si="109">+BH82+35</f>
        <v>1163</v>
      </c>
      <c r="BL82"/>
      <c r="BM82"/>
      <c r="BN82"/>
      <c r="BO82"/>
      <c r="BP82"/>
      <c r="BQ82"/>
    </row>
    <row r="83" spans="2:69" s="248" customFormat="1">
      <c r="B83" s="245" t="s">
        <v>273</v>
      </c>
      <c r="C83" s="245"/>
      <c r="D83" s="263">
        <f>D82/31754</f>
        <v>0.11922907350255085</v>
      </c>
      <c r="E83" s="263">
        <f>E82/33260</f>
        <v>9.696331930246542E-2</v>
      </c>
      <c r="Q83" s="245"/>
      <c r="R83" s="158"/>
      <c r="S83" s="158"/>
      <c r="T83" s="158"/>
      <c r="U83" s="158"/>
      <c r="V83" s="158"/>
      <c r="W83" s="158"/>
      <c r="X83" s="158"/>
      <c r="Y83" s="158"/>
      <c r="Z83" s="158"/>
      <c r="AA83" s="158"/>
      <c r="AB83" s="158"/>
      <c r="AC83" s="158"/>
      <c r="AD83" s="158"/>
      <c r="AE83" s="158"/>
      <c r="AF83" s="158"/>
      <c r="AG83" s="158"/>
      <c r="AH83" s="158"/>
      <c r="AI83" s="158"/>
      <c r="AJ83" s="158"/>
      <c r="AK83" s="158"/>
      <c r="AL83" s="172">
        <f>AL82/7580</f>
        <v>0.10897097625329816</v>
      </c>
      <c r="AM83" s="172">
        <f>AM82/7700</f>
        <v>0.12311688311688311</v>
      </c>
      <c r="AN83" s="172">
        <f>AN82/7880</f>
        <v>0.1234771573604061</v>
      </c>
      <c r="AO83" s="172">
        <f>AO82/(31754-23160)</f>
        <v>0.12089830114033047</v>
      </c>
      <c r="AP83" s="263">
        <f>AP82/7855</f>
        <v>8.9624443029917247E-2</v>
      </c>
      <c r="AQ83" s="263">
        <f>AQ82/8109</f>
        <v>0.10136884942656307</v>
      </c>
      <c r="AR83" s="263">
        <f>AR82/8374</f>
        <v>0.10389300214951039</v>
      </c>
      <c r="AS83" s="263">
        <f>AS82/(33260-24338)</f>
        <v>9.2916386460434874E-2</v>
      </c>
      <c r="AT83" s="263">
        <f>AT82/8143</f>
        <v>8.7068647918457573E-2</v>
      </c>
      <c r="AU83" s="263">
        <f>AU82/8441</f>
        <v>7.9729889823480629E-2</v>
      </c>
      <c r="BL83"/>
      <c r="BM83"/>
      <c r="BN83"/>
      <c r="BO83"/>
      <c r="BP83"/>
      <c r="BQ83"/>
    </row>
    <row r="84" spans="2:69" s="248" customFormat="1">
      <c r="B84" s="245" t="s">
        <v>252</v>
      </c>
      <c r="C84" s="245"/>
      <c r="E84" s="248">
        <f t="shared" ref="E84:J84" si="110">E82/D82-1</f>
        <v>-0.14817749603803487</v>
      </c>
      <c r="F84" s="248">
        <f t="shared" si="110"/>
        <v>-0.12155038759689918</v>
      </c>
      <c r="G84" s="248">
        <f t="shared" si="110"/>
        <v>0.17260854218143318</v>
      </c>
      <c r="H84" s="248">
        <f t="shared" si="110"/>
        <v>0.16857314870559903</v>
      </c>
      <c r="I84" s="248">
        <f t="shared" si="110"/>
        <v>0.14425553838227723</v>
      </c>
      <c r="J84" s="248">
        <f t="shared" ca="1" si="110"/>
        <v>-1.9602562928922818E-2</v>
      </c>
      <c r="K84" s="248">
        <f t="shared" ref="K84" ca="1" si="111">K82/J82-1</f>
        <v>-1.9687489584226725E-2</v>
      </c>
      <c r="L84" s="248">
        <f t="shared" ref="L84" ca="1" si="112">L82/K82-1</f>
        <v>-2.9335523665862673E-2</v>
      </c>
      <c r="M84" s="248">
        <f t="shared" ref="M84" ca="1" si="113">M82/L82-1</f>
        <v>-4.1034362773168187E-2</v>
      </c>
      <c r="N84" s="248">
        <f t="shared" ref="N84" ca="1" si="114">N82/M82-1</f>
        <v>-5.3742478392658444E-2</v>
      </c>
      <c r="O84" s="248">
        <f t="shared" ref="O84" ca="1" si="115">O82/N82-1</f>
        <v>-6.7923536847939059E-2</v>
      </c>
      <c r="P84" s="248">
        <f t="shared" ref="P84" ca="1" si="116">P82/O82-1</f>
        <v>-8.4619178668471906E-2</v>
      </c>
      <c r="Q84" s="245"/>
      <c r="R84" s="158"/>
      <c r="S84" s="158"/>
      <c r="T84" s="158"/>
      <c r="U84" s="158"/>
      <c r="V84" s="158"/>
      <c r="W84" s="158"/>
      <c r="X84" s="158"/>
      <c r="Y84" s="158"/>
      <c r="Z84" s="158"/>
      <c r="AA84" s="158"/>
      <c r="AB84" s="158"/>
      <c r="AC84" s="158"/>
      <c r="AD84" s="158"/>
      <c r="AE84" s="158"/>
      <c r="AF84" s="158"/>
      <c r="AG84" s="158"/>
      <c r="AH84" s="158"/>
      <c r="AI84" s="158"/>
      <c r="AJ84" s="158"/>
      <c r="AK84" s="158"/>
      <c r="AL84" s="159"/>
      <c r="AM84" s="159"/>
      <c r="AN84" s="159"/>
      <c r="AO84" s="159"/>
      <c r="AP84" s="248">
        <f t="shared" ref="AP84:BE84" si="117">AP82/AL82-1</f>
        <v>-0.14769975786924938</v>
      </c>
      <c r="AQ84" s="248">
        <f t="shared" si="117"/>
        <v>-0.13291139240506333</v>
      </c>
      <c r="AR84" s="248">
        <f t="shared" si="117"/>
        <v>-0.10585817060637204</v>
      </c>
      <c r="AS84" s="248">
        <f t="shared" si="117"/>
        <v>-0.20211742059672766</v>
      </c>
      <c r="AT84" s="248">
        <f t="shared" si="117"/>
        <v>7.1022727272727071E-3</v>
      </c>
      <c r="AU84" s="248">
        <f t="shared" si="117"/>
        <v>-0.18126520681265201</v>
      </c>
      <c r="AV84" s="248">
        <f t="shared" si="117"/>
        <v>-0.18620689655172418</v>
      </c>
      <c r="AW84" s="248">
        <f t="shared" si="117"/>
        <v>-0.10373944511459587</v>
      </c>
      <c r="AX84" s="248">
        <f t="shared" si="117"/>
        <v>9.7320169252468336E-2</v>
      </c>
      <c r="AY84" s="248">
        <f t="shared" si="117"/>
        <v>0.20802377414561657</v>
      </c>
      <c r="AZ84" s="248">
        <f t="shared" si="117"/>
        <v>0.19774011299435035</v>
      </c>
      <c r="BA84" s="248">
        <f t="shared" si="117"/>
        <v>0.18842530282637959</v>
      </c>
      <c r="BB84" s="248">
        <f t="shared" si="117"/>
        <v>0.17994858611825193</v>
      </c>
      <c r="BC84" s="248">
        <f t="shared" si="117"/>
        <v>0.17220172201722028</v>
      </c>
      <c r="BD84" s="248">
        <f t="shared" si="117"/>
        <v>0.16509433962264142</v>
      </c>
      <c r="BE84" s="248">
        <f t="shared" si="117"/>
        <v>0.15855039637599089</v>
      </c>
      <c r="BF84" s="248">
        <f t="shared" ref="BF84" si="118">BF82/BB82-1</f>
        <v>0.15250544662309373</v>
      </c>
      <c r="BG84" s="248">
        <f t="shared" ref="BG84" si="119">BG82/BC82-1</f>
        <v>0.14690451206715638</v>
      </c>
      <c r="BH84" s="248">
        <f t="shared" ref="BH84" si="120">BH82/BD82-1</f>
        <v>0.14170040485829949</v>
      </c>
      <c r="BI84" s="248">
        <f t="shared" ref="BI84" si="121">BI82/BE82-1</f>
        <v>0.13685239491691115</v>
      </c>
      <c r="BL84"/>
      <c r="BM84"/>
      <c r="BN84"/>
      <c r="BO84"/>
      <c r="BP84"/>
      <c r="BQ84"/>
    </row>
    <row r="85" spans="2:69">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row>
    <row r="86" spans="2:69">
      <c r="B86" s="524" t="s">
        <v>508</v>
      </c>
      <c r="I86" s="527">
        <v>2250</v>
      </c>
      <c r="R86" s="177"/>
      <c r="S86" s="177"/>
      <c r="T86" s="177"/>
      <c r="U86" s="177"/>
      <c r="V86" s="177"/>
      <c r="W86" s="177"/>
      <c r="X86" s="177"/>
      <c r="Y86" s="177"/>
      <c r="Z86" s="177"/>
      <c r="AA86" s="177"/>
      <c r="AB86" s="177"/>
      <c r="AC86" s="177"/>
      <c r="AD86" s="177"/>
      <c r="AE86" s="177"/>
      <c r="AF86" s="177"/>
      <c r="AG86" s="177"/>
      <c r="AH86" s="177"/>
      <c r="AI86" s="177"/>
      <c r="AJ86" s="177"/>
      <c r="AK86" s="177"/>
      <c r="AL86" s="177"/>
      <c r="AM86" s="177"/>
      <c r="AN86" s="177"/>
      <c r="AO86" s="177"/>
      <c r="BF86" s="247">
        <f>$I$86*BF87</f>
        <v>225</v>
      </c>
      <c r="BG86" s="247">
        <f t="shared" ref="BG86:BI86" si="122">$I$86*BG87</f>
        <v>450</v>
      </c>
      <c r="BH86" s="247">
        <f t="shared" si="122"/>
        <v>675</v>
      </c>
      <c r="BI86" s="247">
        <f t="shared" si="122"/>
        <v>899.99999999999977</v>
      </c>
    </row>
    <row r="87" spans="2:69">
      <c r="B87" s="245" t="s">
        <v>509</v>
      </c>
      <c r="R87" s="177"/>
      <c r="S87" s="177"/>
      <c r="T87" s="177"/>
      <c r="U87" s="177"/>
      <c r="V87" s="177"/>
      <c r="W87" s="177"/>
      <c r="X87" s="177"/>
      <c r="Y87" s="177"/>
      <c r="Z87" s="177"/>
      <c r="AA87" s="177"/>
      <c r="AB87" s="177"/>
      <c r="AC87" s="177"/>
      <c r="AD87" s="177"/>
      <c r="AE87" s="177"/>
      <c r="AF87" s="177"/>
      <c r="AG87" s="177"/>
      <c r="AH87" s="177"/>
      <c r="AI87" s="177"/>
      <c r="AJ87" s="177"/>
      <c r="AK87" s="177"/>
      <c r="AL87" s="177"/>
      <c r="AM87" s="177"/>
      <c r="AN87" s="177"/>
      <c r="AO87" s="177"/>
      <c r="BF87" s="210">
        <v>0.1</v>
      </c>
      <c r="BG87" s="210">
        <v>0.2</v>
      </c>
      <c r="BH87" s="210">
        <v>0.3</v>
      </c>
      <c r="BI87" s="210">
        <f>100%-SUM(BF87:BH87)</f>
        <v>0.39999999999999991</v>
      </c>
    </row>
    <row r="88" spans="2:69">
      <c r="R88" s="177"/>
      <c r="S88" s="177"/>
      <c r="T88" s="177"/>
      <c r="U88" s="177"/>
      <c r="V88" s="177"/>
      <c r="W88" s="177"/>
      <c r="X88" s="177"/>
      <c r="Y88" s="177"/>
      <c r="Z88" s="177"/>
      <c r="AA88" s="177"/>
      <c r="AB88" s="177"/>
      <c r="AC88" s="177"/>
      <c r="AD88" s="177"/>
      <c r="AE88" s="177"/>
      <c r="AF88" s="177"/>
      <c r="AG88" s="177"/>
      <c r="AH88" s="177"/>
      <c r="AI88" s="177"/>
      <c r="AJ88" s="177"/>
      <c r="AK88" s="177"/>
      <c r="AL88" s="177"/>
      <c r="AM88" s="177"/>
      <c r="AN88" s="177"/>
      <c r="AO88" s="177"/>
    </row>
    <row r="89" spans="2:69" s="252" customFormat="1">
      <c r="B89" s="252" t="s">
        <v>396</v>
      </c>
      <c r="D89" s="252">
        <f>SUM(AL89:AO89)</f>
        <v>21228</v>
      </c>
      <c r="E89" s="247">
        <f>SUM(AP89:AS89)</f>
        <v>21433</v>
      </c>
      <c r="F89" s="247">
        <f>SUM(AT89:AW89)</f>
        <v>20015</v>
      </c>
      <c r="G89" s="247">
        <f>SUM(AX89:BA89)</f>
        <v>22408</v>
      </c>
      <c r="H89" s="247">
        <f>SUM(BB89:BE89)</f>
        <v>21550</v>
      </c>
      <c r="I89" s="247">
        <f ca="1">SUM(BF89:BI89)</f>
        <v>25068.712605411787</v>
      </c>
      <c r="J89" s="252">
        <v>22994.839274599002</v>
      </c>
      <c r="K89" s="252">
        <v>23076.337745646881</v>
      </c>
      <c r="L89" s="252">
        <v>23123.956367704497</v>
      </c>
      <c r="M89" s="252">
        <v>23151.304464512799</v>
      </c>
      <c r="N89" s="252">
        <v>23179.404171942264</v>
      </c>
      <c r="O89" s="252">
        <v>23232.552803220591</v>
      </c>
      <c r="P89" s="252">
        <v>23338.550828967702</v>
      </c>
      <c r="R89" s="157"/>
      <c r="S89" s="157"/>
      <c r="T89" s="157"/>
      <c r="U89" s="157"/>
      <c r="V89" s="157"/>
      <c r="W89" s="157"/>
      <c r="X89" s="157"/>
      <c r="Y89" s="157"/>
      <c r="Z89" s="157"/>
      <c r="AA89" s="157"/>
      <c r="AB89" s="157"/>
      <c r="AC89" s="157"/>
      <c r="AD89" s="157"/>
      <c r="AE89" s="157"/>
      <c r="AF89" s="157"/>
      <c r="AG89" s="157"/>
      <c r="AH89" s="157"/>
      <c r="AI89" s="157"/>
      <c r="AJ89" s="157"/>
      <c r="AK89" s="157"/>
      <c r="AL89" s="157">
        <f t="shared" ref="AL89:BE89" si="123">-AL27</f>
        <v>4318</v>
      </c>
      <c r="AM89" s="157">
        <f t="shared" si="123"/>
        <v>5487</v>
      </c>
      <c r="AN89" s="157">
        <f t="shared" si="123"/>
        <v>5973</v>
      </c>
      <c r="AO89" s="157">
        <f t="shared" si="123"/>
        <v>5450</v>
      </c>
      <c r="AP89" s="252">
        <f t="shared" si="123"/>
        <v>5771</v>
      </c>
      <c r="AQ89" s="252">
        <f t="shared" si="123"/>
        <v>5996</v>
      </c>
      <c r="AR89" s="252">
        <f t="shared" si="123"/>
        <v>5240</v>
      </c>
      <c r="AS89" s="252">
        <f t="shared" si="123"/>
        <v>4426</v>
      </c>
      <c r="AT89" s="252">
        <f t="shared" si="123"/>
        <v>3971</v>
      </c>
      <c r="AU89" s="252">
        <f t="shared" si="123"/>
        <v>4696</v>
      </c>
      <c r="AV89" s="252">
        <f t="shared" si="123"/>
        <v>5255</v>
      </c>
      <c r="AW89" s="252">
        <f t="shared" si="123"/>
        <v>6093</v>
      </c>
      <c r="AX89" s="252">
        <f t="shared" si="123"/>
        <v>4669</v>
      </c>
      <c r="AY89" s="252">
        <f t="shared" si="123"/>
        <v>5470</v>
      </c>
      <c r="AZ89" s="252">
        <f t="shared" si="123"/>
        <v>5813</v>
      </c>
      <c r="BA89" s="252">
        <f t="shared" si="123"/>
        <v>6456</v>
      </c>
      <c r="BB89" s="252">
        <f t="shared" si="123"/>
        <v>6015</v>
      </c>
      <c r="BC89" s="252">
        <f t="shared" si="123"/>
        <v>5208</v>
      </c>
      <c r="BD89" s="252">
        <f t="shared" si="123"/>
        <v>5251</v>
      </c>
      <c r="BE89" s="252">
        <f t="shared" si="123"/>
        <v>5076</v>
      </c>
      <c r="BF89" s="339">
        <f ca="1">+BF68+BF72+BF82+BF86</f>
        <v>5865.9978364347917</v>
      </c>
      <c r="BG89" s="339">
        <f t="shared" ref="BG89:BI89" ca="1" si="124">+BG68+BG72+BG82+BG86</f>
        <v>6128.0310658084436</v>
      </c>
      <c r="BH89" s="339">
        <f t="shared" ca="1" si="124"/>
        <v>6391.4774564816798</v>
      </c>
      <c r="BI89" s="339">
        <f t="shared" ca="1" si="124"/>
        <v>6683.2062466868711</v>
      </c>
      <c r="BK89" s="236"/>
      <c r="BL89"/>
      <c r="BM89"/>
      <c r="BN89"/>
      <c r="BO89"/>
      <c r="BP89"/>
      <c r="BQ89"/>
    </row>
    <row r="90" spans="2:69" s="248" customFormat="1">
      <c r="B90" s="245" t="s">
        <v>394</v>
      </c>
      <c r="C90" s="245"/>
      <c r="D90" s="248">
        <v>0.16487510873617497</v>
      </c>
      <c r="E90" s="248">
        <v>0.18288478932368551</v>
      </c>
      <c r="F90" s="248">
        <v>0.15381955118352289</v>
      </c>
      <c r="G90" s="248">
        <v>0.15207329487614524</v>
      </c>
      <c r="H90" s="248">
        <v>0.14966524988193461</v>
      </c>
      <c r="I90" s="248">
        <v>0.1753105890649749</v>
      </c>
      <c r="J90" s="210">
        <v>0.16</v>
      </c>
      <c r="K90" s="210">
        <f t="shared" ref="K90:P90" si="125">+J90</f>
        <v>0.16</v>
      </c>
      <c r="L90" s="210">
        <f t="shared" si="125"/>
        <v>0.16</v>
      </c>
      <c r="M90" s="210">
        <f t="shared" si="125"/>
        <v>0.16</v>
      </c>
      <c r="N90" s="210">
        <f t="shared" si="125"/>
        <v>0.16</v>
      </c>
      <c r="O90" s="210">
        <f t="shared" si="125"/>
        <v>0.16</v>
      </c>
      <c r="P90" s="210">
        <f t="shared" si="125"/>
        <v>0.16</v>
      </c>
      <c r="Q90" s="245"/>
      <c r="R90" s="158"/>
      <c r="S90" s="158"/>
      <c r="T90" s="158"/>
      <c r="U90" s="158"/>
      <c r="V90" s="158"/>
      <c r="W90" s="158"/>
      <c r="X90" s="158"/>
      <c r="Y90" s="158"/>
      <c r="Z90" s="158"/>
      <c r="AA90" s="158"/>
      <c r="AB90" s="158"/>
      <c r="AC90" s="158"/>
      <c r="AD90" s="158"/>
      <c r="AE90" s="158"/>
      <c r="AF90" s="158"/>
      <c r="AG90" s="158"/>
      <c r="AH90" s="158"/>
      <c r="AI90" s="158"/>
      <c r="AJ90" s="158"/>
      <c r="AK90" s="158"/>
      <c r="AL90" s="159">
        <v>0.13770889144023474</v>
      </c>
      <c r="AM90" s="159">
        <v>0.17106780982073266</v>
      </c>
      <c r="AN90" s="159">
        <v>0.18573916288326389</v>
      </c>
      <c r="AO90" s="159">
        <v>0.18246342361645854</v>
      </c>
      <c r="AP90" s="248">
        <v>0.19592598879646919</v>
      </c>
      <c r="AQ90" s="248">
        <v>0.20510364643907777</v>
      </c>
      <c r="AR90" s="248">
        <v>0.17788641070034286</v>
      </c>
      <c r="AS90" s="248">
        <v>0.15236849352795373</v>
      </c>
      <c r="AT90" s="248">
        <v>0.13905522288755823</v>
      </c>
      <c r="AU90" s="248">
        <v>0.16122498025886633</v>
      </c>
      <c r="AV90" s="248">
        <v>0.14938313718801524</v>
      </c>
      <c r="AW90" s="248">
        <v>0.1635353481131569</v>
      </c>
      <c r="AX90" s="248">
        <v>0.12736299408058049</v>
      </c>
      <c r="AY90" s="248">
        <v>0.14883138791391179</v>
      </c>
      <c r="AZ90" s="248">
        <v>0.15741016545262532</v>
      </c>
      <c r="BA90" s="248">
        <v>0.17444405414899078</v>
      </c>
      <c r="BB90" s="248">
        <v>0.16700447011133632</v>
      </c>
      <c r="BC90" s="248">
        <v>0.14416209931905</v>
      </c>
      <c r="BD90" s="248">
        <v>0.14599088078291814</v>
      </c>
      <c r="BE90" s="248">
        <v>0.14148340162220921</v>
      </c>
      <c r="BF90" s="248">
        <v>0.16512066507253159</v>
      </c>
      <c r="BG90" s="248">
        <v>0.17197142247821057</v>
      </c>
      <c r="BH90" s="248">
        <v>0.1787974592352809</v>
      </c>
      <c r="BI90" s="248">
        <v>0.18518453020761222</v>
      </c>
      <c r="BL90"/>
      <c r="BM90"/>
      <c r="BN90"/>
      <c r="BO90"/>
      <c r="BP90"/>
      <c r="BQ90"/>
    </row>
    <row r="91" spans="2:69" s="248" customFormat="1">
      <c r="B91" s="245" t="s">
        <v>273</v>
      </c>
      <c r="C91" s="245"/>
      <c r="D91" s="248">
        <f>+D89/'Income Statement'!D13</f>
        <v>0.16487510873617497</v>
      </c>
      <c r="E91" s="248">
        <f>+E89/'Income Statement'!E13</f>
        <v>0.16182321985397932</v>
      </c>
      <c r="F91" s="248">
        <f>+F89/'Income Statement'!F13</f>
        <v>0.13634103309922957</v>
      </c>
      <c r="G91" s="248">
        <f>+G89/'Income Statement'!G13</f>
        <v>0.13681267019159146</v>
      </c>
      <c r="H91" s="248">
        <f>+H89/'Income Statement'!H13</f>
        <v>0.13422944202907577</v>
      </c>
      <c r="I91" s="248">
        <f ca="1">+I89/'Income Statement'!I13</f>
        <v>0.15581430509883148</v>
      </c>
      <c r="J91" s="248">
        <f ca="1">+J89/'Income Statement'!J13</f>
        <v>0.14199889170973617</v>
      </c>
      <c r="K91" s="248">
        <f ca="1">+K89/'Income Statement'!K13</f>
        <v>0.14180222427054093</v>
      </c>
      <c r="L91" s="248">
        <f ca="1">+L89/'Income Statement'!L13</f>
        <v>0.14161277052639912</v>
      </c>
      <c r="M91" s="248">
        <f ca="1">+M89/'Income Statement'!M13</f>
        <v>0.14143617175891987</v>
      </c>
      <c r="N91" s="248">
        <f ca="1">+N89/'Income Statement'!N13</f>
        <v>0.14137800364199679</v>
      </c>
      <c r="O91" s="248">
        <f ca="1">+O89/'Income Statement'!O13</f>
        <v>0.14135387485045664</v>
      </c>
      <c r="P91" s="248">
        <f ca="1">+P89/'Income Statement'!P13</f>
        <v>0.14138064489957503</v>
      </c>
      <c r="Q91" s="245"/>
      <c r="R91" s="158"/>
      <c r="S91" s="158"/>
      <c r="T91" s="158"/>
      <c r="U91" s="158"/>
      <c r="V91" s="158"/>
      <c r="W91" s="158"/>
      <c r="X91" s="158"/>
      <c r="Y91" s="158"/>
      <c r="Z91" s="158"/>
      <c r="AA91" s="158"/>
      <c r="AB91" s="158"/>
      <c r="AC91" s="158"/>
      <c r="AD91" s="158"/>
      <c r="AE91" s="158"/>
      <c r="AF91" s="158"/>
      <c r="AG91" s="158"/>
      <c r="AH91" s="158"/>
      <c r="AI91" s="158"/>
      <c r="AJ91" s="158"/>
      <c r="AK91" s="158"/>
      <c r="AL91" s="159">
        <f>+AL89/'Income Statement'!AL13</f>
        <v>0.13770889144023474</v>
      </c>
      <c r="AM91" s="159">
        <f>+AM89/'Income Statement'!AM13</f>
        <v>0.17106780982073266</v>
      </c>
      <c r="AN91" s="159">
        <f>+AN89/'Income Statement'!AN13</f>
        <v>0.18573916288326389</v>
      </c>
      <c r="AO91" s="159">
        <f>+AO89/'Income Statement'!AO13</f>
        <v>0.16433977625667159</v>
      </c>
      <c r="AP91" s="248">
        <f>+AP89/'Income Statement'!AP13</f>
        <v>0.17770045572114793</v>
      </c>
      <c r="AQ91" s="248">
        <f>+AQ89/'Income Statement'!AQ13</f>
        <v>0.18406753645433616</v>
      </c>
      <c r="AR91" s="248">
        <f>+AR89/'Income Statement'!AR13</f>
        <v>0.15899505416148316</v>
      </c>
      <c r="AS91" s="248">
        <f>+AS89/'Income Statement'!AS13</f>
        <v>0.12851708818490665</v>
      </c>
      <c r="AT91" s="248">
        <f>+AT89/'Income Statement'!AT13</f>
        <v>0.121899557956778</v>
      </c>
      <c r="AU91" s="248">
        <f>+AU89/'Income Statement'!AU13</f>
        <v>0.14223837649553234</v>
      </c>
      <c r="AV91" s="248">
        <f>+AV89/'Income Statement'!AV13</f>
        <v>0.13442991993041878</v>
      </c>
      <c r="AW91" s="248">
        <f>+AW89/'Income Statement'!AW13</f>
        <v>0.14466155416795271</v>
      </c>
      <c r="AX91" s="248">
        <f>+AX89/'Income Statement'!AX13</f>
        <v>0.11518440853583323</v>
      </c>
      <c r="AY91" s="248">
        <f>+AY89/'Income Statement'!AY13</f>
        <v>0.13499506416584403</v>
      </c>
      <c r="AZ91" s="248">
        <f>+AZ89/'Income Statement'!AZ13</f>
        <v>0.14216189777451699</v>
      </c>
      <c r="BA91" s="248">
        <f>+BA89/'Income Statement'!BA13</f>
        <v>0.15429841542984155</v>
      </c>
      <c r="BB91" s="248">
        <f>+BB89/'Income Statement'!BB13</f>
        <v>0.15280071129175662</v>
      </c>
      <c r="BC91" s="248">
        <f>+BC89/'Income Statement'!BC13</f>
        <v>0.13073273589878756</v>
      </c>
      <c r="BD91" s="248">
        <f>+BD89/'Income Statement'!BD13</f>
        <v>0.13237370172431179</v>
      </c>
      <c r="BE91" s="248">
        <f>+BE89/'Income Statement'!BE13</f>
        <v>0.1217967175352721</v>
      </c>
      <c r="BF91" s="248">
        <f ca="1">+BF89/'Income Statement'!BF13</f>
        <v>0.14847811141840053</v>
      </c>
      <c r="BG91" s="248">
        <f ca="1">+BG89/'Income Statement'!BG13</f>
        <v>0.15422188673764128</v>
      </c>
      <c r="BH91" s="248">
        <f ca="1">+BH89/'Income Statement'!BH13</f>
        <v>0.16040105570991287</v>
      </c>
      <c r="BI91" s="248">
        <f ca="1">+BI89/'Income Statement'!BI13</f>
        <v>0.15988958194779881</v>
      </c>
      <c r="BL91"/>
      <c r="BM91"/>
      <c r="BN91"/>
      <c r="BO91"/>
      <c r="BP91"/>
      <c r="BQ91"/>
    </row>
    <row r="92" spans="2:69" s="248" customFormat="1">
      <c r="B92" s="245" t="s">
        <v>252</v>
      </c>
      <c r="C92" s="245"/>
      <c r="E92" s="248">
        <f t="shared" ref="E92:J92" si="126">E89/D89-1</f>
        <v>9.6570567175429112E-3</v>
      </c>
      <c r="F92" s="248">
        <f t="shared" si="126"/>
        <v>-6.6159660336863713E-2</v>
      </c>
      <c r="G92" s="248">
        <f t="shared" si="126"/>
        <v>0.11956032975268549</v>
      </c>
      <c r="H92" s="248">
        <f t="shared" si="126"/>
        <v>-3.8289896465548034E-2</v>
      </c>
      <c r="I92" s="248">
        <f t="shared" ca="1" si="126"/>
        <v>0.16328132739729861</v>
      </c>
      <c r="J92" s="248">
        <f t="shared" ca="1" si="126"/>
        <v>-8.272755619548966E-2</v>
      </c>
      <c r="K92" s="248">
        <f t="shared" ref="K92" si="127">K89/J89-1</f>
        <v>3.5442070316145102E-3</v>
      </c>
      <c r="L92" s="248">
        <f t="shared" ref="L92" si="128">L89/K89-1</f>
        <v>2.0635259625023661E-3</v>
      </c>
      <c r="M92" s="248">
        <f t="shared" ref="M92" si="129">M89/L89-1</f>
        <v>1.1826737766422735E-3</v>
      </c>
      <c r="N92" s="248">
        <f t="shared" ref="N92" si="130">N89/M89-1</f>
        <v>1.2137418637701014E-3</v>
      </c>
      <c r="O92" s="248">
        <f t="shared" ref="O92" si="131">O89/N89-1</f>
        <v>2.2929248260254997E-3</v>
      </c>
      <c r="P92" s="248">
        <f t="shared" ref="P92" si="132">P89/O89-1</f>
        <v>4.5624786326716738E-3</v>
      </c>
      <c r="Q92" s="245"/>
      <c r="R92" s="158"/>
      <c r="S92" s="158"/>
      <c r="T92" s="158"/>
      <c r="U92" s="158"/>
      <c r="V92" s="158"/>
      <c r="W92" s="158"/>
      <c r="X92" s="158"/>
      <c r="Y92" s="158"/>
      <c r="Z92" s="158"/>
      <c r="AA92" s="158"/>
      <c r="AB92" s="158"/>
      <c r="AC92" s="158"/>
      <c r="AD92" s="158"/>
      <c r="AE92" s="158"/>
      <c r="AF92" s="158"/>
      <c r="AG92" s="158"/>
      <c r="AH92" s="158"/>
      <c r="AI92" s="158"/>
      <c r="AJ92" s="158"/>
      <c r="AK92" s="158"/>
      <c r="AL92" s="159"/>
      <c r="AM92" s="159"/>
      <c r="AN92" s="159"/>
      <c r="AO92" s="159"/>
      <c r="AP92" s="248">
        <f t="shared" ref="AP92:BE92" si="133">AP89/AL89-1</f>
        <v>0.33649837887911072</v>
      </c>
      <c r="AQ92" s="248">
        <f t="shared" si="133"/>
        <v>9.2764716602879549E-2</v>
      </c>
      <c r="AR92" s="248">
        <f t="shared" si="133"/>
        <v>-0.12271890172442657</v>
      </c>
      <c r="AS92" s="248">
        <f t="shared" si="133"/>
        <v>-0.18788990825688079</v>
      </c>
      <c r="AT92" s="248">
        <f t="shared" si="133"/>
        <v>-0.31190434933287126</v>
      </c>
      <c r="AU92" s="248">
        <f t="shared" si="133"/>
        <v>-0.21681120747164773</v>
      </c>
      <c r="AV92" s="248">
        <f t="shared" si="133"/>
        <v>2.8625954198473469E-3</v>
      </c>
      <c r="AW92" s="248">
        <f t="shared" si="133"/>
        <v>0.37663804789877986</v>
      </c>
      <c r="AX92" s="248">
        <f t="shared" si="133"/>
        <v>0.17577436414001513</v>
      </c>
      <c r="AY92" s="248">
        <f t="shared" si="133"/>
        <v>0.16482112436115837</v>
      </c>
      <c r="AZ92" s="248">
        <f t="shared" si="133"/>
        <v>0.10618458610846804</v>
      </c>
      <c r="BA92" s="248">
        <f t="shared" si="133"/>
        <v>5.9576563269325478E-2</v>
      </c>
      <c r="BB92" s="248">
        <f t="shared" si="133"/>
        <v>0.28828442921396435</v>
      </c>
      <c r="BC92" s="248">
        <f t="shared" si="133"/>
        <v>-4.789762340036563E-2</v>
      </c>
      <c r="BD92" s="248">
        <f t="shared" si="133"/>
        <v>-9.6679855496301426E-2</v>
      </c>
      <c r="BE92" s="248">
        <f t="shared" si="133"/>
        <v>-0.21375464684014867</v>
      </c>
      <c r="BF92" s="248">
        <f t="shared" ref="BF92" ca="1" si="134">BF89/BB89-1</f>
        <v>-2.4771764516244077E-2</v>
      </c>
      <c r="BG92" s="248">
        <f t="shared" ref="BG92" ca="1" si="135">BG89/BC89-1</f>
        <v>0.17665727070054604</v>
      </c>
      <c r="BH92" s="248">
        <f t="shared" ref="BH92" ca="1" si="136">BH89/BD89-1</f>
        <v>0.21719243124770138</v>
      </c>
      <c r="BI92" s="248">
        <f t="shared" ref="BI92" ca="1" si="137">BI89/BE89-1</f>
        <v>0.31662849619520705</v>
      </c>
      <c r="BL92"/>
      <c r="BM92"/>
      <c r="BN92"/>
      <c r="BO92"/>
      <c r="BP92"/>
      <c r="BQ92"/>
    </row>
    <row r="93" spans="2:69">
      <c r="R93" s="161"/>
      <c r="S93" s="161"/>
      <c r="T93" s="161"/>
      <c r="U93" s="161"/>
      <c r="V93" s="161"/>
      <c r="W93" s="161"/>
      <c r="X93" s="161"/>
      <c r="Y93" s="161"/>
      <c r="Z93" s="161"/>
      <c r="AA93" s="161"/>
      <c r="AB93" s="161"/>
      <c r="AC93" s="161"/>
      <c r="AD93" s="161"/>
      <c r="AE93" s="161"/>
      <c r="AF93" s="161"/>
      <c r="AG93" s="161"/>
      <c r="AH93" s="161"/>
      <c r="AI93" s="161"/>
      <c r="AJ93" s="161"/>
      <c r="AK93" s="161"/>
      <c r="AL93" s="161"/>
      <c r="AM93" s="161"/>
      <c r="AN93" s="161"/>
      <c r="AO93" s="161"/>
    </row>
    <row r="94" spans="2:69" customFormat="1" ht="15"/>
  </sheetData>
  <pageMargins left="0" right="0" top="0" bottom="0" header="0" footer="0"/>
  <pageSetup scale="47"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pageSetUpPr fitToPage="1"/>
  </sheetPr>
  <dimension ref="B1:BK195"/>
  <sheetViews>
    <sheetView showGridLines="0" zoomScale="70" zoomScaleNormal="70" workbookViewId="0">
      <pane xSplit="2" ySplit="6" topLeftCell="C46" activePane="bottomRight" state="frozen"/>
      <selection activeCell="C7" sqref="C7"/>
      <selection pane="topRight" activeCell="C7" sqref="C7"/>
      <selection pane="bottomLeft" activeCell="C7" sqref="C7"/>
      <selection pane="bottomRight" activeCell="BF86" sqref="BF86"/>
    </sheetView>
  </sheetViews>
  <sheetFormatPr defaultRowHeight="15" outlineLevelRow="1" outlineLevelCol="1"/>
  <cols>
    <col min="1" max="1" width="1.6640625" style="235" customWidth="1"/>
    <col min="2" max="2" width="25.77734375" style="235" customWidth="1"/>
    <col min="3" max="3" width="1.6640625" style="266" customWidth="1"/>
    <col min="4" max="4" width="8.88671875" style="235" hidden="1" customWidth="1" outlineLevel="1"/>
    <col min="5" max="5" width="8.88671875" style="235" hidden="1" customWidth="1" outlineLevel="1" collapsed="1"/>
    <col min="6" max="6" width="0" style="235" hidden="1" customWidth="1" outlineLevel="1" collapsed="1"/>
    <col min="7" max="7" width="8.88671875" style="235" collapsed="1"/>
    <col min="8" max="8" width="8.88671875" style="235"/>
    <col min="9" max="10" width="8.88671875" style="235" customWidth="1"/>
    <col min="11" max="16" width="8.88671875" style="235" hidden="1" customWidth="1" outlineLevel="1"/>
    <col min="17" max="17" width="1.6640625" style="266" customWidth="1" collapsed="1"/>
    <col min="18" max="37" width="8.88671875" style="266" hidden="1" customWidth="1" outlineLevel="1"/>
    <col min="38" max="41" width="8.88671875" style="235" hidden="1" customWidth="1" outlineLevel="1"/>
    <col min="42" max="42" width="8.88671875" style="235" hidden="1" customWidth="1" outlineLevel="1" collapsed="1"/>
    <col min="43" max="45" width="8.88671875" style="235" hidden="1" customWidth="1" outlineLevel="1"/>
    <col min="46" max="46" width="8.88671875" style="235" hidden="1" customWidth="1" outlineLevel="1" collapsed="1"/>
    <col min="47" max="47" width="8.88671875" style="235" hidden="1" customWidth="1" outlineLevel="1"/>
    <col min="48" max="48" width="10" style="235" hidden="1" customWidth="1" outlineLevel="1"/>
    <col min="49" max="49" width="8.88671875" style="235" hidden="1" customWidth="1" outlineLevel="1"/>
    <col min="50" max="50" width="8.88671875" style="235" hidden="1" customWidth="1" outlineLevel="1" collapsed="1"/>
    <col min="51" max="53" width="8.88671875" style="235" hidden="1" customWidth="1" outlineLevel="1"/>
    <col min="54" max="54" width="8.88671875" style="235" collapsed="1"/>
    <col min="55" max="61" width="8.88671875" style="235"/>
    <col min="62" max="62" width="1.6640625" style="235" customWidth="1"/>
    <col min="63" max="16384" width="8.88671875" style="235"/>
  </cols>
  <sheetData>
    <row r="1" spans="2:63" ht="15.75">
      <c r="R1">
        <v>39538</v>
      </c>
      <c r="S1">
        <f>+EOMONTH(R1,3)</f>
        <v>39629</v>
      </c>
      <c r="T1">
        <f t="shared" ref="T1:AW1" si="0">+EOMONTH(S1,3)</f>
        <v>39721</v>
      </c>
      <c r="U1">
        <f t="shared" si="0"/>
        <v>39813</v>
      </c>
      <c r="V1">
        <f t="shared" si="0"/>
        <v>39903</v>
      </c>
      <c r="W1">
        <f t="shared" si="0"/>
        <v>39994</v>
      </c>
      <c r="X1">
        <f t="shared" si="0"/>
        <v>40086</v>
      </c>
      <c r="Y1">
        <f t="shared" si="0"/>
        <v>40178</v>
      </c>
      <c r="Z1">
        <f t="shared" si="0"/>
        <v>40268</v>
      </c>
      <c r="AA1">
        <f t="shared" si="0"/>
        <v>40359</v>
      </c>
      <c r="AB1">
        <f t="shared" si="0"/>
        <v>40451</v>
      </c>
      <c r="AC1">
        <f t="shared" si="0"/>
        <v>40543</v>
      </c>
      <c r="AD1">
        <f t="shared" si="0"/>
        <v>40633</v>
      </c>
      <c r="AE1">
        <f t="shared" si="0"/>
        <v>40724</v>
      </c>
      <c r="AF1">
        <f t="shared" si="0"/>
        <v>40816</v>
      </c>
      <c r="AG1">
        <f t="shared" si="0"/>
        <v>40908</v>
      </c>
      <c r="AH1">
        <f t="shared" si="0"/>
        <v>40999</v>
      </c>
      <c r="AI1">
        <f t="shared" si="0"/>
        <v>41090</v>
      </c>
      <c r="AJ1">
        <f t="shared" si="0"/>
        <v>41182</v>
      </c>
      <c r="AK1">
        <f t="shared" si="0"/>
        <v>41274</v>
      </c>
      <c r="AL1">
        <f t="shared" si="0"/>
        <v>41364</v>
      </c>
      <c r="AM1">
        <f t="shared" si="0"/>
        <v>41455</v>
      </c>
      <c r="AN1">
        <f t="shared" si="0"/>
        <v>41547</v>
      </c>
      <c r="AO1">
        <f t="shared" si="0"/>
        <v>41639</v>
      </c>
      <c r="AP1">
        <f t="shared" si="0"/>
        <v>41729</v>
      </c>
      <c r="AQ1">
        <f t="shared" si="0"/>
        <v>41820</v>
      </c>
      <c r="AR1">
        <f t="shared" si="0"/>
        <v>41912</v>
      </c>
      <c r="AS1">
        <f t="shared" si="0"/>
        <v>42004</v>
      </c>
      <c r="AT1">
        <f t="shared" si="0"/>
        <v>42094</v>
      </c>
      <c r="AU1">
        <f t="shared" si="0"/>
        <v>42185</v>
      </c>
      <c r="AV1">
        <f t="shared" si="0"/>
        <v>42277</v>
      </c>
      <c r="AW1">
        <f t="shared" si="0"/>
        <v>42369</v>
      </c>
      <c r="AX1"/>
      <c r="AY1"/>
      <c r="AZ1"/>
      <c r="BA1"/>
      <c r="BB1" s="441"/>
      <c r="BC1" s="441"/>
      <c r="BD1" s="441"/>
      <c r="BE1" s="441"/>
      <c r="BF1" s="503"/>
      <c r="BG1" s="503"/>
      <c r="BH1" s="503"/>
      <c r="BI1" s="503"/>
    </row>
    <row r="2" spans="2:63">
      <c r="B2" s="240" t="s">
        <v>197</v>
      </c>
      <c r="AL2" s="236"/>
      <c r="AM2" s="236"/>
      <c r="AN2" s="236"/>
      <c r="AO2" s="236"/>
      <c r="AP2" s="236"/>
      <c r="AQ2" s="236"/>
      <c r="AR2" s="236"/>
      <c r="AS2" s="236"/>
      <c r="AT2" s="293"/>
      <c r="AU2" s="236"/>
      <c r="AV2" s="294"/>
      <c r="AW2" s="236"/>
      <c r="AX2" s="236"/>
      <c r="AY2" s="236"/>
      <c r="AZ2" s="236"/>
      <c r="BA2" s="236"/>
      <c r="BB2" s="236"/>
      <c r="BC2" s="236"/>
      <c r="BD2" s="236"/>
      <c r="BE2" s="236"/>
      <c r="BF2" s="236"/>
      <c r="BG2" s="236"/>
      <c r="BH2" s="236"/>
      <c r="BI2" s="236"/>
    </row>
    <row r="3" spans="2:63">
      <c r="B3" s="240" t="s">
        <v>198</v>
      </c>
      <c r="AL3" s="236"/>
      <c r="AM3" s="236"/>
      <c r="AN3" s="236"/>
      <c r="AO3" s="236"/>
      <c r="AP3" s="236"/>
      <c r="AQ3" s="236"/>
      <c r="AR3" s="236"/>
      <c r="AS3" s="236"/>
      <c r="AT3" s="236"/>
      <c r="AU3" s="236"/>
      <c r="AV3" s="236"/>
      <c r="AW3" s="236"/>
      <c r="AX3" s="236"/>
      <c r="AY3" s="236"/>
      <c r="AZ3" s="236"/>
      <c r="BA3" s="236"/>
      <c r="BB3" s="236"/>
      <c r="BC3" s="236"/>
      <c r="BD3" s="236"/>
      <c r="BE3" s="236"/>
      <c r="BF3" s="236"/>
      <c r="BG3" s="236"/>
      <c r="BH3" s="236"/>
      <c r="BI3" s="236"/>
    </row>
    <row r="4" spans="2:63">
      <c r="B4" s="235" t="s">
        <v>165</v>
      </c>
      <c r="AL4" s="236"/>
      <c r="AM4" s="236"/>
      <c r="AN4" s="236"/>
      <c r="AO4" s="236"/>
      <c r="AP4" s="236"/>
      <c r="AQ4" s="236"/>
      <c r="AR4" s="236"/>
      <c r="AS4" s="293"/>
      <c r="AT4" s="236"/>
      <c r="AU4" s="236"/>
      <c r="AV4" s="236"/>
      <c r="AW4" s="236"/>
      <c r="AX4" s="236"/>
      <c r="AY4" s="236"/>
      <c r="AZ4" s="236"/>
      <c r="BA4" s="236"/>
      <c r="BB4" s="236"/>
      <c r="BC4" s="236"/>
      <c r="BD4" s="236"/>
      <c r="BE4" s="236"/>
      <c r="BF4" s="236"/>
      <c r="BG4" s="236"/>
      <c r="BH4" s="236"/>
      <c r="BI4" s="236"/>
    </row>
    <row r="5" spans="2:63" ht="16.5" thickBot="1">
      <c r="AM5" s="236"/>
      <c r="AN5" s="236"/>
      <c r="AO5" s="236"/>
      <c r="AP5" s="236"/>
      <c r="AQ5" s="236"/>
      <c r="AR5" s="236"/>
      <c r="AS5" s="236"/>
      <c r="AT5" s="236"/>
      <c r="AU5" s="236"/>
      <c r="AV5" s="236"/>
      <c r="AW5" s="236"/>
      <c r="AX5"/>
      <c r="AY5"/>
      <c r="AZ5"/>
      <c r="BA5"/>
      <c r="BB5" s="445"/>
      <c r="BC5" s="445"/>
      <c r="BD5" s="445"/>
      <c r="BE5" s="445"/>
      <c r="BF5" s="503"/>
      <c r="BG5" s="503"/>
      <c r="BH5" s="503"/>
      <c r="BI5" s="503"/>
    </row>
    <row r="6" spans="2:63" s="251" customFormat="1" ht="15.75" thickBot="1">
      <c r="B6" s="194" t="s">
        <v>352</v>
      </c>
      <c r="C6" s="199"/>
      <c r="D6" s="195">
        <f>'Income Statement'!D6</f>
        <v>2013</v>
      </c>
      <c r="E6" s="196">
        <f>'Income Statement'!E6</f>
        <v>2014</v>
      </c>
      <c r="F6" s="196">
        <f>'Income Statement'!F6</f>
        <v>2015</v>
      </c>
      <c r="G6" s="196">
        <f>'Income Statement'!G6</f>
        <v>2016</v>
      </c>
      <c r="H6" s="196">
        <f>'Income Statement'!H6</f>
        <v>2017</v>
      </c>
      <c r="I6" s="196" t="str">
        <f>'Income Statement'!I6</f>
        <v>2018E</v>
      </c>
      <c r="J6" s="196" t="str">
        <f>'Income Statement'!J6</f>
        <v>2019E</v>
      </c>
      <c r="K6" s="196" t="str">
        <f>'Income Statement'!K6</f>
        <v>2020E</v>
      </c>
      <c r="L6" s="196" t="str">
        <f>'Income Statement'!L6</f>
        <v>2021E</v>
      </c>
      <c r="M6" s="196" t="str">
        <f>'Income Statement'!M6</f>
        <v>2022E</v>
      </c>
      <c r="N6" s="196" t="str">
        <f>'Income Statement'!N6</f>
        <v>2023E</v>
      </c>
      <c r="O6" s="196" t="str">
        <f>'Income Statement'!O6</f>
        <v>2024E</v>
      </c>
      <c r="P6" s="197" t="str">
        <f>'Income Statement'!P6</f>
        <v>2025E</v>
      </c>
      <c r="Q6" s="241"/>
      <c r="R6" s="196" t="s">
        <v>228</v>
      </c>
      <c r="S6" s="196" t="s">
        <v>229</v>
      </c>
      <c r="T6" s="196" t="s">
        <v>230</v>
      </c>
      <c r="U6" s="196" t="s">
        <v>231</v>
      </c>
      <c r="V6" s="196" t="s">
        <v>232</v>
      </c>
      <c r="W6" s="196" t="s">
        <v>233</v>
      </c>
      <c r="X6" s="196" t="s">
        <v>234</v>
      </c>
      <c r="Y6" s="196" t="s">
        <v>235</v>
      </c>
      <c r="Z6" s="196" t="s">
        <v>236</v>
      </c>
      <c r="AA6" s="196" t="s">
        <v>237</v>
      </c>
      <c r="AB6" s="196" t="s">
        <v>238</v>
      </c>
      <c r="AC6" s="196" t="s">
        <v>239</v>
      </c>
      <c r="AD6" s="196" t="s">
        <v>240</v>
      </c>
      <c r="AE6" s="196" t="s">
        <v>241</v>
      </c>
      <c r="AF6" s="196" t="s">
        <v>242</v>
      </c>
      <c r="AG6" s="196" t="s">
        <v>243</v>
      </c>
      <c r="AH6" s="196" t="s">
        <v>244</v>
      </c>
      <c r="AI6" s="196" t="s">
        <v>245</v>
      </c>
      <c r="AJ6" s="196" t="s">
        <v>246</v>
      </c>
      <c r="AK6" s="196" t="s">
        <v>247</v>
      </c>
      <c r="AL6" s="196" t="s">
        <v>248</v>
      </c>
      <c r="AM6" s="196" t="s">
        <v>249</v>
      </c>
      <c r="AN6" s="196" t="s">
        <v>250</v>
      </c>
      <c r="AO6" s="196" t="s">
        <v>251</v>
      </c>
      <c r="AP6" s="196" t="str">
        <f>'Income Statement'!AP6</f>
        <v>1Q14</v>
      </c>
      <c r="AQ6" s="196" t="str">
        <f>'Income Statement'!AQ6</f>
        <v>2Q14</v>
      </c>
      <c r="AR6" s="196" t="str">
        <f>'Income Statement'!AR6</f>
        <v>3Q14</v>
      </c>
      <c r="AS6" s="196" t="str">
        <f>'Income Statement'!AS6</f>
        <v>4Q14</v>
      </c>
      <c r="AT6" s="196" t="str">
        <f>'Income Statement'!AT6</f>
        <v>1Q15</v>
      </c>
      <c r="AU6" s="196" t="str">
        <f>'Income Statement'!AU6</f>
        <v>2Q15</v>
      </c>
      <c r="AV6" s="196" t="str">
        <f>'Income Statement'!AV6</f>
        <v>3Q15</v>
      </c>
      <c r="AW6" s="196" t="str">
        <f>'Income Statement'!AW6</f>
        <v>4Q15</v>
      </c>
      <c r="AX6" s="196" t="str">
        <f>'Income Statement'!AX6</f>
        <v>1Q16</v>
      </c>
      <c r="AY6" s="196" t="str">
        <f>'Income Statement'!AY6</f>
        <v>2Q16</v>
      </c>
      <c r="AZ6" s="196" t="str">
        <f>'Income Statement'!AZ6</f>
        <v>3Q16</v>
      </c>
      <c r="BA6" s="196" t="str">
        <f>'Income Statement'!BA6</f>
        <v>4Q16</v>
      </c>
      <c r="BB6" s="196" t="str">
        <f>'Income Statement'!BB6</f>
        <v>1Q17</v>
      </c>
      <c r="BC6" s="196" t="str">
        <f>'Income Statement'!BC6</f>
        <v>2Q17</v>
      </c>
      <c r="BD6" s="196" t="str">
        <f>'Income Statement'!BD6</f>
        <v>3Q17</v>
      </c>
      <c r="BE6" s="196" t="str">
        <f>'Income Statement'!BE6</f>
        <v>4Q17</v>
      </c>
      <c r="BF6" s="196" t="str">
        <f>'Income Statement'!BF6</f>
        <v>1Q18E</v>
      </c>
      <c r="BG6" s="196" t="str">
        <f>'Income Statement'!BG6</f>
        <v>2Q18E</v>
      </c>
      <c r="BH6" s="196" t="str">
        <f>'Income Statement'!BH6</f>
        <v>3Q18E</v>
      </c>
      <c r="BI6" s="197" t="str">
        <f>'Income Statement'!BI6</f>
        <v>4Q18E</v>
      </c>
    </row>
    <row r="8" spans="2:63" s="236" customFormat="1" ht="15.75">
      <c r="B8" s="236" t="s">
        <v>283</v>
      </c>
      <c r="C8" s="266"/>
      <c r="D8" s="295">
        <f>SUM(AL8:AO8)</f>
        <v>61552</v>
      </c>
      <c r="E8" s="295">
        <f>SUM(AP8:AS8)</f>
        <v>61032</v>
      </c>
      <c r="F8" s="295">
        <f>SUM(AT8:AW8)</f>
        <v>59837</v>
      </c>
      <c r="G8" s="295">
        <f>SUM(AX8:BA8)</f>
        <v>59386</v>
      </c>
      <c r="H8" s="295">
        <f>SUM(BB8:BE8)</f>
        <v>57955</v>
      </c>
      <c r="I8" s="295">
        <f ca="1">SUM(BF8:BI8)</f>
        <v>57016.696655321575</v>
      </c>
      <c r="J8" s="523">
        <f ca="1">+J59+J90+J103+J191</f>
        <v>57140.67531033876</v>
      </c>
      <c r="K8" s="523">
        <f t="shared" ref="K8:P8" ca="1" si="1">+K59+K90+K103+K191</f>
        <v>57110.995755259006</v>
      </c>
      <c r="L8" s="523">
        <f t="shared" ca="1" si="1"/>
        <v>56873.587052753821</v>
      </c>
      <c r="M8" s="523">
        <f t="shared" ca="1" si="1"/>
        <v>56453.523352758471</v>
      </c>
      <c r="N8" s="523">
        <f t="shared" ca="1" si="1"/>
        <v>55873.823962380047</v>
      </c>
      <c r="O8" s="523">
        <f t="shared" ca="1" si="1"/>
        <v>55155.546537204151</v>
      </c>
      <c r="P8" s="523">
        <f t="shared" ca="1" si="1"/>
        <v>54317.885824256846</v>
      </c>
      <c r="Q8" s="266"/>
      <c r="R8" s="266"/>
      <c r="S8" s="266"/>
      <c r="T8" s="266"/>
      <c r="U8" s="266"/>
      <c r="V8" s="266"/>
      <c r="W8" s="266"/>
      <c r="X8" s="266"/>
      <c r="Y8" s="266"/>
      <c r="Z8" s="266"/>
      <c r="AA8" s="266"/>
      <c r="AB8" s="266"/>
      <c r="AC8" s="266"/>
      <c r="AD8" s="261">
        <v>13961</v>
      </c>
      <c r="AE8" s="261">
        <f>3620+10537</f>
        <v>14157</v>
      </c>
      <c r="AF8" s="261">
        <f>3796+10465</f>
        <v>14261</v>
      </c>
      <c r="AG8" s="261">
        <f>4010+10337</f>
        <v>14347</v>
      </c>
      <c r="AH8" s="261">
        <f>4235+10331</f>
        <v>14566</v>
      </c>
      <c r="AI8" s="261">
        <f>4471+10294</f>
        <v>14765</v>
      </c>
      <c r="AJ8" s="261">
        <f>4686+10220</f>
        <v>14906</v>
      </c>
      <c r="AK8" s="261">
        <f>4905+10044</f>
        <v>14949</v>
      </c>
      <c r="AL8" s="261">
        <v>15063</v>
      </c>
      <c r="AM8" s="261">
        <v>15369</v>
      </c>
      <c r="AN8" s="261">
        <v>15460</v>
      </c>
      <c r="AO8" s="261">
        <v>15660</v>
      </c>
      <c r="AP8" s="261">
        <v>15387</v>
      </c>
      <c r="AQ8" s="261">
        <v>15148</v>
      </c>
      <c r="AR8" s="261">
        <v>15423</v>
      </c>
      <c r="AS8" s="261">
        <v>15074</v>
      </c>
      <c r="AT8" s="261">
        <v>14812</v>
      </c>
      <c r="AU8" s="261">
        <v>15115</v>
      </c>
      <c r="AV8" s="261">
        <v>15095</v>
      </c>
      <c r="AW8" s="261">
        <v>14815</v>
      </c>
      <c r="AX8" s="261">
        <v>14798</v>
      </c>
      <c r="AY8" s="261">
        <v>14912</v>
      </c>
      <c r="AZ8" s="261">
        <v>14963</v>
      </c>
      <c r="BA8" s="261">
        <v>14713</v>
      </c>
      <c r="BB8" s="261">
        <v>14538</v>
      </c>
      <c r="BC8" s="261">
        <v>14534</v>
      </c>
      <c r="BD8" s="261">
        <v>14541</v>
      </c>
      <c r="BE8" s="261">
        <v>14342</v>
      </c>
      <c r="BF8" s="523">
        <f ca="1">+BF59+BF90+BF103+BF191</f>
        <v>14226.855149443001</v>
      </c>
      <c r="BG8" s="523">
        <f t="shared" ref="BG8:BI8" ca="1" si="2">+BG59+BG90+BG103+BG191</f>
        <v>14224.498836645129</v>
      </c>
      <c r="BH8" s="523">
        <f t="shared" ca="1" si="2"/>
        <v>14253.915436283152</v>
      </c>
      <c r="BI8" s="523">
        <f t="shared" ca="1" si="2"/>
        <v>14311.427232950295</v>
      </c>
      <c r="BK8" s="152"/>
    </row>
    <row r="9" spans="2:63" s="236" customFormat="1" ht="15.75">
      <c r="B9" s="236" t="s">
        <v>284</v>
      </c>
      <c r="C9" s="296"/>
      <c r="D9" s="295">
        <f>SUM(AL9:AO9)</f>
        <v>8347</v>
      </c>
      <c r="E9" s="295">
        <f>SUM(AP9:AS9)</f>
        <v>12960</v>
      </c>
      <c r="F9" s="295">
        <f>SUM(AT9:AW9)</f>
        <v>13868</v>
      </c>
      <c r="G9" s="295">
        <f>SUM(AX9:BA9)</f>
        <v>13435</v>
      </c>
      <c r="H9" s="295">
        <f>SUM(BB9:BE9)</f>
        <v>13394</v>
      </c>
      <c r="I9" s="295">
        <f ca="1">SUM(BF9:BI9)</f>
        <v>14190.391696941067</v>
      </c>
      <c r="J9" s="523">
        <f t="shared" ref="J9:P9" ca="1" si="3">+J174+J193</f>
        <v>14217.00627688524</v>
      </c>
      <c r="K9" s="523">
        <f t="shared" ca="1" si="3"/>
        <v>14206.966498620643</v>
      </c>
      <c r="L9" s="523">
        <f t="shared" ca="1" si="3"/>
        <v>14163.322615768913</v>
      </c>
      <c r="M9" s="523">
        <f t="shared" ca="1" si="3"/>
        <v>14089.642762394204</v>
      </c>
      <c r="N9" s="523">
        <f t="shared" ca="1" si="3"/>
        <v>13880.122437325183</v>
      </c>
      <c r="O9" s="523">
        <f t="shared" ca="1" si="3"/>
        <v>13651.92696037301</v>
      </c>
      <c r="P9" s="523">
        <f t="shared" ca="1" si="3"/>
        <v>13408.053722457351</v>
      </c>
      <c r="Q9" s="296"/>
      <c r="R9" s="296"/>
      <c r="S9" s="296"/>
      <c r="T9" s="296"/>
      <c r="U9" s="296"/>
      <c r="V9" s="296"/>
      <c r="W9" s="296"/>
      <c r="X9" s="296"/>
      <c r="Y9" s="296"/>
      <c r="Z9" s="296"/>
      <c r="AA9" s="296"/>
      <c r="AB9" s="296"/>
      <c r="AC9" s="296"/>
      <c r="AD9" s="261">
        <v>1349</v>
      </c>
      <c r="AE9" s="261">
        <v>1446</v>
      </c>
      <c r="AF9" s="261">
        <v>1345</v>
      </c>
      <c r="AG9" s="261">
        <v>2349</v>
      </c>
      <c r="AH9" s="261">
        <v>1570</v>
      </c>
      <c r="AI9" s="261">
        <v>1588</v>
      </c>
      <c r="AJ9" s="261">
        <v>1726</v>
      </c>
      <c r="AK9" s="261">
        <v>2693</v>
      </c>
      <c r="AL9" s="261">
        <v>1628</v>
      </c>
      <c r="AM9" s="261">
        <v>1922</v>
      </c>
      <c r="AN9" s="261">
        <v>2020</v>
      </c>
      <c r="AO9" s="261">
        <v>2777</v>
      </c>
      <c r="AP9" s="261">
        <v>2479</v>
      </c>
      <c r="AQ9" s="261">
        <v>2782</v>
      </c>
      <c r="AR9" s="261">
        <v>2914</v>
      </c>
      <c r="AS9" s="261">
        <v>4785</v>
      </c>
      <c r="AT9" s="261">
        <v>3374</v>
      </c>
      <c r="AU9" s="261">
        <v>3189</v>
      </c>
      <c r="AV9" s="261">
        <v>3234</v>
      </c>
      <c r="AW9" s="261">
        <v>4071</v>
      </c>
      <c r="AX9" s="261">
        <v>3156</v>
      </c>
      <c r="AY9" s="261">
        <v>3013</v>
      </c>
      <c r="AZ9" s="261">
        <v>3229</v>
      </c>
      <c r="BA9" s="261">
        <v>4037</v>
      </c>
      <c r="BB9" s="261">
        <v>2629</v>
      </c>
      <c r="BC9" s="261">
        <v>2984</v>
      </c>
      <c r="BD9" s="261">
        <v>2895</v>
      </c>
      <c r="BE9" s="261">
        <v>4886</v>
      </c>
      <c r="BF9" s="523">
        <f ca="1">+BF174+BF193</f>
        <v>3063.9701504539044</v>
      </c>
      <c r="BG9" s="523">
        <f t="shared" ref="BG9:BI9" ca="1" si="4">+BG174+BG193</f>
        <v>3178.1500648118108</v>
      </c>
      <c r="BH9" s="523">
        <f t="shared" ca="1" si="4"/>
        <v>3171.8278693212264</v>
      </c>
      <c r="BI9" s="523">
        <f t="shared" ca="1" si="4"/>
        <v>4776.4436123541254</v>
      </c>
      <c r="BK9" s="152"/>
    </row>
    <row r="10" spans="2:63" s="252" customFormat="1" ht="16.5" thickBot="1">
      <c r="B10" s="156" t="s">
        <v>113</v>
      </c>
      <c r="C10" s="188"/>
      <c r="D10" s="200">
        <f t="shared" ref="D10:J10" si="5">SUM(D8:D9)</f>
        <v>69899</v>
      </c>
      <c r="E10" s="200">
        <f t="shared" si="5"/>
        <v>73992</v>
      </c>
      <c r="F10" s="200">
        <f t="shared" si="5"/>
        <v>73705</v>
      </c>
      <c r="G10" s="200">
        <f>SUM(G8:G9)</f>
        <v>72821</v>
      </c>
      <c r="H10" s="200">
        <f>SUM(H8:H9)</f>
        <v>71349</v>
      </c>
      <c r="I10" s="200">
        <f ca="1">SUM(I8:I9)</f>
        <v>71207.088352262639</v>
      </c>
      <c r="J10" s="200">
        <f t="shared" ca="1" si="5"/>
        <v>71357.681587223997</v>
      </c>
      <c r="K10" s="200">
        <f t="shared" ref="K10:P10" ca="1" si="6">SUM(K8:K9)</f>
        <v>71317.962253879654</v>
      </c>
      <c r="L10" s="200">
        <f t="shared" ca="1" si="6"/>
        <v>71036.909668522741</v>
      </c>
      <c r="M10" s="200">
        <f t="shared" ca="1" si="6"/>
        <v>70543.166115152679</v>
      </c>
      <c r="N10" s="200">
        <f t="shared" ca="1" si="6"/>
        <v>69753.946399705223</v>
      </c>
      <c r="O10" s="200">
        <f t="shared" ca="1" si="6"/>
        <v>68807.473497577157</v>
      </c>
      <c r="P10" s="200">
        <f t="shared" ca="1" si="6"/>
        <v>67725.939546714202</v>
      </c>
      <c r="Q10" s="317"/>
      <c r="R10" s="188"/>
      <c r="S10" s="188"/>
      <c r="T10" s="188"/>
      <c r="U10" s="188"/>
      <c r="V10" s="188"/>
      <c r="W10" s="188"/>
      <c r="X10" s="188"/>
      <c r="Y10" s="188"/>
      <c r="Z10" s="188"/>
      <c r="AA10" s="188"/>
      <c r="AB10" s="188"/>
      <c r="AC10" s="188"/>
      <c r="AD10" s="156">
        <f>SUM(AD8:AD9)</f>
        <v>15310</v>
      </c>
      <c r="AE10" s="156">
        <f t="shared" ref="AE10:AV10" si="7">SUM(AE8:AE9)</f>
        <v>15603</v>
      </c>
      <c r="AF10" s="156">
        <f t="shared" si="7"/>
        <v>15606</v>
      </c>
      <c r="AG10" s="156">
        <f t="shared" si="7"/>
        <v>16696</v>
      </c>
      <c r="AH10" s="156">
        <f t="shared" si="7"/>
        <v>16136</v>
      </c>
      <c r="AI10" s="156">
        <f t="shared" si="7"/>
        <v>16353</v>
      </c>
      <c r="AJ10" s="156">
        <f t="shared" si="7"/>
        <v>16632</v>
      </c>
      <c r="AK10" s="156">
        <f t="shared" si="7"/>
        <v>17642</v>
      </c>
      <c r="AL10" s="156">
        <f t="shared" si="7"/>
        <v>16691</v>
      </c>
      <c r="AM10" s="156">
        <f t="shared" si="7"/>
        <v>17291</v>
      </c>
      <c r="AN10" s="156">
        <f t="shared" si="7"/>
        <v>17480</v>
      </c>
      <c r="AO10" s="156">
        <f t="shared" si="7"/>
        <v>18437</v>
      </c>
      <c r="AP10" s="156">
        <f t="shared" si="7"/>
        <v>17866</v>
      </c>
      <c r="AQ10" s="156">
        <f t="shared" si="7"/>
        <v>17930</v>
      </c>
      <c r="AR10" s="156">
        <f t="shared" si="7"/>
        <v>18337</v>
      </c>
      <c r="AS10" s="156">
        <f t="shared" si="7"/>
        <v>19859</v>
      </c>
      <c r="AT10" s="156">
        <f t="shared" si="7"/>
        <v>18186</v>
      </c>
      <c r="AU10" s="156">
        <f t="shared" si="7"/>
        <v>18304</v>
      </c>
      <c r="AV10" s="156">
        <f t="shared" si="7"/>
        <v>18329</v>
      </c>
      <c r="AW10" s="156">
        <f t="shared" ref="AW10:BB10" si="8">SUM(AW8:AW9)</f>
        <v>18886</v>
      </c>
      <c r="AX10" s="156">
        <f t="shared" si="8"/>
        <v>17954</v>
      </c>
      <c r="AY10" s="156">
        <f t="shared" si="8"/>
        <v>17925</v>
      </c>
      <c r="AZ10" s="156">
        <f t="shared" si="8"/>
        <v>18192</v>
      </c>
      <c r="BA10" s="156">
        <f t="shared" si="8"/>
        <v>18750</v>
      </c>
      <c r="BB10" s="156">
        <f t="shared" si="8"/>
        <v>17167</v>
      </c>
      <c r="BC10" s="156">
        <f t="shared" ref="BC10:BD10" si="9">SUM(BC8:BC9)</f>
        <v>17518</v>
      </c>
      <c r="BD10" s="156">
        <f t="shared" si="9"/>
        <v>17436</v>
      </c>
      <c r="BE10" s="156">
        <f t="shared" ref="BE10" si="10">SUM(BE8:BE9)</f>
        <v>19228</v>
      </c>
      <c r="BF10" s="156">
        <f t="shared" ref="BF10:BI10" ca="1" si="11">SUM(BF8:BF9)</f>
        <v>17290.825299896904</v>
      </c>
      <c r="BG10" s="156">
        <f t="shared" ca="1" si="11"/>
        <v>17402.648901456938</v>
      </c>
      <c r="BH10" s="156">
        <f t="shared" ca="1" si="11"/>
        <v>17425.743305604377</v>
      </c>
      <c r="BI10" s="156">
        <f t="shared" ca="1" si="11"/>
        <v>19087.87084530442</v>
      </c>
      <c r="BK10" s="152"/>
    </row>
    <row r="11" spans="2:63" s="248" customFormat="1" ht="15.75" thickTop="1">
      <c r="B11" s="245" t="s">
        <v>252</v>
      </c>
      <c r="C11" s="266"/>
      <c r="D11" s="245"/>
      <c r="E11" s="259">
        <f t="shared" ref="E11:J11" si="12">+E10/D10-1</f>
        <v>5.8555916393653762E-2</v>
      </c>
      <c r="F11" s="259">
        <f t="shared" si="12"/>
        <v>-3.8787977078602598E-3</v>
      </c>
      <c r="G11" s="259">
        <f t="shared" si="12"/>
        <v>-1.1993758903737883E-2</v>
      </c>
      <c r="H11" s="259">
        <f t="shared" si="12"/>
        <v>-2.0213949272874565E-2</v>
      </c>
      <c r="I11" s="259">
        <f t="shared" ca="1" si="12"/>
        <v>-1.9889787906959278E-3</v>
      </c>
      <c r="J11" s="259">
        <f t="shared" ca="1" si="12"/>
        <v>2.1148629784772943E-3</v>
      </c>
      <c r="K11" s="259">
        <f t="shared" ref="K11" ca="1" si="13">+K10/J10-1</f>
        <v>-5.5662309173809543E-4</v>
      </c>
      <c r="L11" s="259">
        <f t="shared" ref="L11" ca="1" si="14">+L10/K10-1</f>
        <v>-3.9408386958170727E-3</v>
      </c>
      <c r="M11" s="259">
        <f t="shared" ref="M11" ca="1" si="15">+M10/L10-1</f>
        <v>-6.9505212948310913E-3</v>
      </c>
      <c r="N11" s="259">
        <f t="shared" ref="N11" ca="1" si="16">+N10/M10-1</f>
        <v>-1.1187755794220489E-2</v>
      </c>
      <c r="O11" s="259">
        <f t="shared" ref="O11" ca="1" si="17">+O10/N10-1</f>
        <v>-1.3568736264821024E-2</v>
      </c>
      <c r="P11" s="259">
        <f t="shared" ref="P11" ca="1" si="18">+P10/O10-1</f>
        <v>-1.5718262797442151E-2</v>
      </c>
      <c r="Q11" s="266"/>
      <c r="R11" s="266"/>
      <c r="S11" s="266"/>
      <c r="T11" s="266"/>
      <c r="U11" s="266"/>
      <c r="V11" s="266"/>
      <c r="W11" s="266"/>
      <c r="X11" s="266"/>
      <c r="Y11" s="266"/>
      <c r="Z11" s="266"/>
      <c r="AA11" s="266"/>
      <c r="AB11" s="266"/>
      <c r="AC11" s="266"/>
      <c r="AD11" s="266"/>
      <c r="AE11" s="266"/>
      <c r="AF11" s="266"/>
      <c r="AG11" s="266"/>
      <c r="AH11" s="266"/>
      <c r="AI11" s="266"/>
      <c r="AJ11" s="266"/>
      <c r="AK11" s="266"/>
      <c r="AP11" s="248">
        <f t="shared" ref="AP11:BE11" si="19">+AP10/AL10-1</f>
        <v>7.0397220058714183E-2</v>
      </c>
      <c r="AQ11" s="248">
        <f t="shared" si="19"/>
        <v>3.6955641663293015E-2</v>
      </c>
      <c r="AR11" s="248">
        <f t="shared" si="19"/>
        <v>4.9027459954233299E-2</v>
      </c>
      <c r="AS11" s="248">
        <f t="shared" si="19"/>
        <v>7.7127515322449325E-2</v>
      </c>
      <c r="AT11" s="248">
        <f t="shared" si="19"/>
        <v>1.7911116086421153E-2</v>
      </c>
      <c r="AU11" s="248">
        <f t="shared" si="19"/>
        <v>2.0858895705521574E-2</v>
      </c>
      <c r="AV11" s="248">
        <f t="shared" si="19"/>
        <v>-4.3627638108745259E-4</v>
      </c>
      <c r="AW11" s="248">
        <f t="shared" si="19"/>
        <v>-4.8995417694748022E-2</v>
      </c>
      <c r="AX11" s="248">
        <f t="shared" si="19"/>
        <v>-1.2757065874848816E-2</v>
      </c>
      <c r="AY11" s="248">
        <f t="shared" si="19"/>
        <v>-2.0705856643356668E-2</v>
      </c>
      <c r="AZ11" s="248">
        <f t="shared" si="19"/>
        <v>-7.4744939713022873E-3</v>
      </c>
      <c r="BA11" s="248">
        <f t="shared" si="19"/>
        <v>-7.2011013449115868E-3</v>
      </c>
      <c r="BB11" s="248">
        <f t="shared" si="19"/>
        <v>-4.3834243065612122E-2</v>
      </c>
      <c r="BC11" s="248">
        <f t="shared" si="19"/>
        <v>-2.2705718270571773E-2</v>
      </c>
      <c r="BD11" s="248">
        <f t="shared" si="19"/>
        <v>-4.1556728232189921E-2</v>
      </c>
      <c r="BE11" s="248">
        <f t="shared" si="19"/>
        <v>2.5493333333333368E-2</v>
      </c>
      <c r="BF11" s="248">
        <f t="shared" ref="BF11" ca="1" si="20">+BF10/BB10-1</f>
        <v>7.2129842078931805E-3</v>
      </c>
      <c r="BG11" s="248">
        <f t="shared" ref="BG11" ca="1" si="21">+BG10/BC10-1</f>
        <v>-6.5847184920118096E-3</v>
      </c>
      <c r="BH11" s="248">
        <f t="shared" ref="BH11" ca="1" si="22">+BH10/BD10-1</f>
        <v>-5.8824813005409204E-4</v>
      </c>
      <c r="BI11" s="248">
        <f t="shared" ref="BI11" ca="1" si="23">+BI10/BE10-1</f>
        <v>-7.2877654823996219E-3</v>
      </c>
    </row>
    <row r="13" spans="2:63" s="236" customFormat="1" ht="15.75">
      <c r="B13" s="236" t="s">
        <v>272</v>
      </c>
      <c r="C13" s="296"/>
      <c r="D13" s="295">
        <f>SUM(AL13:AO13)</f>
        <v>44508</v>
      </c>
      <c r="E13" s="295">
        <f>SUM(AP13:AS13)</f>
        <v>47771</v>
      </c>
      <c r="F13" s="295">
        <f>SUM(AT13:AW13)</f>
        <v>44476</v>
      </c>
      <c r="G13" s="295">
        <f>SUM(AX13:BA13)</f>
        <v>43793</v>
      </c>
      <c r="H13" s="295">
        <f>SUM(BB13:BE13)</f>
        <v>43255</v>
      </c>
      <c r="I13" s="295">
        <f ca="1">SUM(BF13:BI13)</f>
        <v>41850.446361773887</v>
      </c>
      <c r="J13" s="523">
        <f t="shared" ref="J13:P13" ca="1" si="24">+J14*J10-J195</f>
        <v>41056.749934844564</v>
      </c>
      <c r="K13" s="523">
        <f t="shared" ca="1" si="24"/>
        <v>41314.07231214099</v>
      </c>
      <c r="L13" s="523">
        <f t="shared" ca="1" si="24"/>
        <v>41430.761379127136</v>
      </c>
      <c r="M13" s="523">
        <f t="shared" ca="1" si="24"/>
        <v>41036.98124072772</v>
      </c>
      <c r="N13" s="523">
        <f t="shared" ca="1" si="24"/>
        <v>40473.238596474897</v>
      </c>
      <c r="O13" s="523">
        <f t="shared" ca="1" si="24"/>
        <v>39820.856685929786</v>
      </c>
      <c r="P13" s="523">
        <f t="shared" ca="1" si="24"/>
        <v>39093.353086400995</v>
      </c>
      <c r="Q13" s="296"/>
      <c r="R13" s="296"/>
      <c r="S13" s="296"/>
      <c r="T13" s="296"/>
      <c r="U13" s="296"/>
      <c r="V13" s="296"/>
      <c r="W13" s="296"/>
      <c r="X13" s="296"/>
      <c r="Y13" s="296"/>
      <c r="Z13" s="296"/>
      <c r="AA13" s="296"/>
      <c r="AB13" s="296"/>
      <c r="AC13" s="296"/>
      <c r="AD13" s="296"/>
      <c r="AE13" s="296"/>
      <c r="AF13" s="296"/>
      <c r="AG13" s="296"/>
      <c r="AH13" s="296"/>
      <c r="AI13" s="296"/>
      <c r="AJ13" s="296"/>
      <c r="AK13" s="296"/>
      <c r="AL13" s="261">
        <v>10181</v>
      </c>
      <c r="AM13" s="261">
        <v>10769</v>
      </c>
      <c r="AN13" s="261">
        <v>10981</v>
      </c>
      <c r="AO13" s="261">
        <v>12577</v>
      </c>
      <c r="AP13" s="260">
        <f>10865-17</f>
        <v>10848</v>
      </c>
      <c r="AQ13" s="260">
        <f>11473-96</f>
        <v>11377</v>
      </c>
      <c r="AR13" s="260">
        <f>11683-171</f>
        <v>11512</v>
      </c>
      <c r="AS13" s="260">
        <f>14327-293</f>
        <v>14034</v>
      </c>
      <c r="AT13" s="260">
        <f>11471-209</f>
        <v>11262</v>
      </c>
      <c r="AU13" s="260">
        <f>10975-215-364</f>
        <v>10396</v>
      </c>
      <c r="AV13" s="260">
        <f>10865-142-250</f>
        <v>10473</v>
      </c>
      <c r="AW13" s="260">
        <f>12479-79-55</f>
        <v>12345</v>
      </c>
      <c r="AX13" s="260">
        <f>10624-42</f>
        <v>10582</v>
      </c>
      <c r="AY13" s="260">
        <f>10502-33</f>
        <v>10469</v>
      </c>
      <c r="AZ13" s="260">
        <f>10696-17</f>
        <v>10679</v>
      </c>
      <c r="BA13" s="260">
        <f>12064-1</f>
        <v>12063</v>
      </c>
      <c r="BB13" s="471">
        <f>9998</f>
        <v>9998</v>
      </c>
      <c r="BC13" s="471">
        <v>10197</v>
      </c>
      <c r="BD13" s="471">
        <v>10113</v>
      </c>
      <c r="BE13" s="471">
        <v>12947</v>
      </c>
      <c r="BF13" s="523">
        <f ca="1">+BF14*BF10-BF195</f>
        <v>9746.6422603133542</v>
      </c>
      <c r="BG13" s="523">
        <f t="shared" ref="BG13:BI13" ca="1" si="25">+BG14*BG10-BG195</f>
        <v>9805.5437927280909</v>
      </c>
      <c r="BH13" s="523">
        <f t="shared" ca="1" si="25"/>
        <v>9782.5660058207941</v>
      </c>
      <c r="BI13" s="523">
        <f t="shared" ca="1" si="25"/>
        <v>12515.69430291165</v>
      </c>
      <c r="BK13" s="152"/>
    </row>
    <row r="14" spans="2:63" s="248" customFormat="1" outlineLevel="1">
      <c r="B14" s="245" t="s">
        <v>273</v>
      </c>
      <c r="C14" s="296"/>
      <c r="D14" s="259">
        <f t="shared" ref="D14:I14" si="26">+D13/D$10</f>
        <v>0.63674730682842384</v>
      </c>
      <c r="E14" s="259">
        <f t="shared" si="26"/>
        <v>0.64562385122715971</v>
      </c>
      <c r="F14" s="259">
        <f t="shared" si="26"/>
        <v>0.60343260294416934</v>
      </c>
      <c r="G14" s="259">
        <f t="shared" si="26"/>
        <v>0.601378723170514</v>
      </c>
      <c r="H14" s="259">
        <f t="shared" si="26"/>
        <v>0.60624535732806351</v>
      </c>
      <c r="I14" s="259">
        <f t="shared" ca="1" si="26"/>
        <v>0.58772865637672245</v>
      </c>
      <c r="J14" s="210">
        <f t="shared" ref="J14:P14" ca="1" si="27">+I14-0.0015</f>
        <v>0.5862286563767225</v>
      </c>
      <c r="K14" s="210">
        <f t="shared" ca="1" si="27"/>
        <v>0.58472865637672256</v>
      </c>
      <c r="L14" s="210">
        <f t="shared" ca="1" si="27"/>
        <v>0.58322865637672261</v>
      </c>
      <c r="M14" s="210">
        <f t="shared" ca="1" si="27"/>
        <v>0.58172865637672266</v>
      </c>
      <c r="N14" s="210">
        <f t="shared" ca="1" si="27"/>
        <v>0.58022865637672272</v>
      </c>
      <c r="O14" s="210">
        <f t="shared" ca="1" si="27"/>
        <v>0.57872865637672277</v>
      </c>
      <c r="P14" s="210">
        <f t="shared" ca="1" si="27"/>
        <v>0.57722865637672283</v>
      </c>
      <c r="Q14" s="296"/>
      <c r="R14" s="296"/>
      <c r="S14" s="296"/>
      <c r="T14" s="296"/>
      <c r="U14" s="296"/>
      <c r="V14" s="296"/>
      <c r="W14" s="296"/>
      <c r="X14" s="296"/>
      <c r="Y14" s="296"/>
      <c r="Z14" s="296"/>
      <c r="AA14" s="296"/>
      <c r="AB14" s="296"/>
      <c r="AC14" s="296"/>
      <c r="AD14" s="296"/>
      <c r="AE14" s="296"/>
      <c r="AF14" s="296"/>
      <c r="AG14" s="296"/>
      <c r="AH14" s="296"/>
      <c r="AI14" s="296"/>
      <c r="AJ14" s="296"/>
      <c r="AK14" s="296"/>
      <c r="AL14" s="259">
        <f t="shared" ref="AL14:AV14" si="28">+AL13/AL$10</f>
        <v>0.60996944461086811</v>
      </c>
      <c r="AM14" s="259">
        <f t="shared" si="28"/>
        <v>0.62280955410329075</v>
      </c>
      <c r="AN14" s="259">
        <f t="shared" si="28"/>
        <v>0.62820366132723116</v>
      </c>
      <c r="AO14" s="248">
        <f t="shared" si="28"/>
        <v>0.68216087215924504</v>
      </c>
      <c r="AP14" s="248">
        <f t="shared" si="28"/>
        <v>0.60718683532967643</v>
      </c>
      <c r="AQ14" s="248">
        <f t="shared" si="28"/>
        <v>0.63452314556609035</v>
      </c>
      <c r="AR14" s="248">
        <f t="shared" si="28"/>
        <v>0.62780171238479576</v>
      </c>
      <c r="AS14" s="248">
        <f t="shared" si="28"/>
        <v>0.70668210886751603</v>
      </c>
      <c r="AT14" s="248">
        <f t="shared" si="28"/>
        <v>0.61926756845925435</v>
      </c>
      <c r="AU14" s="248">
        <f t="shared" si="28"/>
        <v>0.56796328671328666</v>
      </c>
      <c r="AV14" s="248">
        <f t="shared" si="28"/>
        <v>0.57138960117846038</v>
      </c>
      <c r="AW14" s="248">
        <f t="shared" ref="AW14:BB14" si="29">+AW13/AW$10</f>
        <v>0.65365879487451017</v>
      </c>
      <c r="AX14" s="248">
        <f t="shared" si="29"/>
        <v>0.58939512086443135</v>
      </c>
      <c r="AY14" s="248">
        <f t="shared" si="29"/>
        <v>0.58404463040446308</v>
      </c>
      <c r="AZ14" s="248">
        <f t="shared" si="29"/>
        <v>0.58701627088830255</v>
      </c>
      <c r="BA14" s="248">
        <f t="shared" si="29"/>
        <v>0.64336000000000004</v>
      </c>
      <c r="BB14" s="248">
        <f t="shared" si="29"/>
        <v>0.58239645832119769</v>
      </c>
      <c r="BC14" s="248">
        <f t="shared" ref="BC14:BD14" si="30">+BC13/BC$10</f>
        <v>0.58208699623244664</v>
      </c>
      <c r="BD14" s="248">
        <f t="shared" si="30"/>
        <v>0.58000688231245701</v>
      </c>
      <c r="BE14" s="248">
        <f t="shared" ref="BE14" si="31">+BE13/BE$10</f>
        <v>0.67334096109839814</v>
      </c>
      <c r="BF14" s="210">
        <f>+BB14-0.0075</f>
        <v>0.57489645832119773</v>
      </c>
      <c r="BG14" s="210">
        <f t="shared" ref="BG14:BI14" si="32">+BC14-0.0075</f>
        <v>0.57458699623244669</v>
      </c>
      <c r="BH14" s="210">
        <f t="shared" si="32"/>
        <v>0.57250688231245705</v>
      </c>
      <c r="BI14" s="210">
        <f t="shared" si="32"/>
        <v>0.66584096109839819</v>
      </c>
    </row>
    <row r="15" spans="2:63" s="248" customFormat="1" outlineLevel="1">
      <c r="B15" s="298" t="s">
        <v>342</v>
      </c>
      <c r="C15" s="296"/>
      <c r="D15" s="259"/>
      <c r="E15" s="259"/>
      <c r="F15" s="259"/>
      <c r="G15" s="259"/>
      <c r="H15" s="259"/>
      <c r="I15" s="259"/>
      <c r="J15" s="245"/>
      <c r="K15" s="245"/>
      <c r="L15" s="245"/>
      <c r="M15" s="245"/>
      <c r="N15" s="245"/>
      <c r="O15" s="245"/>
      <c r="P15" s="245"/>
      <c r="Q15" s="296"/>
      <c r="R15" s="296"/>
      <c r="S15" s="296"/>
      <c r="T15" s="296"/>
      <c r="U15" s="296"/>
      <c r="V15" s="296"/>
      <c r="W15" s="296"/>
      <c r="X15" s="296"/>
      <c r="Y15" s="296"/>
      <c r="Z15" s="296"/>
      <c r="AA15" s="296"/>
      <c r="AB15" s="296"/>
      <c r="AC15" s="296"/>
      <c r="AD15" s="296"/>
      <c r="AE15" s="296"/>
      <c r="AF15" s="296"/>
      <c r="AG15" s="296"/>
      <c r="AH15" s="296"/>
      <c r="AI15" s="296"/>
      <c r="AJ15" s="296"/>
      <c r="AK15" s="296"/>
      <c r="AL15" s="259"/>
      <c r="AM15" s="278">
        <f t="shared" ref="AM15:BE15" si="33">+AM13-AL13</f>
        <v>588</v>
      </c>
      <c r="AN15" s="278">
        <f t="shared" si="33"/>
        <v>212</v>
      </c>
      <c r="AO15" s="278">
        <f t="shared" si="33"/>
        <v>1596</v>
      </c>
      <c r="AP15" s="278">
        <f t="shared" si="33"/>
        <v>-1729</v>
      </c>
      <c r="AQ15" s="278">
        <f t="shared" si="33"/>
        <v>529</v>
      </c>
      <c r="AR15" s="278">
        <f t="shared" si="33"/>
        <v>135</v>
      </c>
      <c r="AS15" s="278">
        <f t="shared" si="33"/>
        <v>2522</v>
      </c>
      <c r="AT15" s="278">
        <f t="shared" si="33"/>
        <v>-2772</v>
      </c>
      <c r="AU15" s="278">
        <f t="shared" si="33"/>
        <v>-866</v>
      </c>
      <c r="AV15" s="278">
        <f t="shared" si="33"/>
        <v>77</v>
      </c>
      <c r="AW15" s="278">
        <f t="shared" si="33"/>
        <v>1872</v>
      </c>
      <c r="AX15" s="278">
        <f t="shared" si="33"/>
        <v>-1763</v>
      </c>
      <c r="AY15" s="278">
        <f t="shared" si="33"/>
        <v>-113</v>
      </c>
      <c r="AZ15" s="278">
        <f t="shared" si="33"/>
        <v>210</v>
      </c>
      <c r="BA15" s="278">
        <f t="shared" si="33"/>
        <v>1384</v>
      </c>
      <c r="BB15" s="278">
        <f t="shared" si="33"/>
        <v>-2065</v>
      </c>
      <c r="BC15" s="278">
        <f t="shared" si="33"/>
        <v>199</v>
      </c>
      <c r="BD15" s="278">
        <f t="shared" si="33"/>
        <v>-84</v>
      </c>
      <c r="BE15" s="278">
        <f t="shared" si="33"/>
        <v>2834</v>
      </c>
      <c r="BF15" s="288">
        <f t="shared" ref="BF15" ca="1" si="34">+BF13-BE13</f>
        <v>-3200.3577396866458</v>
      </c>
      <c r="BG15" s="288">
        <f t="shared" ref="BG15" ca="1" si="35">+BG13-BF13</f>
        <v>58.901532414736721</v>
      </c>
      <c r="BH15" s="288">
        <f t="shared" ref="BH15" ca="1" si="36">+BH13-BG13</f>
        <v>-22.977786907296831</v>
      </c>
      <c r="BI15" s="288">
        <f t="shared" ref="BI15" ca="1" si="37">+BI13-BH13</f>
        <v>2733.128297090856</v>
      </c>
    </row>
    <row r="16" spans="2:63" s="248" customFormat="1" outlineLevel="1">
      <c r="B16" s="298" t="s">
        <v>343</v>
      </c>
      <c r="C16" s="296"/>
      <c r="D16" s="259"/>
      <c r="E16" s="278">
        <f t="shared" ref="E16:J16" si="38">+E13-D13</f>
        <v>3263</v>
      </c>
      <c r="F16" s="278">
        <f t="shared" si="38"/>
        <v>-3295</v>
      </c>
      <c r="G16" s="278">
        <f t="shared" si="38"/>
        <v>-683</v>
      </c>
      <c r="H16" s="278">
        <f t="shared" si="38"/>
        <v>-538</v>
      </c>
      <c r="I16" s="278">
        <f t="shared" ca="1" si="38"/>
        <v>-1404.5536382261125</v>
      </c>
      <c r="J16" s="278">
        <f t="shared" ca="1" si="38"/>
        <v>-793.69642692932393</v>
      </c>
      <c r="K16" s="278">
        <f t="shared" ref="K16" ca="1" si="39">+K13-J13</f>
        <v>257.32237729642657</v>
      </c>
      <c r="L16" s="278">
        <f t="shared" ref="L16" ca="1" si="40">+L13-K13</f>
        <v>116.68906698614592</v>
      </c>
      <c r="M16" s="278">
        <f t="shared" ref="M16" ca="1" si="41">+M13-L13</f>
        <v>-393.78013839941559</v>
      </c>
      <c r="N16" s="278">
        <f t="shared" ref="N16" ca="1" si="42">+N13-M13</f>
        <v>-563.74264425282308</v>
      </c>
      <c r="O16" s="278">
        <f t="shared" ref="O16" ca="1" si="43">+O13-N13</f>
        <v>-652.38191054511117</v>
      </c>
      <c r="P16" s="278">
        <f t="shared" ref="P16" ca="1" si="44">+P13-O13</f>
        <v>-727.5035995287908</v>
      </c>
      <c r="Q16" s="296"/>
      <c r="R16" s="296"/>
      <c r="S16" s="296"/>
      <c r="T16" s="296"/>
      <c r="U16" s="296"/>
      <c r="V16" s="296"/>
      <c r="W16" s="296"/>
      <c r="X16" s="296"/>
      <c r="Y16" s="296"/>
      <c r="Z16" s="296"/>
      <c r="AA16" s="296"/>
      <c r="AB16" s="296"/>
      <c r="AC16" s="296"/>
      <c r="AD16" s="296"/>
      <c r="AE16" s="296"/>
      <c r="AF16" s="296"/>
      <c r="AG16" s="296"/>
      <c r="AH16" s="296"/>
      <c r="AI16" s="296"/>
      <c r="AJ16" s="296"/>
      <c r="AK16" s="296"/>
      <c r="AL16" s="259"/>
      <c r="AM16" s="259"/>
      <c r="AN16" s="259"/>
      <c r="AP16" s="278">
        <f>+AP13-AL13</f>
        <v>667</v>
      </c>
      <c r="AQ16" s="278">
        <f t="shared" ref="AQ16:BE16" si="45">+AQ13-AM13</f>
        <v>608</v>
      </c>
      <c r="AR16" s="278">
        <f t="shared" si="45"/>
        <v>531</v>
      </c>
      <c r="AS16" s="278">
        <f t="shared" si="45"/>
        <v>1457</v>
      </c>
      <c r="AT16" s="278">
        <f t="shared" si="45"/>
        <v>414</v>
      </c>
      <c r="AU16" s="278">
        <f t="shared" si="45"/>
        <v>-981</v>
      </c>
      <c r="AV16" s="278">
        <f t="shared" si="45"/>
        <v>-1039</v>
      </c>
      <c r="AW16" s="278">
        <f t="shared" si="45"/>
        <v>-1689</v>
      </c>
      <c r="AX16" s="278">
        <f t="shared" si="45"/>
        <v>-680</v>
      </c>
      <c r="AY16" s="278">
        <f t="shared" si="45"/>
        <v>73</v>
      </c>
      <c r="AZ16" s="278">
        <f t="shared" si="45"/>
        <v>206</v>
      </c>
      <c r="BA16" s="278">
        <f t="shared" si="45"/>
        <v>-282</v>
      </c>
      <c r="BB16" s="278">
        <f t="shared" si="45"/>
        <v>-584</v>
      </c>
      <c r="BC16" s="278">
        <f t="shared" si="45"/>
        <v>-272</v>
      </c>
      <c r="BD16" s="278">
        <f t="shared" si="45"/>
        <v>-566</v>
      </c>
      <c r="BE16" s="278">
        <f t="shared" si="45"/>
        <v>884</v>
      </c>
      <c r="BF16" s="278">
        <f t="shared" ref="BF16" ca="1" si="46">+BF13-BB13</f>
        <v>-251.3577396866458</v>
      </c>
      <c r="BG16" s="278">
        <f t="shared" ref="BG16" ca="1" si="47">+BG13-BC13</f>
        <v>-391.45620727190908</v>
      </c>
      <c r="BH16" s="278">
        <f t="shared" ref="BH16" ca="1" si="48">+BH13-BD13</f>
        <v>-330.43399417920591</v>
      </c>
      <c r="BI16" s="278">
        <f t="shared" ref="BI16" ca="1" si="49">+BI13-BE13</f>
        <v>-431.30569708834992</v>
      </c>
    </row>
    <row r="17" spans="2:63">
      <c r="C17" s="247"/>
      <c r="Q17" s="247"/>
      <c r="R17" s="247"/>
      <c r="S17" s="247"/>
      <c r="T17" s="247"/>
      <c r="U17" s="247"/>
      <c r="V17" s="247"/>
      <c r="W17" s="247"/>
      <c r="X17" s="247"/>
      <c r="Y17" s="247"/>
      <c r="Z17" s="247"/>
      <c r="AA17" s="247"/>
      <c r="AB17" s="247"/>
      <c r="AC17" s="247"/>
      <c r="AD17" s="247"/>
      <c r="AE17" s="247"/>
      <c r="AF17" s="247"/>
      <c r="AG17" s="247"/>
      <c r="AH17" s="247"/>
      <c r="AI17" s="247"/>
      <c r="AJ17" s="247"/>
      <c r="AK17" s="247"/>
    </row>
    <row r="18" spans="2:63" s="252" customFormat="1" ht="16.5" thickBot="1">
      <c r="B18" s="156" t="s">
        <v>282</v>
      </c>
      <c r="C18" s="189"/>
      <c r="D18" s="200">
        <f t="shared" ref="D18:J18" si="50">+D10-D13</f>
        <v>25391</v>
      </c>
      <c r="E18" s="200">
        <f t="shared" si="50"/>
        <v>26221</v>
      </c>
      <c r="F18" s="200">
        <f t="shared" si="50"/>
        <v>29229</v>
      </c>
      <c r="G18" s="200">
        <f>+G10-G13</f>
        <v>29028</v>
      </c>
      <c r="H18" s="200">
        <f>+H10-H13</f>
        <v>28094</v>
      </c>
      <c r="I18" s="200">
        <f ca="1">+I10-I13</f>
        <v>29356.641990488752</v>
      </c>
      <c r="J18" s="200">
        <f t="shared" ca="1" si="50"/>
        <v>30300.931652379433</v>
      </c>
      <c r="K18" s="200">
        <f t="shared" ref="K18:P18" ca="1" si="51">+K10-K13</f>
        <v>30003.889941738664</v>
      </c>
      <c r="L18" s="200">
        <f t="shared" ca="1" si="51"/>
        <v>29606.148289395605</v>
      </c>
      <c r="M18" s="200">
        <f t="shared" ca="1" si="51"/>
        <v>29506.184874424958</v>
      </c>
      <c r="N18" s="200">
        <f t="shared" ca="1" si="51"/>
        <v>29280.707803230325</v>
      </c>
      <c r="O18" s="200">
        <f t="shared" ca="1" si="51"/>
        <v>28986.616811647371</v>
      </c>
      <c r="P18" s="200">
        <f t="shared" ca="1" si="51"/>
        <v>28632.586460313207</v>
      </c>
      <c r="Q18" s="246"/>
      <c r="R18" s="189"/>
      <c r="S18" s="189"/>
      <c r="T18" s="189"/>
      <c r="U18" s="189"/>
      <c r="V18" s="189"/>
      <c r="W18" s="189"/>
      <c r="X18" s="189"/>
      <c r="Y18" s="189"/>
      <c r="Z18" s="189"/>
      <c r="AA18" s="189"/>
      <c r="AB18" s="189"/>
      <c r="AC18" s="189"/>
      <c r="AD18" s="189"/>
      <c r="AE18" s="189"/>
      <c r="AF18" s="189"/>
      <c r="AG18" s="189"/>
      <c r="AH18" s="189"/>
      <c r="AI18" s="189"/>
      <c r="AJ18" s="189"/>
      <c r="AK18" s="189"/>
      <c r="AL18" s="156">
        <f>+AL10-AL13</f>
        <v>6510</v>
      </c>
      <c r="AM18" s="156">
        <f t="shared" ref="AM18:AV18" si="52">+AM10-AM13</f>
        <v>6522</v>
      </c>
      <c r="AN18" s="156">
        <f t="shared" si="52"/>
        <v>6499</v>
      </c>
      <c r="AO18" s="156">
        <f t="shared" si="52"/>
        <v>5860</v>
      </c>
      <c r="AP18" s="156">
        <f t="shared" si="52"/>
        <v>7018</v>
      </c>
      <c r="AQ18" s="156">
        <f t="shared" si="52"/>
        <v>6553</v>
      </c>
      <c r="AR18" s="156">
        <f t="shared" si="52"/>
        <v>6825</v>
      </c>
      <c r="AS18" s="156">
        <f t="shared" si="52"/>
        <v>5825</v>
      </c>
      <c r="AT18" s="156">
        <f t="shared" si="52"/>
        <v>6924</v>
      </c>
      <c r="AU18" s="156">
        <f t="shared" si="52"/>
        <v>7908</v>
      </c>
      <c r="AV18" s="156">
        <f t="shared" si="52"/>
        <v>7856</v>
      </c>
      <c r="AW18" s="156">
        <f t="shared" ref="AW18:BB18" si="53">+AW10-AW13</f>
        <v>6541</v>
      </c>
      <c r="AX18" s="156">
        <f t="shared" si="53"/>
        <v>7372</v>
      </c>
      <c r="AY18" s="156">
        <f t="shared" si="53"/>
        <v>7456</v>
      </c>
      <c r="AZ18" s="156">
        <f t="shared" si="53"/>
        <v>7513</v>
      </c>
      <c r="BA18" s="156">
        <f t="shared" si="53"/>
        <v>6687</v>
      </c>
      <c r="BB18" s="156">
        <f t="shared" si="53"/>
        <v>7169</v>
      </c>
      <c r="BC18" s="156">
        <f t="shared" ref="BC18:BD18" si="54">+BC10-BC13</f>
        <v>7321</v>
      </c>
      <c r="BD18" s="156">
        <f t="shared" si="54"/>
        <v>7323</v>
      </c>
      <c r="BE18" s="156">
        <f t="shared" ref="BE18" si="55">+BE10-BE13</f>
        <v>6281</v>
      </c>
      <c r="BF18" s="156">
        <f t="shared" ref="BF18:BI18" ca="1" si="56">+BF10-BF13</f>
        <v>7544.1830395835495</v>
      </c>
      <c r="BG18" s="156">
        <f t="shared" ca="1" si="56"/>
        <v>7597.105108728847</v>
      </c>
      <c r="BH18" s="156">
        <f t="shared" ca="1" si="56"/>
        <v>7643.1772997835833</v>
      </c>
      <c r="BI18" s="156">
        <f t="shared" ca="1" si="56"/>
        <v>6572.17654239277</v>
      </c>
      <c r="BK18" s="152"/>
    </row>
    <row r="19" spans="2:63" s="248" customFormat="1" ht="15.75" thickTop="1">
      <c r="B19" s="245" t="s">
        <v>258</v>
      </c>
      <c r="C19" s="246"/>
      <c r="D19" s="259">
        <f t="shared" ref="D19:J19" si="57">+D18/D$10</f>
        <v>0.36325269317157616</v>
      </c>
      <c r="E19" s="259">
        <f t="shared" si="57"/>
        <v>0.35437614877284029</v>
      </c>
      <c r="F19" s="259">
        <f t="shared" si="57"/>
        <v>0.39656739705583066</v>
      </c>
      <c r="G19" s="259">
        <f>+G18/G$10</f>
        <v>0.398621276829486</v>
      </c>
      <c r="H19" s="259">
        <f>+H18/H$10</f>
        <v>0.39375464267193655</v>
      </c>
      <c r="I19" s="259">
        <f ca="1">+I18/I$10</f>
        <v>0.4122713436232775</v>
      </c>
      <c r="J19" s="259">
        <f t="shared" ca="1" si="57"/>
        <v>0.42463447492112139</v>
      </c>
      <c r="K19" s="259">
        <f t="shared" ref="K19:P19" ca="1" si="58">+K18/K$10</f>
        <v>0.42070593429085912</v>
      </c>
      <c r="L19" s="259">
        <f t="shared" ca="1" si="58"/>
        <v>0.41677134362327733</v>
      </c>
      <c r="M19" s="259">
        <f t="shared" ca="1" si="58"/>
        <v>0.41827134362327728</v>
      </c>
      <c r="N19" s="259">
        <f t="shared" ca="1" si="58"/>
        <v>0.41977134362327728</v>
      </c>
      <c r="O19" s="259">
        <f t="shared" ca="1" si="58"/>
        <v>0.42127134362327728</v>
      </c>
      <c r="P19" s="259">
        <f t="shared" ca="1" si="58"/>
        <v>0.42277134362327717</v>
      </c>
      <c r="Q19" s="246"/>
      <c r="R19" s="246"/>
      <c r="S19" s="246"/>
      <c r="T19" s="246"/>
      <c r="U19" s="246"/>
      <c r="V19" s="246"/>
      <c r="W19" s="246"/>
      <c r="X19" s="246"/>
      <c r="Y19" s="246"/>
      <c r="Z19" s="246"/>
      <c r="AA19" s="246"/>
      <c r="AB19" s="246"/>
      <c r="AC19" s="246"/>
      <c r="AD19" s="246"/>
      <c r="AE19" s="246"/>
      <c r="AF19" s="246"/>
      <c r="AG19" s="246"/>
      <c r="AH19" s="246"/>
      <c r="AI19" s="246"/>
      <c r="AJ19" s="246"/>
      <c r="AK19" s="246"/>
      <c r="AL19" s="259">
        <f t="shared" ref="AL19:AV19" si="59">+AL18/AL$10</f>
        <v>0.39003055538913189</v>
      </c>
      <c r="AM19" s="259">
        <f t="shared" si="59"/>
        <v>0.37719044589670925</v>
      </c>
      <c r="AN19" s="259">
        <f t="shared" si="59"/>
        <v>0.3717963386727689</v>
      </c>
      <c r="AO19" s="248">
        <f t="shared" si="59"/>
        <v>0.31783912784075502</v>
      </c>
      <c r="AP19" s="248">
        <f t="shared" si="59"/>
        <v>0.39281316467032351</v>
      </c>
      <c r="AQ19" s="248">
        <f t="shared" si="59"/>
        <v>0.36547685443390965</v>
      </c>
      <c r="AR19" s="248">
        <f t="shared" si="59"/>
        <v>0.37219828761520424</v>
      </c>
      <c r="AS19" s="248">
        <f t="shared" si="59"/>
        <v>0.29331789113248402</v>
      </c>
      <c r="AT19" s="248">
        <f t="shared" si="59"/>
        <v>0.38073243154074565</v>
      </c>
      <c r="AU19" s="248">
        <f t="shared" si="59"/>
        <v>0.43203671328671328</v>
      </c>
      <c r="AV19" s="248">
        <f t="shared" si="59"/>
        <v>0.42861039882153962</v>
      </c>
      <c r="AW19" s="248">
        <f t="shared" ref="AW19:BB19" si="60">+AW18/AW$10</f>
        <v>0.34634120512548977</v>
      </c>
      <c r="AX19" s="248">
        <f t="shared" si="60"/>
        <v>0.4106048791355687</v>
      </c>
      <c r="AY19" s="248">
        <f t="shared" si="60"/>
        <v>0.41595536959553697</v>
      </c>
      <c r="AZ19" s="248">
        <f t="shared" si="60"/>
        <v>0.41298372911169745</v>
      </c>
      <c r="BA19" s="248">
        <f t="shared" si="60"/>
        <v>0.35664000000000001</v>
      </c>
      <c r="BB19" s="248">
        <f t="shared" si="60"/>
        <v>0.41760354167880237</v>
      </c>
      <c r="BC19" s="248">
        <f t="shared" ref="BC19:BD19" si="61">+BC18/BC$10</f>
        <v>0.41791300376755336</v>
      </c>
      <c r="BD19" s="248">
        <f t="shared" si="61"/>
        <v>0.41999311768754299</v>
      </c>
      <c r="BE19" s="248">
        <f t="shared" ref="BE19" si="62">+BE18/BE$10</f>
        <v>0.32665903890160181</v>
      </c>
      <c r="BF19" s="259">
        <f t="shared" ref="BF19:BI19" ca="1" si="63">+BF18/BF$10</f>
        <v>0.43631133324957783</v>
      </c>
      <c r="BG19" s="259">
        <f t="shared" ca="1" si="63"/>
        <v>0.43654877781811841</v>
      </c>
      <c r="BH19" s="259">
        <f t="shared" ca="1" si="63"/>
        <v>0.438614133454234</v>
      </c>
      <c r="BI19" s="259">
        <f t="shared" ca="1" si="63"/>
        <v>0.34431166239840277</v>
      </c>
    </row>
    <row r="20" spans="2:63" s="248" customFormat="1">
      <c r="B20" s="245" t="s">
        <v>252</v>
      </c>
      <c r="C20" s="246"/>
      <c r="D20" s="259"/>
      <c r="E20" s="259">
        <f t="shared" ref="E20:J20" si="64">+E18/D18-1</f>
        <v>3.2688747981568289E-2</v>
      </c>
      <c r="F20" s="259">
        <f t="shared" si="64"/>
        <v>0.11471721139544644</v>
      </c>
      <c r="G20" s="259">
        <f t="shared" si="64"/>
        <v>-6.8767320127270937E-3</v>
      </c>
      <c r="H20" s="259">
        <f t="shared" si="64"/>
        <v>-3.2175830232878622E-2</v>
      </c>
      <c r="I20" s="259">
        <f t="shared" ca="1" si="64"/>
        <v>4.4943475136639544E-2</v>
      </c>
      <c r="J20" s="259">
        <f t="shared" ca="1" si="64"/>
        <v>3.2166133381216433E-2</v>
      </c>
      <c r="K20" s="259">
        <f t="shared" ref="K20" ca="1" si="65">+K18/J18-1</f>
        <v>-9.8030553663667197E-3</v>
      </c>
      <c r="L20" s="259">
        <f t="shared" ref="L20" ca="1" si="66">+L18/K18-1</f>
        <v>-1.3256336198919194E-2</v>
      </c>
      <c r="M20" s="259">
        <f t="shared" ref="M20" ca="1" si="67">+M18/L18-1</f>
        <v>-3.3764410687104895E-3</v>
      </c>
      <c r="N20" s="259">
        <f t="shared" ref="N20" ca="1" si="68">+N18/M18-1</f>
        <v>-7.6416884173348132E-3</v>
      </c>
      <c r="O20" s="259">
        <f t="shared" ref="O20" ca="1" si="69">+O18/N18-1</f>
        <v>-1.0043848446536163E-2</v>
      </c>
      <c r="P20" s="259">
        <f t="shared" ref="P20" ca="1" si="70">+P18/O18-1</f>
        <v>-1.2213579585179768E-2</v>
      </c>
      <c r="Q20" s="246"/>
      <c r="R20" s="246"/>
      <c r="S20" s="246"/>
      <c r="T20" s="246"/>
      <c r="U20" s="246"/>
      <c r="V20" s="246"/>
      <c r="W20" s="246"/>
      <c r="X20" s="246"/>
      <c r="Y20" s="246"/>
      <c r="Z20" s="246"/>
      <c r="AA20" s="246"/>
      <c r="AB20" s="246"/>
      <c r="AC20" s="246"/>
      <c r="AD20" s="246"/>
      <c r="AE20" s="246"/>
      <c r="AF20" s="246"/>
      <c r="AG20" s="246"/>
      <c r="AH20" s="246"/>
      <c r="AI20" s="246"/>
      <c r="AJ20" s="246"/>
      <c r="AK20" s="246"/>
      <c r="AP20" s="248">
        <f>+AP18/AL18-1</f>
        <v>7.8033794162826409E-2</v>
      </c>
      <c r="AQ20" s="248">
        <f t="shared" ref="AQ20:BE20" si="71">+AQ18/AM18-1</f>
        <v>4.753143207605115E-3</v>
      </c>
      <c r="AR20" s="248">
        <f t="shared" si="71"/>
        <v>5.0161563317433489E-2</v>
      </c>
      <c r="AS20" s="248">
        <f t="shared" si="71"/>
        <v>-5.9726962457338217E-3</v>
      </c>
      <c r="AT20" s="248">
        <f t="shared" si="71"/>
        <v>-1.3394129381590236E-2</v>
      </c>
      <c r="AU20" s="248">
        <f t="shared" si="71"/>
        <v>0.20677552266137655</v>
      </c>
      <c r="AV20" s="248">
        <f t="shared" si="71"/>
        <v>0.1510622710622711</v>
      </c>
      <c r="AW20" s="248">
        <f t="shared" si="71"/>
        <v>0.12291845493562237</v>
      </c>
      <c r="AX20" s="248">
        <f t="shared" si="71"/>
        <v>6.4702484113229319E-2</v>
      </c>
      <c r="AY20" s="248">
        <f t="shared" si="71"/>
        <v>-5.7157309054122418E-2</v>
      </c>
      <c r="AZ20" s="248">
        <f t="shared" si="71"/>
        <v>-4.3660896130346183E-2</v>
      </c>
      <c r="BA20" s="248">
        <f t="shared" si="71"/>
        <v>2.232074606329304E-2</v>
      </c>
      <c r="BB20" s="248">
        <f t="shared" si="71"/>
        <v>-2.7536625067824172E-2</v>
      </c>
      <c r="BC20" s="248">
        <f t="shared" si="71"/>
        <v>-1.8106223175965663E-2</v>
      </c>
      <c r="BD20" s="248">
        <f t="shared" si="71"/>
        <v>-2.5289498203114547E-2</v>
      </c>
      <c r="BE20" s="248">
        <f t="shared" si="71"/>
        <v>-6.0714819799611131E-2</v>
      </c>
      <c r="BF20" s="248">
        <f t="shared" ref="BF20" ca="1" si="72">+BF18/BB18-1</f>
        <v>5.2334082798653814E-2</v>
      </c>
      <c r="BG20" s="248">
        <f t="shared" ref="BG20" ca="1" si="73">+BG18/BC18-1</f>
        <v>3.7714124945888106E-2</v>
      </c>
      <c r="BH20" s="248">
        <f t="shared" ref="BH20" ca="1" si="74">+BH18/BD18-1</f>
        <v>4.3722149362772633E-2</v>
      </c>
      <c r="BI20" s="248">
        <f t="shared" ref="BI20" ca="1" si="75">+BI18/BE18-1</f>
        <v>4.6358309567388956E-2</v>
      </c>
    </row>
    <row r="21" spans="2:63">
      <c r="D21" s="300"/>
      <c r="E21" s="300"/>
      <c r="F21" s="300"/>
      <c r="G21" s="300"/>
      <c r="H21" s="300"/>
      <c r="I21" s="300"/>
    </row>
    <row r="22" spans="2:63" s="236" customFormat="1" ht="15.75">
      <c r="B22" s="236" t="s">
        <v>274</v>
      </c>
      <c r="C22" s="274"/>
      <c r="D22" s="295">
        <f>SUM(AL22:AO22)</f>
        <v>7249</v>
      </c>
      <c r="E22" s="295">
        <f>SUM(AP22:AS22)</f>
        <v>7744</v>
      </c>
      <c r="F22" s="295">
        <f>SUM(AT22:AW22)</f>
        <v>8113</v>
      </c>
      <c r="G22" s="295">
        <f>SUM(AX22:BA22)</f>
        <v>8292</v>
      </c>
      <c r="H22" s="295">
        <f>SUM(BB22:BE22)</f>
        <v>8027</v>
      </c>
      <c r="I22" s="295">
        <f ca="1">SUM(BF22:BI22)</f>
        <v>7510.2961919278468</v>
      </c>
      <c r="J22" s="236">
        <f ca="1">+J10*J23</f>
        <v>7597.5371208887773</v>
      </c>
      <c r="K22" s="236">
        <f t="shared" ref="K22:P22" ca="1" si="76">+K10*K23</f>
        <v>7664.626118540833</v>
      </c>
      <c r="L22" s="236">
        <f t="shared" ca="1" si="76"/>
        <v>7705.4579730124397</v>
      </c>
      <c r="M22" s="236">
        <f t="shared" ca="1" si="76"/>
        <v>7722.4441893997437</v>
      </c>
      <c r="N22" s="236">
        <f t="shared" ca="1" si="76"/>
        <v>7705.8013160739474</v>
      </c>
      <c r="O22" s="236">
        <f t="shared" ca="1" si="76"/>
        <v>7670.0508038046064</v>
      </c>
      <c r="P22" s="236">
        <f t="shared" ca="1" si="76"/>
        <v>7617.2168691473871</v>
      </c>
      <c r="Q22" s="274"/>
      <c r="R22" s="274"/>
      <c r="S22" s="274"/>
      <c r="T22" s="274"/>
      <c r="U22" s="274"/>
      <c r="V22" s="274"/>
      <c r="W22" s="274"/>
      <c r="X22" s="274"/>
      <c r="Y22" s="274"/>
      <c r="Z22" s="274"/>
      <c r="AA22" s="274"/>
      <c r="AB22" s="274"/>
      <c r="AC22" s="274"/>
      <c r="AD22" s="274"/>
      <c r="AE22" s="274"/>
      <c r="AF22" s="274"/>
      <c r="AG22" s="274"/>
      <c r="AH22" s="274"/>
      <c r="AI22" s="274"/>
      <c r="AJ22" s="274"/>
      <c r="AK22" s="274"/>
      <c r="AL22" s="261">
        <v>1756</v>
      </c>
      <c r="AM22" s="261">
        <v>1781</v>
      </c>
      <c r="AN22" s="261">
        <v>1828</v>
      </c>
      <c r="AO22" s="261">
        <v>1884</v>
      </c>
      <c r="AP22" s="261">
        <v>1903</v>
      </c>
      <c r="AQ22" s="261">
        <v>1973</v>
      </c>
      <c r="AR22" s="261">
        <v>1909</v>
      </c>
      <c r="AS22" s="261">
        <v>1959</v>
      </c>
      <c r="AT22" s="261">
        <v>2005</v>
      </c>
      <c r="AU22" s="261">
        <v>2031</v>
      </c>
      <c r="AV22" s="261">
        <v>2046</v>
      </c>
      <c r="AW22" s="261">
        <v>2031</v>
      </c>
      <c r="AX22" s="261">
        <v>2056</v>
      </c>
      <c r="AY22" s="261">
        <v>2081</v>
      </c>
      <c r="AZ22" s="261">
        <v>2107</v>
      </c>
      <c r="BA22" s="261">
        <v>2048</v>
      </c>
      <c r="BB22" s="261">
        <v>1997</v>
      </c>
      <c r="BC22" s="261">
        <v>1992</v>
      </c>
      <c r="BD22" s="261">
        <v>2010</v>
      </c>
      <c r="BE22" s="261">
        <v>2028</v>
      </c>
      <c r="BF22" s="236">
        <f t="shared" ref="BF22:BI22" ca="1" si="77">+BF10*BF23</f>
        <v>1823.683883305124</v>
      </c>
      <c r="BG22" s="236">
        <f t="shared" ca="1" si="77"/>
        <v>1835.4780513914434</v>
      </c>
      <c r="BH22" s="236">
        <f t="shared" ca="1" si="77"/>
        <v>1837.9138456295859</v>
      </c>
      <c r="BI22" s="236">
        <f t="shared" ca="1" si="77"/>
        <v>2013.2204116016937</v>
      </c>
      <c r="BK22" s="152"/>
    </row>
    <row r="23" spans="2:63" s="248" customFormat="1" outlineLevel="1">
      <c r="B23" s="245" t="s">
        <v>273</v>
      </c>
      <c r="C23" s="246"/>
      <c r="D23" s="259">
        <f t="shared" ref="D23:I23" si="78">+D22/D$10</f>
        <v>0.103706776920986</v>
      </c>
      <c r="E23" s="259">
        <f t="shared" si="78"/>
        <v>0.10465996323926911</v>
      </c>
      <c r="F23" s="259">
        <f t="shared" si="78"/>
        <v>0.11007394342310563</v>
      </c>
      <c r="G23" s="259">
        <f t="shared" si="78"/>
        <v>0.11386825228986144</v>
      </c>
      <c r="H23" s="259">
        <f t="shared" si="78"/>
        <v>0.11250332870818092</v>
      </c>
      <c r="I23" s="259">
        <f t="shared" ca="1" si="78"/>
        <v>0.10547118785105056</v>
      </c>
      <c r="J23" s="297">
        <f ca="1">+I23+0.001</f>
        <v>0.10647118785105056</v>
      </c>
      <c r="K23" s="297">
        <f t="shared" ref="K23:P23" ca="1" si="79">+J23+0.001</f>
        <v>0.10747118785105056</v>
      </c>
      <c r="L23" s="297">
        <f t="shared" ca="1" si="79"/>
        <v>0.10847118785105056</v>
      </c>
      <c r="M23" s="297">
        <f t="shared" ca="1" si="79"/>
        <v>0.10947118785105056</v>
      </c>
      <c r="N23" s="297">
        <f t="shared" ca="1" si="79"/>
        <v>0.11047118785105056</v>
      </c>
      <c r="O23" s="297">
        <f t="shared" ca="1" si="79"/>
        <v>0.11147118785105056</v>
      </c>
      <c r="P23" s="297">
        <f t="shared" ca="1" si="79"/>
        <v>0.11247118785105056</v>
      </c>
      <c r="Q23" s="246"/>
      <c r="R23" s="246"/>
      <c r="S23" s="246"/>
      <c r="T23" s="246"/>
      <c r="U23" s="246"/>
      <c r="V23" s="246"/>
      <c r="W23" s="246"/>
      <c r="X23" s="246"/>
      <c r="Y23" s="246"/>
      <c r="Z23" s="246"/>
      <c r="AA23" s="246"/>
      <c r="AB23" s="246"/>
      <c r="AC23" s="246"/>
      <c r="AD23" s="246"/>
      <c r="AE23" s="246"/>
      <c r="AF23" s="246"/>
      <c r="AG23" s="246"/>
      <c r="AH23" s="246"/>
      <c r="AI23" s="246"/>
      <c r="AJ23" s="246"/>
      <c r="AK23" s="246"/>
      <c r="AL23" s="259">
        <f t="shared" ref="AL23:AV23" si="80">+AL22/AL$10</f>
        <v>0.10520639865795937</v>
      </c>
      <c r="AM23" s="259">
        <f t="shared" si="80"/>
        <v>0.10300156150598577</v>
      </c>
      <c r="AN23" s="259">
        <f t="shared" si="80"/>
        <v>0.10457665903890161</v>
      </c>
      <c r="AO23" s="248">
        <f t="shared" si="80"/>
        <v>0.10218582198839291</v>
      </c>
      <c r="AP23" s="248">
        <f t="shared" si="80"/>
        <v>0.10651516847643569</v>
      </c>
      <c r="AQ23" s="248">
        <f t="shared" si="80"/>
        <v>0.11003904071388734</v>
      </c>
      <c r="AR23" s="248">
        <f t="shared" si="80"/>
        <v>0.10410645143698533</v>
      </c>
      <c r="AS23" s="248">
        <f t="shared" si="80"/>
        <v>9.864545042549977E-2</v>
      </c>
      <c r="AT23" s="248">
        <f t="shared" si="80"/>
        <v>0.1102496425822061</v>
      </c>
      <c r="AU23" s="248">
        <f t="shared" si="80"/>
        <v>0.11095935314685315</v>
      </c>
      <c r="AV23" s="248">
        <f t="shared" si="80"/>
        <v>0.1116263844181352</v>
      </c>
      <c r="AW23" s="248">
        <f t="shared" ref="AW23:BB23" si="81">+AW22/AW$10</f>
        <v>0.10753997670231918</v>
      </c>
      <c r="AX23" s="248">
        <f t="shared" si="81"/>
        <v>0.11451487133786342</v>
      </c>
      <c r="AY23" s="248">
        <f t="shared" si="81"/>
        <v>0.11609483960948395</v>
      </c>
      <c r="AZ23" s="248">
        <f t="shared" si="81"/>
        <v>0.11582014072119613</v>
      </c>
      <c r="BA23" s="248">
        <f t="shared" si="81"/>
        <v>0.10922666666666667</v>
      </c>
      <c r="BB23" s="248">
        <f t="shared" si="81"/>
        <v>0.11632783829440205</v>
      </c>
      <c r="BC23" s="248">
        <f t="shared" ref="BC23:BD23" si="82">+BC22/BC$10</f>
        <v>0.11371161091448795</v>
      </c>
      <c r="BD23" s="248">
        <f t="shared" si="82"/>
        <v>0.11527873365450791</v>
      </c>
      <c r="BE23" s="248">
        <f t="shared" ref="BE23" si="83">+BE22/BE$10</f>
        <v>0.10547118785105056</v>
      </c>
      <c r="BF23" s="297">
        <f>+BE23</f>
        <v>0.10547118785105056</v>
      </c>
      <c r="BG23" s="297">
        <f t="shared" ref="BG23:BI23" si="84">+BF23</f>
        <v>0.10547118785105056</v>
      </c>
      <c r="BH23" s="297">
        <f t="shared" si="84"/>
        <v>0.10547118785105056</v>
      </c>
      <c r="BI23" s="297">
        <f t="shared" si="84"/>
        <v>0.10547118785105056</v>
      </c>
    </row>
    <row r="24" spans="2:63" s="248" customFormat="1" outlineLevel="1">
      <c r="B24" s="298" t="s">
        <v>342</v>
      </c>
      <c r="C24" s="296"/>
      <c r="D24" s="259"/>
      <c r="E24" s="259"/>
      <c r="F24" s="259"/>
      <c r="G24" s="259"/>
      <c r="H24" s="259"/>
      <c r="I24" s="259"/>
      <c r="J24" s="245"/>
      <c r="K24" s="245"/>
      <c r="L24" s="245"/>
      <c r="M24" s="245"/>
      <c r="N24" s="245"/>
      <c r="O24" s="245"/>
      <c r="P24" s="245"/>
      <c r="Q24" s="296"/>
      <c r="R24" s="296"/>
      <c r="S24" s="296"/>
      <c r="T24" s="296"/>
      <c r="U24" s="296"/>
      <c r="V24" s="296"/>
      <c r="W24" s="296"/>
      <c r="X24" s="296"/>
      <c r="Y24" s="296"/>
      <c r="Z24" s="296"/>
      <c r="AA24" s="296"/>
      <c r="AB24" s="296"/>
      <c r="AC24" s="296"/>
      <c r="AD24" s="296"/>
      <c r="AE24" s="296"/>
      <c r="AF24" s="296"/>
      <c r="AG24" s="296"/>
      <c r="AH24" s="296"/>
      <c r="AI24" s="296"/>
      <c r="AJ24" s="296"/>
      <c r="AK24" s="296"/>
      <c r="AL24" s="259"/>
      <c r="AM24" s="278">
        <f t="shared" ref="AM24:BE24" si="85">+AM22-AL22</f>
        <v>25</v>
      </c>
      <c r="AN24" s="278">
        <f t="shared" si="85"/>
        <v>47</v>
      </c>
      <c r="AO24" s="278">
        <f t="shared" si="85"/>
        <v>56</v>
      </c>
      <c r="AP24" s="278">
        <f t="shared" si="85"/>
        <v>19</v>
      </c>
      <c r="AQ24" s="278">
        <f t="shared" si="85"/>
        <v>70</v>
      </c>
      <c r="AR24" s="278">
        <f t="shared" si="85"/>
        <v>-64</v>
      </c>
      <c r="AS24" s="278">
        <f t="shared" si="85"/>
        <v>50</v>
      </c>
      <c r="AT24" s="278">
        <f t="shared" si="85"/>
        <v>46</v>
      </c>
      <c r="AU24" s="278">
        <f t="shared" si="85"/>
        <v>26</v>
      </c>
      <c r="AV24" s="278">
        <f t="shared" si="85"/>
        <v>15</v>
      </c>
      <c r="AW24" s="278">
        <f t="shared" si="85"/>
        <v>-15</v>
      </c>
      <c r="AX24" s="278">
        <f t="shared" si="85"/>
        <v>25</v>
      </c>
      <c r="AY24" s="278">
        <f t="shared" si="85"/>
        <v>25</v>
      </c>
      <c r="AZ24" s="278">
        <f t="shared" si="85"/>
        <v>26</v>
      </c>
      <c r="BA24" s="278">
        <f t="shared" si="85"/>
        <v>-59</v>
      </c>
      <c r="BB24" s="278">
        <f t="shared" si="85"/>
        <v>-51</v>
      </c>
      <c r="BC24" s="278">
        <f t="shared" si="85"/>
        <v>-5</v>
      </c>
      <c r="BD24" s="278">
        <f t="shared" si="85"/>
        <v>18</v>
      </c>
      <c r="BE24" s="278">
        <f t="shared" si="85"/>
        <v>18</v>
      </c>
      <c r="BF24" s="278">
        <f t="shared" ref="BF24" ca="1" si="86">+BF22-BE22</f>
        <v>-204.31611669487597</v>
      </c>
      <c r="BG24" s="278">
        <f t="shared" ref="BG24" ca="1" si="87">+BG22-BF22</f>
        <v>11.79416808631936</v>
      </c>
      <c r="BH24" s="278">
        <f t="shared" ref="BH24" ca="1" si="88">+BH22-BG22</f>
        <v>2.4357942381425346</v>
      </c>
      <c r="BI24" s="278">
        <f t="shared" ref="BI24" ca="1" si="89">+BI22-BH22</f>
        <v>175.30656597210782</v>
      </c>
    </row>
    <row r="25" spans="2:63" s="248" customFormat="1" outlineLevel="1">
      <c r="B25" s="298" t="s">
        <v>343</v>
      </c>
      <c r="C25" s="296"/>
      <c r="D25" s="259"/>
      <c r="E25" s="278">
        <f t="shared" ref="E25:J25" si="90">+E22-D22</f>
        <v>495</v>
      </c>
      <c r="F25" s="278">
        <f t="shared" si="90"/>
        <v>369</v>
      </c>
      <c r="G25" s="278">
        <f t="shared" si="90"/>
        <v>179</v>
      </c>
      <c r="H25" s="278">
        <f t="shared" si="90"/>
        <v>-265</v>
      </c>
      <c r="I25" s="278">
        <f t="shared" ca="1" si="90"/>
        <v>-516.70380807215315</v>
      </c>
      <c r="J25" s="278">
        <f t="shared" ca="1" si="90"/>
        <v>87.240928960930432</v>
      </c>
      <c r="K25" s="278">
        <f t="shared" ref="K25" ca="1" si="91">+K22-J22</f>
        <v>67.088997652055696</v>
      </c>
      <c r="L25" s="278">
        <f t="shared" ref="L25" ca="1" si="92">+L22-K22</f>
        <v>40.831854471606675</v>
      </c>
      <c r="M25" s="278">
        <f t="shared" ref="M25" ca="1" si="93">+M22-L22</f>
        <v>16.986216387304012</v>
      </c>
      <c r="N25" s="278">
        <f t="shared" ref="N25" ca="1" si="94">+N22-M22</f>
        <v>-16.642873325796245</v>
      </c>
      <c r="O25" s="278">
        <f t="shared" ref="O25" ca="1" si="95">+O22-N22</f>
        <v>-35.750512269341016</v>
      </c>
      <c r="P25" s="278">
        <f t="shared" ref="P25" ca="1" si="96">+P22-O22</f>
        <v>-52.833934657219288</v>
      </c>
      <c r="Q25" s="296"/>
      <c r="R25" s="296"/>
      <c r="S25" s="296"/>
      <c r="T25" s="296"/>
      <c r="U25" s="296"/>
      <c r="V25" s="296"/>
      <c r="W25" s="296"/>
      <c r="X25" s="296"/>
      <c r="Y25" s="296"/>
      <c r="Z25" s="296"/>
      <c r="AA25" s="296"/>
      <c r="AB25" s="296"/>
      <c r="AC25" s="296"/>
      <c r="AD25" s="296"/>
      <c r="AE25" s="296"/>
      <c r="AF25" s="296"/>
      <c r="AG25" s="296"/>
      <c r="AH25" s="296"/>
      <c r="AI25" s="296"/>
      <c r="AJ25" s="296"/>
      <c r="AK25" s="296"/>
      <c r="AL25" s="259"/>
      <c r="AM25" s="259"/>
      <c r="AN25" s="259"/>
      <c r="AP25" s="278">
        <f t="shared" ref="AP25:BE25" si="97">+AP22-AL22</f>
        <v>147</v>
      </c>
      <c r="AQ25" s="278">
        <f t="shared" si="97"/>
        <v>192</v>
      </c>
      <c r="AR25" s="278">
        <f t="shared" si="97"/>
        <v>81</v>
      </c>
      <c r="AS25" s="278">
        <f t="shared" si="97"/>
        <v>75</v>
      </c>
      <c r="AT25" s="278">
        <f t="shared" si="97"/>
        <v>102</v>
      </c>
      <c r="AU25" s="278">
        <f t="shared" si="97"/>
        <v>58</v>
      </c>
      <c r="AV25" s="278">
        <f t="shared" si="97"/>
        <v>137</v>
      </c>
      <c r="AW25" s="278">
        <f t="shared" si="97"/>
        <v>72</v>
      </c>
      <c r="AX25" s="278">
        <f t="shared" si="97"/>
        <v>51</v>
      </c>
      <c r="AY25" s="278">
        <f t="shared" si="97"/>
        <v>50</v>
      </c>
      <c r="AZ25" s="278">
        <f t="shared" si="97"/>
        <v>61</v>
      </c>
      <c r="BA25" s="278">
        <f t="shared" si="97"/>
        <v>17</v>
      </c>
      <c r="BB25" s="278">
        <f t="shared" si="97"/>
        <v>-59</v>
      </c>
      <c r="BC25" s="278">
        <f t="shared" si="97"/>
        <v>-89</v>
      </c>
      <c r="BD25" s="278">
        <f t="shared" si="97"/>
        <v>-97</v>
      </c>
      <c r="BE25" s="278">
        <f t="shared" si="97"/>
        <v>-20</v>
      </c>
      <c r="BF25" s="278">
        <f t="shared" ref="BF25" ca="1" si="98">+BF22-BB22</f>
        <v>-173.31611669487597</v>
      </c>
      <c r="BG25" s="278">
        <f t="shared" ref="BG25" ca="1" si="99">+BG22-BC22</f>
        <v>-156.52194860855661</v>
      </c>
      <c r="BH25" s="278">
        <f t="shared" ref="BH25" ca="1" si="100">+BH22-BD22</f>
        <v>-172.08615437041408</v>
      </c>
      <c r="BI25" s="278">
        <f t="shared" ref="BI25" ca="1" si="101">+BI22-BE22</f>
        <v>-14.779588398306259</v>
      </c>
    </row>
    <row r="26" spans="2:63">
      <c r="D26" s="300"/>
      <c r="E26" s="300"/>
      <c r="F26" s="300"/>
      <c r="G26" s="300"/>
      <c r="H26" s="300"/>
      <c r="I26" s="300"/>
    </row>
    <row r="27" spans="2:63" s="236" customFormat="1">
      <c r="B27" s="236" t="s">
        <v>275</v>
      </c>
      <c r="C27" s="247"/>
      <c r="D27" s="295">
        <f>SUM(AL27:AO27)</f>
        <v>0</v>
      </c>
      <c r="E27" s="295">
        <f>SUM(AP27:AS27)</f>
        <v>-1</v>
      </c>
      <c r="F27" s="295">
        <f>SUM(AT27:AW27)</f>
        <v>0</v>
      </c>
      <c r="G27" s="295">
        <f>SUM(AX27:BA27)</f>
        <v>0</v>
      </c>
      <c r="H27" s="295">
        <f>SUM(BB27:BE27)</f>
        <v>0</v>
      </c>
      <c r="I27" s="295">
        <f>SUM(BF27:BI27)</f>
        <v>0</v>
      </c>
      <c r="J27" s="261"/>
      <c r="K27" s="261"/>
      <c r="L27" s="261"/>
      <c r="M27" s="261"/>
      <c r="N27" s="261"/>
      <c r="O27" s="261"/>
      <c r="P27" s="261"/>
      <c r="Q27" s="247"/>
      <c r="R27" s="247"/>
      <c r="S27" s="247"/>
      <c r="T27" s="247"/>
      <c r="U27" s="247"/>
      <c r="V27" s="247"/>
      <c r="W27" s="247"/>
      <c r="X27" s="247"/>
      <c r="Y27" s="247"/>
      <c r="Z27" s="247"/>
      <c r="AA27" s="247"/>
      <c r="AB27" s="247"/>
      <c r="AC27" s="247"/>
      <c r="AD27" s="247"/>
      <c r="AE27" s="247"/>
      <c r="AF27" s="247"/>
      <c r="AG27" s="247"/>
      <c r="AH27" s="247"/>
      <c r="AI27" s="247"/>
      <c r="AJ27" s="247"/>
      <c r="AK27" s="247"/>
      <c r="AR27" s="261">
        <v>-1</v>
      </c>
      <c r="AS27" s="261"/>
      <c r="AT27" s="261"/>
      <c r="AU27" s="261"/>
      <c r="AV27" s="261"/>
      <c r="AW27" s="261"/>
      <c r="AX27" s="261"/>
      <c r="AY27" s="261"/>
      <c r="AZ27" s="261"/>
      <c r="BA27" s="261"/>
      <c r="BB27" s="261"/>
      <c r="BC27" s="261"/>
      <c r="BD27" s="261"/>
      <c r="BE27" s="261"/>
      <c r="BF27" s="261"/>
      <c r="BG27" s="261"/>
      <c r="BH27" s="261"/>
      <c r="BI27" s="261"/>
    </row>
    <row r="28" spans="2:63">
      <c r="C28" s="246"/>
      <c r="D28" s="300"/>
      <c r="E28" s="300"/>
      <c r="F28" s="300"/>
      <c r="G28" s="300"/>
      <c r="H28" s="300"/>
      <c r="I28" s="300"/>
      <c r="Q28" s="246"/>
      <c r="R28" s="246"/>
      <c r="S28" s="246"/>
      <c r="T28" s="246"/>
      <c r="U28" s="246"/>
      <c r="V28" s="246"/>
      <c r="W28" s="246"/>
      <c r="X28" s="246"/>
      <c r="Y28" s="246"/>
      <c r="Z28" s="246"/>
      <c r="AA28" s="246"/>
      <c r="AB28" s="246"/>
      <c r="AC28" s="246"/>
      <c r="AD28" s="246"/>
      <c r="AE28" s="246"/>
      <c r="AF28" s="246"/>
      <c r="AG28" s="246"/>
      <c r="AH28" s="246"/>
      <c r="AI28" s="246"/>
      <c r="AJ28" s="246"/>
      <c r="AK28" s="246"/>
    </row>
    <row r="29" spans="2:63" s="252" customFormat="1" ht="16.5" thickBot="1">
      <c r="B29" s="156" t="s">
        <v>4</v>
      </c>
      <c r="C29" s="167"/>
      <c r="D29" s="200">
        <f t="shared" ref="D29:J29" si="102">+D18-D22+D27</f>
        <v>18142</v>
      </c>
      <c r="E29" s="200">
        <f t="shared" si="102"/>
        <v>18476</v>
      </c>
      <c r="F29" s="200">
        <f t="shared" si="102"/>
        <v>21116</v>
      </c>
      <c r="G29" s="200">
        <f>+G18-G22+G27</f>
        <v>20736</v>
      </c>
      <c r="H29" s="200">
        <f>+H18-H22+H27</f>
        <v>20067</v>
      </c>
      <c r="I29" s="200">
        <f ca="1">+I18-I22+I27</f>
        <v>21846.345798560906</v>
      </c>
      <c r="J29" s="200">
        <f t="shared" ca="1" si="102"/>
        <v>22703.394531490656</v>
      </c>
      <c r="K29" s="200">
        <f t="shared" ref="K29:P29" ca="1" si="103">+K18-K22+K27</f>
        <v>22339.263823197831</v>
      </c>
      <c r="L29" s="200">
        <f t="shared" ca="1" si="103"/>
        <v>21900.690316383167</v>
      </c>
      <c r="M29" s="200">
        <f t="shared" ca="1" si="103"/>
        <v>21783.740685025215</v>
      </c>
      <c r="N29" s="200">
        <f t="shared" ca="1" si="103"/>
        <v>21574.906487156379</v>
      </c>
      <c r="O29" s="200">
        <f t="shared" ca="1" si="103"/>
        <v>21316.566007842765</v>
      </c>
      <c r="P29" s="200">
        <f t="shared" ca="1" si="103"/>
        <v>21015.369591165821</v>
      </c>
      <c r="Q29" s="247"/>
      <c r="R29" s="167"/>
      <c r="S29" s="167"/>
      <c r="T29" s="167"/>
      <c r="U29" s="167"/>
      <c r="V29" s="167"/>
      <c r="W29" s="167"/>
      <c r="X29" s="167"/>
      <c r="Y29" s="167"/>
      <c r="Z29" s="167"/>
      <c r="AA29" s="167"/>
      <c r="AB29" s="167"/>
      <c r="AC29" s="167"/>
      <c r="AD29" s="167"/>
      <c r="AE29" s="167"/>
      <c r="AF29" s="167"/>
      <c r="AG29" s="167"/>
      <c r="AH29" s="167"/>
      <c r="AI29" s="167"/>
      <c r="AJ29" s="167"/>
      <c r="AK29" s="167"/>
      <c r="AL29" s="156">
        <f t="shared" ref="AL29:AV29" si="104">+AL18-AL22+AL27</f>
        <v>4754</v>
      </c>
      <c r="AM29" s="156">
        <f t="shared" si="104"/>
        <v>4741</v>
      </c>
      <c r="AN29" s="156">
        <f t="shared" si="104"/>
        <v>4671</v>
      </c>
      <c r="AO29" s="156">
        <f t="shared" si="104"/>
        <v>3976</v>
      </c>
      <c r="AP29" s="156">
        <f t="shared" si="104"/>
        <v>5115</v>
      </c>
      <c r="AQ29" s="156">
        <f t="shared" si="104"/>
        <v>4580</v>
      </c>
      <c r="AR29" s="156">
        <f t="shared" si="104"/>
        <v>4915</v>
      </c>
      <c r="AS29" s="156">
        <f t="shared" si="104"/>
        <v>3866</v>
      </c>
      <c r="AT29" s="156">
        <f t="shared" si="104"/>
        <v>4919</v>
      </c>
      <c r="AU29" s="156">
        <f t="shared" si="104"/>
        <v>5877</v>
      </c>
      <c r="AV29" s="156">
        <f t="shared" si="104"/>
        <v>5810</v>
      </c>
      <c r="AW29" s="156">
        <f t="shared" ref="AW29:BB29" si="105">+AW18-AW22+AW27</f>
        <v>4510</v>
      </c>
      <c r="AX29" s="156">
        <f t="shared" si="105"/>
        <v>5316</v>
      </c>
      <c r="AY29" s="156">
        <f t="shared" si="105"/>
        <v>5375</v>
      </c>
      <c r="AZ29" s="156">
        <f t="shared" si="105"/>
        <v>5406</v>
      </c>
      <c r="BA29" s="156">
        <f t="shared" si="105"/>
        <v>4639</v>
      </c>
      <c r="BB29" s="156">
        <f t="shared" si="105"/>
        <v>5172</v>
      </c>
      <c r="BC29" s="156">
        <f t="shared" ref="BC29:BD29" si="106">+BC18-BC22+BC27</f>
        <v>5329</v>
      </c>
      <c r="BD29" s="156">
        <f t="shared" si="106"/>
        <v>5313</v>
      </c>
      <c r="BE29" s="156">
        <f t="shared" ref="BE29" si="107">+BE18-BE22+BE27</f>
        <v>4253</v>
      </c>
      <c r="BF29" s="156">
        <f t="shared" ref="BF29:BI29" ca="1" si="108">+BF18-BF22+BF27</f>
        <v>5720.4991562784253</v>
      </c>
      <c r="BG29" s="156">
        <f t="shared" ca="1" si="108"/>
        <v>5761.627057337404</v>
      </c>
      <c r="BH29" s="156">
        <f t="shared" ca="1" si="108"/>
        <v>5805.2634541539974</v>
      </c>
      <c r="BI29" s="156">
        <f t="shared" ca="1" si="108"/>
        <v>4558.9561307910762</v>
      </c>
      <c r="BK29" s="152"/>
    </row>
    <row r="30" spans="2:63" s="248" customFormat="1" ht="15.75" thickTop="1">
      <c r="B30" s="245" t="s">
        <v>258</v>
      </c>
      <c r="C30" s="266"/>
      <c r="D30" s="259">
        <f>+D29/D$10</f>
        <v>0.25954591625059015</v>
      </c>
      <c r="E30" s="259">
        <f t="shared" ref="E30:J30" si="109">+E29/E$10</f>
        <v>0.24970267055897935</v>
      </c>
      <c r="F30" s="259">
        <f t="shared" si="109"/>
        <v>0.28649345363272505</v>
      </c>
      <c r="G30" s="259">
        <f>+G29/G$10</f>
        <v>0.28475302453962453</v>
      </c>
      <c r="H30" s="259">
        <f>+H29/H$10</f>
        <v>0.28125131396375563</v>
      </c>
      <c r="I30" s="259">
        <f ca="1">+I29/I$10</f>
        <v>0.30680015577222697</v>
      </c>
      <c r="J30" s="259">
        <f t="shared" ca="1" si="109"/>
        <v>0.31816328707007085</v>
      </c>
      <c r="K30" s="259">
        <f t="shared" ref="K30:P30" ca="1" si="110">+K29/K$10</f>
        <v>0.31323474643980853</v>
      </c>
      <c r="L30" s="259">
        <f t="shared" ca="1" si="110"/>
        <v>0.3083001557722268</v>
      </c>
      <c r="M30" s="259">
        <f t="shared" ca="1" si="110"/>
        <v>0.30880015577222675</v>
      </c>
      <c r="N30" s="259">
        <f t="shared" ca="1" si="110"/>
        <v>0.30930015577222675</v>
      </c>
      <c r="O30" s="259">
        <f t="shared" ca="1" si="110"/>
        <v>0.30980015577222669</v>
      </c>
      <c r="P30" s="259">
        <f t="shared" ca="1" si="110"/>
        <v>0.31030015577222664</v>
      </c>
      <c r="Q30" s="266"/>
      <c r="R30" s="266"/>
      <c r="S30" s="266"/>
      <c r="T30" s="266"/>
      <c r="U30" s="266"/>
      <c r="V30" s="266"/>
      <c r="W30" s="266"/>
      <c r="X30" s="266"/>
      <c r="Y30" s="266"/>
      <c r="Z30" s="266"/>
      <c r="AA30" s="266"/>
      <c r="AB30" s="266"/>
      <c r="AC30" s="266"/>
      <c r="AD30" s="266"/>
      <c r="AE30" s="266"/>
      <c r="AF30" s="266"/>
      <c r="AG30" s="266"/>
      <c r="AH30" s="266"/>
      <c r="AI30" s="266"/>
      <c r="AJ30" s="266"/>
      <c r="AK30" s="266"/>
      <c r="AL30" s="259">
        <f t="shared" ref="AL30:AV30" si="111">+AL29/AL$10</f>
        <v>0.28482415673117251</v>
      </c>
      <c r="AM30" s="259">
        <f t="shared" si="111"/>
        <v>0.27418888439072348</v>
      </c>
      <c r="AN30" s="259">
        <f t="shared" si="111"/>
        <v>0.26721967963386728</v>
      </c>
      <c r="AO30" s="248">
        <f t="shared" si="111"/>
        <v>0.21565330585236209</v>
      </c>
      <c r="AP30" s="248">
        <f t="shared" si="111"/>
        <v>0.28629799619388785</v>
      </c>
      <c r="AQ30" s="248">
        <f t="shared" si="111"/>
        <v>0.25543781372002233</v>
      </c>
      <c r="AR30" s="248">
        <f t="shared" si="111"/>
        <v>0.26803730163058298</v>
      </c>
      <c r="AS30" s="248">
        <f t="shared" si="111"/>
        <v>0.19467244070698425</v>
      </c>
      <c r="AT30" s="248">
        <f t="shared" si="111"/>
        <v>0.27048278895853956</v>
      </c>
      <c r="AU30" s="248">
        <f t="shared" si="111"/>
        <v>0.32107736013986016</v>
      </c>
      <c r="AV30" s="248">
        <f t="shared" si="111"/>
        <v>0.31698401440340446</v>
      </c>
      <c r="AW30" s="248">
        <f t="shared" ref="AW30:BB30" si="112">+AW29/AW$10</f>
        <v>0.23880122842317061</v>
      </c>
      <c r="AX30" s="248">
        <f t="shared" si="112"/>
        <v>0.29609000779770522</v>
      </c>
      <c r="AY30" s="248">
        <f t="shared" si="112"/>
        <v>0.299860529986053</v>
      </c>
      <c r="AZ30" s="248">
        <f t="shared" si="112"/>
        <v>0.29716358839050133</v>
      </c>
      <c r="BA30" s="248">
        <f t="shared" si="112"/>
        <v>0.24741333333333335</v>
      </c>
      <c r="BB30" s="248">
        <f t="shared" si="112"/>
        <v>0.3012757033844003</v>
      </c>
      <c r="BC30" s="248">
        <f t="shared" ref="BC30:BD30" si="113">+BC29/BC$10</f>
        <v>0.30420139285306541</v>
      </c>
      <c r="BD30" s="248">
        <f t="shared" si="113"/>
        <v>0.30471438403303508</v>
      </c>
      <c r="BE30" s="248">
        <f t="shared" ref="BE30" si="114">+BE29/BE$10</f>
        <v>0.22118785105055128</v>
      </c>
      <c r="BF30" s="259">
        <f t="shared" ref="BF30:BI30" ca="1" si="115">+BF29/BF$10</f>
        <v>0.33084014539852724</v>
      </c>
      <c r="BG30" s="259">
        <f t="shared" ca="1" si="115"/>
        <v>0.33107758996706788</v>
      </c>
      <c r="BH30" s="259">
        <f t="shared" ca="1" si="115"/>
        <v>0.33314294560318347</v>
      </c>
      <c r="BI30" s="259">
        <f t="shared" ca="1" si="115"/>
        <v>0.23884047454735219</v>
      </c>
    </row>
    <row r="31" spans="2:63" s="248" customFormat="1">
      <c r="B31" s="245" t="s">
        <v>252</v>
      </c>
      <c r="C31" s="274"/>
      <c r="D31" s="259"/>
      <c r="E31" s="259">
        <f t="shared" ref="E31:J31" si="116">+E29/D29-1</f>
        <v>1.8410318597729125E-2</v>
      </c>
      <c r="F31" s="259">
        <f t="shared" si="116"/>
        <v>0.1428880710110414</v>
      </c>
      <c r="G31" s="259">
        <f t="shared" si="116"/>
        <v>-1.7995832544042467E-2</v>
      </c>
      <c r="H31" s="259">
        <f t="shared" si="116"/>
        <v>-3.226273148148151E-2</v>
      </c>
      <c r="I31" s="259">
        <f t="shared" ca="1" si="116"/>
        <v>8.8670244608606508E-2</v>
      </c>
      <c r="J31" s="259">
        <f t="shared" ca="1" si="116"/>
        <v>3.9230759268957804E-2</v>
      </c>
      <c r="K31" s="259">
        <f t="shared" ref="K31" ca="1" si="117">+K29/J29-1</f>
        <v>-1.6038601971513966E-2</v>
      </c>
      <c r="L31" s="259">
        <f t="shared" ref="L31" ca="1" si="118">+L29/K29-1</f>
        <v>-1.9632406434057836E-2</v>
      </c>
      <c r="M31" s="259">
        <f t="shared" ref="M31" ca="1" si="119">+M29/L29-1</f>
        <v>-5.3399974917898163E-3</v>
      </c>
      <c r="N31" s="259">
        <f t="shared" ref="N31" ca="1" si="120">+N29/M29-1</f>
        <v>-9.5867005069700806E-3</v>
      </c>
      <c r="O31" s="259">
        <f t="shared" ref="O31" ca="1" si="121">+O29/N29-1</f>
        <v>-1.1974118148201707E-2</v>
      </c>
      <c r="P31" s="259">
        <f t="shared" ref="P31" ca="1" si="122">+P29/O29-1</f>
        <v>-1.4129687519374712E-2</v>
      </c>
      <c r="Q31" s="274"/>
      <c r="R31" s="274"/>
      <c r="S31" s="274"/>
      <c r="T31" s="274"/>
      <c r="U31" s="274"/>
      <c r="V31" s="274"/>
      <c r="W31" s="274"/>
      <c r="X31" s="274"/>
      <c r="Y31" s="274"/>
      <c r="Z31" s="274"/>
      <c r="AA31" s="274"/>
      <c r="AB31" s="274"/>
      <c r="AC31" s="274"/>
      <c r="AD31" s="274"/>
      <c r="AE31" s="274"/>
      <c r="AF31" s="274"/>
      <c r="AG31" s="274"/>
      <c r="AH31" s="274"/>
      <c r="AI31" s="274"/>
      <c r="AJ31" s="274"/>
      <c r="AK31" s="274"/>
      <c r="AP31" s="248">
        <f>+AP29/AL29-1</f>
        <v>7.5936053849390062E-2</v>
      </c>
      <c r="AQ31" s="248">
        <f t="shared" ref="AQ31:BE31" si="123">+AQ29/AM29-1</f>
        <v>-3.3959080362792715E-2</v>
      </c>
      <c r="AR31" s="248">
        <f t="shared" si="123"/>
        <v>5.2237208306572525E-2</v>
      </c>
      <c r="AS31" s="248">
        <f t="shared" si="123"/>
        <v>-2.7665995975855173E-2</v>
      </c>
      <c r="AT31" s="248">
        <f t="shared" si="123"/>
        <v>-3.8318670576735103E-2</v>
      </c>
      <c r="AU31" s="248">
        <f t="shared" si="123"/>
        <v>0.28318777292576414</v>
      </c>
      <c r="AV31" s="248">
        <f t="shared" si="123"/>
        <v>0.18209562563580883</v>
      </c>
      <c r="AW31" s="248">
        <f t="shared" si="123"/>
        <v>0.1665804449042938</v>
      </c>
      <c r="AX31" s="248">
        <f t="shared" si="123"/>
        <v>8.0707460866029646E-2</v>
      </c>
      <c r="AY31" s="248">
        <f t="shared" si="123"/>
        <v>-8.5417730134422332E-2</v>
      </c>
      <c r="AZ31" s="248">
        <f t="shared" si="123"/>
        <v>-6.9535283993115371E-2</v>
      </c>
      <c r="BA31" s="248">
        <f t="shared" si="123"/>
        <v>2.8603104212860275E-2</v>
      </c>
      <c r="BB31" s="248">
        <f t="shared" si="123"/>
        <v>-2.7088036117381531E-2</v>
      </c>
      <c r="BC31" s="248">
        <f t="shared" si="123"/>
        <v>-8.558139534883713E-3</v>
      </c>
      <c r="BD31" s="248">
        <f t="shared" si="123"/>
        <v>-1.7203107658157579E-2</v>
      </c>
      <c r="BE31" s="248">
        <f t="shared" si="123"/>
        <v>-8.3207587842207387E-2</v>
      </c>
      <c r="BF31" s="248">
        <f t="shared" ref="BF31" ca="1" si="124">+BF29/BB29-1</f>
        <v>0.10605165434617669</v>
      </c>
      <c r="BG31" s="248">
        <f t="shared" ref="BG31" ca="1" si="125">+BG29/BC29-1</f>
        <v>8.1183534872847352E-2</v>
      </c>
      <c r="BH31" s="248">
        <f t="shared" ref="BH31" ca="1" si="126">+BH29/BD29-1</f>
        <v>9.2652635827968677E-2</v>
      </c>
      <c r="BI31" s="248">
        <f t="shared" ref="BI31" ca="1" si="127">+BI29/BE29-1</f>
        <v>7.1938897435005034E-2</v>
      </c>
    </row>
    <row r="32" spans="2:63" ht="15.75" thickBot="1">
      <c r="C32" s="246"/>
      <c r="Q32" s="246"/>
      <c r="R32" s="246"/>
      <c r="S32" s="246"/>
      <c r="T32" s="246"/>
      <c r="U32" s="246"/>
      <c r="V32" s="246"/>
      <c r="W32" s="246"/>
      <c r="X32" s="246"/>
      <c r="Y32" s="246"/>
      <c r="Z32" s="246"/>
      <c r="AA32" s="246"/>
      <c r="AB32" s="246"/>
      <c r="AC32" s="246"/>
      <c r="AD32" s="246"/>
      <c r="AE32" s="246"/>
      <c r="AF32" s="246"/>
      <c r="AG32" s="246"/>
      <c r="AH32" s="246"/>
      <c r="AI32" s="246"/>
      <c r="AJ32" s="246"/>
      <c r="AK32" s="246"/>
    </row>
    <row r="33" spans="2:63" s="251" customFormat="1" ht="15.75" thickBot="1">
      <c r="B33" s="194" t="s">
        <v>290</v>
      </c>
      <c r="C33" s="163"/>
      <c r="D33" s="195">
        <f>+D$6</f>
        <v>2013</v>
      </c>
      <c r="E33" s="196">
        <f t="shared" ref="E33:P33" si="128">+E$6</f>
        <v>2014</v>
      </c>
      <c r="F33" s="196">
        <f t="shared" si="128"/>
        <v>2015</v>
      </c>
      <c r="G33" s="196">
        <f t="shared" si="128"/>
        <v>2016</v>
      </c>
      <c r="H33" s="196">
        <f t="shared" si="128"/>
        <v>2017</v>
      </c>
      <c r="I33" s="196" t="str">
        <f t="shared" si="128"/>
        <v>2018E</v>
      </c>
      <c r="J33" s="196" t="str">
        <f t="shared" si="128"/>
        <v>2019E</v>
      </c>
      <c r="K33" s="196" t="str">
        <f t="shared" si="128"/>
        <v>2020E</v>
      </c>
      <c r="L33" s="196" t="str">
        <f t="shared" si="128"/>
        <v>2021E</v>
      </c>
      <c r="M33" s="196" t="str">
        <f t="shared" si="128"/>
        <v>2022E</v>
      </c>
      <c r="N33" s="196" t="str">
        <f t="shared" si="128"/>
        <v>2023E</v>
      </c>
      <c r="O33" s="196" t="str">
        <f t="shared" si="128"/>
        <v>2024E</v>
      </c>
      <c r="P33" s="197" t="str">
        <f t="shared" si="128"/>
        <v>2025E</v>
      </c>
      <c r="Q33" s="318"/>
      <c r="R33" s="196" t="s">
        <v>228</v>
      </c>
      <c r="S33" s="196" t="s">
        <v>229</v>
      </c>
      <c r="T33" s="196" t="s">
        <v>230</v>
      </c>
      <c r="U33" s="196" t="s">
        <v>231</v>
      </c>
      <c r="V33" s="196" t="s">
        <v>232</v>
      </c>
      <c r="W33" s="196" t="s">
        <v>233</v>
      </c>
      <c r="X33" s="196" t="s">
        <v>234</v>
      </c>
      <c r="Y33" s="196" t="s">
        <v>235</v>
      </c>
      <c r="Z33" s="196" t="s">
        <v>236</v>
      </c>
      <c r="AA33" s="196" t="s">
        <v>237</v>
      </c>
      <c r="AB33" s="196" t="s">
        <v>238</v>
      </c>
      <c r="AC33" s="196" t="s">
        <v>239</v>
      </c>
      <c r="AD33" s="196" t="s">
        <v>240</v>
      </c>
      <c r="AE33" s="196" t="s">
        <v>241</v>
      </c>
      <c r="AF33" s="196" t="s">
        <v>242</v>
      </c>
      <c r="AG33" s="196" t="s">
        <v>243</v>
      </c>
      <c r="AH33" s="196" t="s">
        <v>244</v>
      </c>
      <c r="AI33" s="196" t="s">
        <v>245</v>
      </c>
      <c r="AJ33" s="196" t="s">
        <v>246</v>
      </c>
      <c r="AK33" s="196" t="s">
        <v>247</v>
      </c>
      <c r="AL33" s="196" t="s">
        <v>248</v>
      </c>
      <c r="AM33" s="196" t="s">
        <v>249</v>
      </c>
      <c r="AN33" s="196" t="s">
        <v>250</v>
      </c>
      <c r="AO33" s="196" t="s">
        <v>251</v>
      </c>
      <c r="AP33" s="196" t="s">
        <v>156</v>
      </c>
      <c r="AQ33" s="196" t="s">
        <v>157</v>
      </c>
      <c r="AR33" s="196" t="s">
        <v>158</v>
      </c>
      <c r="AS33" s="196" t="s">
        <v>159</v>
      </c>
      <c r="AT33" s="196" t="str">
        <f>+AT$6</f>
        <v>1Q15</v>
      </c>
      <c r="AU33" s="196" t="str">
        <f t="shared" ref="AU33:BI33" si="129">+AU$6</f>
        <v>2Q15</v>
      </c>
      <c r="AV33" s="196" t="str">
        <f t="shared" si="129"/>
        <v>3Q15</v>
      </c>
      <c r="AW33" s="196" t="str">
        <f t="shared" si="129"/>
        <v>4Q15</v>
      </c>
      <c r="AX33" s="196" t="str">
        <f t="shared" si="129"/>
        <v>1Q16</v>
      </c>
      <c r="AY33" s="196" t="str">
        <f t="shared" si="129"/>
        <v>2Q16</v>
      </c>
      <c r="AZ33" s="196" t="str">
        <f t="shared" si="129"/>
        <v>3Q16</v>
      </c>
      <c r="BA33" s="196" t="str">
        <f t="shared" si="129"/>
        <v>4Q16</v>
      </c>
      <c r="BB33" s="196" t="str">
        <f t="shared" si="129"/>
        <v>1Q17</v>
      </c>
      <c r="BC33" s="196" t="str">
        <f t="shared" si="129"/>
        <v>2Q17</v>
      </c>
      <c r="BD33" s="196" t="str">
        <f t="shared" si="129"/>
        <v>3Q17</v>
      </c>
      <c r="BE33" s="196" t="str">
        <f t="shared" si="129"/>
        <v>4Q17</v>
      </c>
      <c r="BF33" s="196" t="str">
        <f t="shared" si="129"/>
        <v>1Q18E</v>
      </c>
      <c r="BG33" s="196" t="str">
        <f t="shared" si="129"/>
        <v>2Q18E</v>
      </c>
      <c r="BH33" s="196" t="str">
        <f t="shared" si="129"/>
        <v>3Q18E</v>
      </c>
      <c r="BI33" s="197" t="str">
        <f t="shared" si="129"/>
        <v>4Q18E</v>
      </c>
    </row>
    <row r="34" spans="2:63">
      <c r="C34" s="274"/>
      <c r="Q34" s="274"/>
      <c r="R34" s="274"/>
      <c r="S34" s="274"/>
      <c r="T34" s="274"/>
      <c r="U34" s="274"/>
      <c r="V34" s="274"/>
      <c r="W34" s="274"/>
      <c r="X34" s="274"/>
      <c r="Y34" s="274"/>
      <c r="Z34" s="274"/>
      <c r="AA34" s="274"/>
      <c r="AB34" s="274"/>
      <c r="AC34" s="274"/>
      <c r="AD34" s="274"/>
      <c r="AE34" s="274"/>
      <c r="AF34" s="274"/>
      <c r="AG34" s="274"/>
      <c r="AH34" s="274"/>
      <c r="AI34" s="274"/>
      <c r="AJ34" s="274"/>
      <c r="AK34" s="274"/>
      <c r="AV34" s="236"/>
      <c r="AW34" s="236"/>
      <c r="AX34" s="236"/>
      <c r="AY34" s="236"/>
      <c r="AZ34" s="236"/>
      <c r="BA34" s="236"/>
      <c r="BB34" s="236"/>
      <c r="BC34" s="236"/>
      <c r="BD34" s="236"/>
      <c r="BE34" s="236"/>
    </row>
    <row r="35" spans="2:63" s="236" customFormat="1">
      <c r="B35" s="236" t="s">
        <v>33</v>
      </c>
      <c r="C35" s="246"/>
      <c r="D35" s="236">
        <f>+AO35</f>
        <v>72638</v>
      </c>
      <c r="E35" s="236">
        <f>+AS35</f>
        <v>75770</v>
      </c>
      <c r="F35" s="236">
        <f>+AW35</f>
        <v>77105</v>
      </c>
      <c r="G35" s="236">
        <f>+BA35</f>
        <v>77783</v>
      </c>
      <c r="H35" s="236">
        <f>+BE35</f>
        <v>77875</v>
      </c>
      <c r="I35" s="236">
        <f ca="1">+BI35</f>
        <v>78642.799978004754</v>
      </c>
      <c r="J35" s="236">
        <f ca="1">+J67</f>
        <v>79136.86702076286</v>
      </c>
      <c r="K35" s="236">
        <f t="shared" ref="K35:P35" ca="1" si="130">+K67</f>
        <v>79388.639022555551</v>
      </c>
      <c r="L35" s="236">
        <f t="shared" ca="1" si="130"/>
        <v>79426.619094793175</v>
      </c>
      <c r="M35" s="236">
        <f t="shared" ca="1" si="130"/>
        <v>79276.599027684773</v>
      </c>
      <c r="N35" s="236">
        <f t="shared" ca="1" si="130"/>
        <v>78961.871110780659</v>
      </c>
      <c r="O35" s="236">
        <f t="shared" ca="1" si="130"/>
        <v>78503.428289506672</v>
      </c>
      <c r="P35" s="236">
        <f t="shared" ca="1" si="130"/>
        <v>77920.152729424022</v>
      </c>
      <c r="Q35" s="246"/>
      <c r="R35" s="261">
        <v>55717</v>
      </c>
      <c r="S35" s="261">
        <v>56718</v>
      </c>
      <c r="T35" s="261">
        <v>58355</v>
      </c>
      <c r="U35" s="261">
        <v>59653</v>
      </c>
      <c r="V35" s="261">
        <v>60535</v>
      </c>
      <c r="W35" s="261">
        <v>61647</v>
      </c>
      <c r="X35" s="261">
        <v>62961</v>
      </c>
      <c r="Y35" s="261">
        <v>64627</v>
      </c>
      <c r="Z35" s="261">
        <v>65108</v>
      </c>
      <c r="AA35" s="261">
        <v>66970</v>
      </c>
      <c r="AB35" s="261">
        <v>67688</v>
      </c>
      <c r="AC35" s="261">
        <v>68041</v>
      </c>
      <c r="AD35" s="261">
        <v>68062</v>
      </c>
      <c r="AE35" s="261">
        <v>68353</v>
      </c>
      <c r="AF35" s="261">
        <v>68614</v>
      </c>
      <c r="AG35" s="261">
        <v>69309</v>
      </c>
      <c r="AH35" s="261">
        <v>69403</v>
      </c>
      <c r="AI35" s="261">
        <v>69666</v>
      </c>
      <c r="AJ35" s="261">
        <v>69747</v>
      </c>
      <c r="AK35" s="261">
        <v>70497</v>
      </c>
      <c r="AL35" s="261">
        <v>70749</v>
      </c>
      <c r="AM35" s="261">
        <v>71278</v>
      </c>
      <c r="AN35" s="261">
        <v>72032</v>
      </c>
      <c r="AO35" s="261">
        <v>72638</v>
      </c>
      <c r="AP35" s="261">
        <v>73291</v>
      </c>
      <c r="AQ35" s="261">
        <v>74332</v>
      </c>
      <c r="AR35" s="261">
        <v>75105</v>
      </c>
      <c r="AS35" s="261">
        <v>75770</v>
      </c>
      <c r="AT35" s="261">
        <v>76175</v>
      </c>
      <c r="AU35" s="261">
        <v>76541</v>
      </c>
      <c r="AV35" s="261">
        <v>76671</v>
      </c>
      <c r="AW35" s="261">
        <v>77105</v>
      </c>
      <c r="AX35" s="261">
        <v>77138</v>
      </c>
      <c r="AY35" s="261">
        <v>77295</v>
      </c>
      <c r="AZ35" s="261">
        <v>77388</v>
      </c>
      <c r="BA35" s="261">
        <v>77783</v>
      </c>
      <c r="BB35" s="261">
        <v>77349</v>
      </c>
      <c r="BC35" s="261">
        <v>77401</v>
      </c>
      <c r="BD35" s="261">
        <v>77415</v>
      </c>
      <c r="BE35" s="261">
        <v>77875</v>
      </c>
      <c r="BF35" s="236">
        <f t="shared" ref="BF35:BI35" ca="1" si="131">+BF67</f>
        <v>77745.021082464082</v>
      </c>
      <c r="BG35" s="236">
        <f t="shared" ca="1" si="131"/>
        <v>77932.834810471875</v>
      </c>
      <c r="BH35" s="236">
        <f t="shared" ca="1" si="131"/>
        <v>78110.749252695925</v>
      </c>
      <c r="BI35" s="236">
        <f t="shared" ca="1" si="131"/>
        <v>78642.799978004754</v>
      </c>
    </row>
    <row r="36" spans="2:63" s="236" customFormat="1">
      <c r="B36" s="236" t="s">
        <v>34</v>
      </c>
      <c r="C36" s="246"/>
      <c r="D36" s="236">
        <f>+AO36</f>
        <v>5817</v>
      </c>
      <c r="E36" s="236">
        <f>+AS36</f>
        <v>9965</v>
      </c>
      <c r="F36" s="236">
        <f>+F98</f>
        <v>11548</v>
      </c>
      <c r="G36" s="236">
        <f>+G98</f>
        <v>13536</v>
      </c>
      <c r="H36" s="236">
        <f t="shared" ref="H36:H38" si="132">+BE36</f>
        <v>15335</v>
      </c>
      <c r="I36" s="236">
        <f t="shared" ref="I36:I38" si="133">+BI36</f>
        <v>15948</v>
      </c>
      <c r="J36" s="236">
        <f>+J98</f>
        <v>16461</v>
      </c>
      <c r="K36" s="236">
        <f t="shared" ref="K36:P36" si="134">+K98</f>
        <v>16874</v>
      </c>
      <c r="L36" s="236">
        <f t="shared" si="134"/>
        <v>17187</v>
      </c>
      <c r="M36" s="236">
        <f t="shared" si="134"/>
        <v>17400</v>
      </c>
      <c r="N36" s="236">
        <f t="shared" si="134"/>
        <v>17513</v>
      </c>
      <c r="O36" s="236">
        <f t="shared" si="134"/>
        <v>17526</v>
      </c>
      <c r="P36" s="236">
        <f t="shared" si="134"/>
        <v>17439</v>
      </c>
      <c r="Q36" s="246"/>
      <c r="R36" s="261">
        <v>6085</v>
      </c>
      <c r="S36" s="261">
        <v>6139</v>
      </c>
      <c r="T36" s="261">
        <v>6112</v>
      </c>
      <c r="U36" s="261">
        <v>6106</v>
      </c>
      <c r="V36" s="261">
        <v>5961</v>
      </c>
      <c r="W36" s="261">
        <v>5558</v>
      </c>
      <c r="X36" s="261">
        <v>5386</v>
      </c>
      <c r="Y36" s="261">
        <v>5350</v>
      </c>
      <c r="Z36" s="261">
        <v>5377</v>
      </c>
      <c r="AA36" s="261">
        <v>5881</v>
      </c>
      <c r="AB36" s="261">
        <v>6209</v>
      </c>
      <c r="AC36" s="261">
        <v>6524</v>
      </c>
      <c r="AD36" s="261">
        <v>6613</v>
      </c>
      <c r="AE36" s="261">
        <v>6750</v>
      </c>
      <c r="AF36" s="261">
        <v>7059</v>
      </c>
      <c r="AG36" s="261">
        <v>7225</v>
      </c>
      <c r="AH36" s="261">
        <v>7368</v>
      </c>
      <c r="AI36" s="261">
        <v>7473</v>
      </c>
      <c r="AJ36" s="261">
        <v>7545</v>
      </c>
      <c r="AK36" s="261">
        <v>7328</v>
      </c>
      <c r="AL36" s="261">
        <v>7104</v>
      </c>
      <c r="AM36" s="261">
        <v>5267</v>
      </c>
      <c r="AN36" s="261">
        <v>5726</v>
      </c>
      <c r="AO36" s="261">
        <v>5817</v>
      </c>
      <c r="AP36" s="261">
        <v>10411</v>
      </c>
      <c r="AQ36" s="261">
        <v>10082</v>
      </c>
      <c r="AR36" s="261">
        <v>10026</v>
      </c>
      <c r="AS36" s="261">
        <v>9965</v>
      </c>
      <c r="AT36" s="261">
        <v>10037</v>
      </c>
      <c r="AU36" s="261">
        <v>10438</v>
      </c>
      <c r="AV36" s="261">
        <v>10988</v>
      </c>
      <c r="AW36" s="261">
        <v>11548</v>
      </c>
      <c r="AX36" s="261">
        <v>12171</v>
      </c>
      <c r="AY36" s="261">
        <v>12633</v>
      </c>
      <c r="AZ36" s="261">
        <v>13035</v>
      </c>
      <c r="BA36" s="261">
        <v>13536</v>
      </c>
      <c r="BB36" s="261">
        <v>13844</v>
      </c>
      <c r="BC36" s="261">
        <v>14187</v>
      </c>
      <c r="BD36" s="261">
        <v>15136</v>
      </c>
      <c r="BE36" s="261">
        <v>15335</v>
      </c>
      <c r="BF36" s="236">
        <f t="shared" ref="BF36:BI36" si="135">+BF98</f>
        <v>15517</v>
      </c>
      <c r="BG36" s="236">
        <f t="shared" si="135"/>
        <v>15684</v>
      </c>
      <c r="BH36" s="236">
        <f t="shared" si="135"/>
        <v>15908</v>
      </c>
      <c r="BI36" s="236">
        <f t="shared" si="135"/>
        <v>15948</v>
      </c>
    </row>
    <row r="37" spans="2:63" s="236" customFormat="1">
      <c r="B37" s="236" t="s">
        <v>35</v>
      </c>
      <c r="C37" s="266"/>
      <c r="D37" s="236">
        <f>+AO37</f>
        <v>14028</v>
      </c>
      <c r="E37" s="236">
        <f>+AS37</f>
        <v>13855</v>
      </c>
      <c r="F37" s="236">
        <f>+AW37</f>
        <v>13774</v>
      </c>
      <c r="G37" s="236">
        <f>+BA37</f>
        <v>11949</v>
      </c>
      <c r="H37" s="236">
        <f t="shared" si="132"/>
        <v>9366</v>
      </c>
      <c r="I37" s="236">
        <f t="shared" si="133"/>
        <v>7366</v>
      </c>
      <c r="J37" s="236">
        <f>+J111</f>
        <v>7366</v>
      </c>
      <c r="K37" s="236">
        <f t="shared" ref="K37:P37" si="136">+K111</f>
        <v>7366</v>
      </c>
      <c r="L37" s="236">
        <f t="shared" si="136"/>
        <v>7366</v>
      </c>
      <c r="M37" s="236">
        <f t="shared" si="136"/>
        <v>7366</v>
      </c>
      <c r="N37" s="236">
        <f t="shared" si="136"/>
        <v>7366</v>
      </c>
      <c r="O37" s="236">
        <f t="shared" si="136"/>
        <v>7366</v>
      </c>
      <c r="P37" s="236">
        <f t="shared" si="136"/>
        <v>7366</v>
      </c>
      <c r="Q37" s="266"/>
      <c r="R37" s="261">
        <v>7750</v>
      </c>
      <c r="S37" s="261">
        <v>7865</v>
      </c>
      <c r="T37" s="261">
        <v>8005</v>
      </c>
      <c r="U37" s="261">
        <v>8589</v>
      </c>
      <c r="V37" s="261">
        <v>8931</v>
      </c>
      <c r="W37" s="261">
        <v>9286</v>
      </c>
      <c r="X37" s="261">
        <v>9934</v>
      </c>
      <c r="Y37" s="261">
        <v>10439</v>
      </c>
      <c r="Z37" s="261">
        <v>10717</v>
      </c>
      <c r="AA37" s="261">
        <v>10597</v>
      </c>
      <c r="AB37" s="261">
        <v>11021</v>
      </c>
      <c r="AC37" s="261">
        <v>11645</v>
      </c>
      <c r="AD37" s="261">
        <v>12241</v>
      </c>
      <c r="AE37" s="261">
        <v>12522</v>
      </c>
      <c r="AF37" s="261">
        <v>13028</v>
      </c>
      <c r="AG37" s="261">
        <v>13644</v>
      </c>
      <c r="AH37" s="261">
        <v>13869</v>
      </c>
      <c r="AI37" s="261">
        <v>14382</v>
      </c>
      <c r="AJ37" s="261">
        <v>14573</v>
      </c>
      <c r="AK37" s="261">
        <v>14875</v>
      </c>
      <c r="AL37" s="261">
        <v>14702</v>
      </c>
      <c r="AM37" s="261">
        <v>14330</v>
      </c>
      <c r="AN37" s="261">
        <v>14089</v>
      </c>
      <c r="AO37" s="261">
        <v>14028</v>
      </c>
      <c r="AP37" s="261">
        <v>13886</v>
      </c>
      <c r="AQ37" s="261">
        <v>13756</v>
      </c>
      <c r="AR37" s="261">
        <v>13884</v>
      </c>
      <c r="AS37" s="261">
        <v>13855</v>
      </c>
      <c r="AT37" s="261">
        <v>13595</v>
      </c>
      <c r="AU37" s="261">
        <v>13506</v>
      </c>
      <c r="AV37" s="261">
        <v>13729</v>
      </c>
      <c r="AW37" s="261">
        <v>13774</v>
      </c>
      <c r="AX37" s="261">
        <v>13378</v>
      </c>
      <c r="AY37" s="261">
        <v>12920</v>
      </c>
      <c r="AZ37" s="261">
        <v>12624</v>
      </c>
      <c r="BA37" s="261">
        <v>11949</v>
      </c>
      <c r="BB37" s="261">
        <v>10625</v>
      </c>
      <c r="BC37" s="261">
        <v>10254</v>
      </c>
      <c r="BD37" s="261">
        <v>9877</v>
      </c>
      <c r="BE37" s="261">
        <v>9366</v>
      </c>
      <c r="BF37" s="236">
        <f t="shared" ref="BF37:BI37" si="137">+BF111</f>
        <v>8866</v>
      </c>
      <c r="BG37" s="236">
        <f t="shared" si="137"/>
        <v>8366</v>
      </c>
      <c r="BH37" s="236">
        <f t="shared" si="137"/>
        <v>7866</v>
      </c>
      <c r="BI37" s="236">
        <f t="shared" si="137"/>
        <v>7366</v>
      </c>
    </row>
    <row r="38" spans="2:63" s="236" customFormat="1">
      <c r="B38" s="236" t="s">
        <v>36</v>
      </c>
      <c r="C38" s="276"/>
      <c r="D38" s="236">
        <f>+AO38</f>
        <v>17893</v>
      </c>
      <c r="E38" s="236">
        <f>+AS38</f>
        <v>20964</v>
      </c>
      <c r="F38" s="236">
        <f>+AW38</f>
        <v>26213</v>
      </c>
      <c r="G38" s="236">
        <f>+BA38</f>
        <v>31591</v>
      </c>
      <c r="H38" s="236">
        <f t="shared" si="132"/>
        <v>38991</v>
      </c>
      <c r="I38" s="236">
        <f t="shared" si="133"/>
        <v>43991</v>
      </c>
      <c r="J38" s="236">
        <f>+J113</f>
        <v>48991</v>
      </c>
      <c r="K38" s="236">
        <f t="shared" ref="K38:P38" si="138">+K113</f>
        <v>53991</v>
      </c>
      <c r="L38" s="236">
        <f t="shared" si="138"/>
        <v>58991</v>
      </c>
      <c r="M38" s="236">
        <f t="shared" si="138"/>
        <v>63991</v>
      </c>
      <c r="N38" s="236">
        <f t="shared" si="138"/>
        <v>68991</v>
      </c>
      <c r="O38" s="236">
        <f t="shared" si="138"/>
        <v>73991</v>
      </c>
      <c r="P38" s="236">
        <f t="shared" si="138"/>
        <v>78991</v>
      </c>
      <c r="Q38" s="276"/>
      <c r="R38" s="261">
        <v>1815</v>
      </c>
      <c r="S38" s="261">
        <v>2160</v>
      </c>
      <c r="T38" s="261">
        <v>2399</v>
      </c>
      <c r="U38" s="261">
        <v>2661</v>
      </c>
      <c r="V38" s="261">
        <v>2805</v>
      </c>
      <c r="W38" s="261">
        <v>3109</v>
      </c>
      <c r="X38" s="261">
        <v>3315</v>
      </c>
      <c r="Y38" s="261">
        <v>4704</v>
      </c>
      <c r="Z38" s="261">
        <v>5785</v>
      </c>
      <c r="AA38" s="261">
        <v>6682</v>
      </c>
      <c r="AB38" s="261">
        <v>7843</v>
      </c>
      <c r="AC38" s="261">
        <v>9326</v>
      </c>
      <c r="AD38" s="261">
        <v>10603</v>
      </c>
      <c r="AE38" s="261">
        <v>10990</v>
      </c>
      <c r="AF38" s="261">
        <v>12037</v>
      </c>
      <c r="AG38" s="261">
        <v>13069</v>
      </c>
      <c r="AH38" s="261">
        <v>13300</v>
      </c>
      <c r="AI38" s="261">
        <v>13685</v>
      </c>
      <c r="AJ38" s="261">
        <v>14006</v>
      </c>
      <c r="AK38" s="261">
        <v>14257</v>
      </c>
      <c r="AL38" s="261">
        <v>14696</v>
      </c>
      <c r="AM38" s="261">
        <v>17008</v>
      </c>
      <c r="AN38" s="261">
        <v>17613</v>
      </c>
      <c r="AO38" s="261">
        <v>17893</v>
      </c>
      <c r="AP38" s="261">
        <v>18426</v>
      </c>
      <c r="AQ38" s="261">
        <v>18464</v>
      </c>
      <c r="AR38" s="261">
        <v>19635</v>
      </c>
      <c r="AS38" s="261">
        <v>20964</v>
      </c>
      <c r="AT38" s="261">
        <v>21965</v>
      </c>
      <c r="AU38" s="261">
        <v>23417</v>
      </c>
      <c r="AV38" s="261">
        <v>25018</v>
      </c>
      <c r="AW38" s="261">
        <v>26213</v>
      </c>
      <c r="AX38" s="261">
        <v>27758</v>
      </c>
      <c r="AY38" s="261">
        <v>28957</v>
      </c>
      <c r="AZ38" s="261">
        <v>30291</v>
      </c>
      <c r="BA38" s="261">
        <v>31591</v>
      </c>
      <c r="BB38" s="261">
        <v>32400</v>
      </c>
      <c r="BC38" s="261">
        <v>34658</v>
      </c>
      <c r="BD38" s="261">
        <v>36398</v>
      </c>
      <c r="BE38" s="261">
        <v>38991</v>
      </c>
      <c r="BF38" s="236">
        <f t="shared" ref="BF38:BI38" si="139">+BF113</f>
        <v>40241</v>
      </c>
      <c r="BG38" s="236">
        <f t="shared" si="139"/>
        <v>41491</v>
      </c>
      <c r="BH38" s="236">
        <f t="shared" si="139"/>
        <v>42741</v>
      </c>
      <c r="BI38" s="236">
        <f t="shared" si="139"/>
        <v>43991</v>
      </c>
    </row>
    <row r="39" spans="2:63" s="236" customFormat="1" ht="15.75" thickBot="1">
      <c r="B39" s="347" t="s">
        <v>286</v>
      </c>
      <c r="C39" s="266"/>
      <c r="D39" s="354">
        <f>SUM(D35:D38)</f>
        <v>110376</v>
      </c>
      <c r="E39" s="354">
        <f t="shared" ref="E39:J39" si="140">SUM(E35:E38)</f>
        <v>120554</v>
      </c>
      <c r="F39" s="354">
        <f t="shared" si="140"/>
        <v>128640</v>
      </c>
      <c r="G39" s="354">
        <f>SUM(G35:G38)</f>
        <v>134859</v>
      </c>
      <c r="H39" s="354">
        <f>SUM(H35:H38)</f>
        <v>141567</v>
      </c>
      <c r="I39" s="354">
        <f ca="1">SUM(I35:I38)</f>
        <v>145947.79997800477</v>
      </c>
      <c r="J39" s="354">
        <f t="shared" ca="1" si="140"/>
        <v>151954.86702076287</v>
      </c>
      <c r="K39" s="354">
        <f t="shared" ref="K39:P39" ca="1" si="141">SUM(K35:K38)</f>
        <v>157619.63902255555</v>
      </c>
      <c r="L39" s="354">
        <f t="shared" ca="1" si="141"/>
        <v>162970.61909479316</v>
      </c>
      <c r="M39" s="354">
        <f t="shared" ca="1" si="141"/>
        <v>168033.59902768477</v>
      </c>
      <c r="N39" s="354">
        <f t="shared" ca="1" si="141"/>
        <v>172831.87111078066</v>
      </c>
      <c r="O39" s="354">
        <f t="shared" ca="1" si="141"/>
        <v>177386.42828950667</v>
      </c>
      <c r="P39" s="354">
        <f t="shared" ca="1" si="141"/>
        <v>181716.15272942401</v>
      </c>
      <c r="Q39" s="266"/>
      <c r="R39" s="354">
        <f t="shared" ref="R39:AO39" si="142">SUM(R35:R38)</f>
        <v>71367</v>
      </c>
      <c r="S39" s="354">
        <f t="shared" si="142"/>
        <v>72882</v>
      </c>
      <c r="T39" s="354">
        <f t="shared" si="142"/>
        <v>74871</v>
      </c>
      <c r="U39" s="354">
        <f t="shared" si="142"/>
        <v>77009</v>
      </c>
      <c r="V39" s="354">
        <f t="shared" si="142"/>
        <v>78232</v>
      </c>
      <c r="W39" s="354">
        <f t="shared" si="142"/>
        <v>79600</v>
      </c>
      <c r="X39" s="354">
        <f t="shared" si="142"/>
        <v>81596</v>
      </c>
      <c r="Y39" s="354">
        <f t="shared" si="142"/>
        <v>85120</v>
      </c>
      <c r="Z39" s="354">
        <f t="shared" si="142"/>
        <v>86987</v>
      </c>
      <c r="AA39" s="354">
        <f t="shared" si="142"/>
        <v>90130</v>
      </c>
      <c r="AB39" s="354">
        <f t="shared" si="142"/>
        <v>92761</v>
      </c>
      <c r="AC39" s="354">
        <f t="shared" si="142"/>
        <v>95536</v>
      </c>
      <c r="AD39" s="354">
        <f t="shared" si="142"/>
        <v>97519</v>
      </c>
      <c r="AE39" s="354">
        <f t="shared" si="142"/>
        <v>98615</v>
      </c>
      <c r="AF39" s="354">
        <f t="shared" si="142"/>
        <v>100738</v>
      </c>
      <c r="AG39" s="354">
        <f t="shared" si="142"/>
        <v>103247</v>
      </c>
      <c r="AH39" s="354">
        <f t="shared" si="142"/>
        <v>103940</v>
      </c>
      <c r="AI39" s="354">
        <f t="shared" si="142"/>
        <v>105206</v>
      </c>
      <c r="AJ39" s="354">
        <f t="shared" si="142"/>
        <v>105871</v>
      </c>
      <c r="AK39" s="354">
        <f t="shared" si="142"/>
        <v>106957</v>
      </c>
      <c r="AL39" s="354">
        <f t="shared" si="142"/>
        <v>107251</v>
      </c>
      <c r="AM39" s="354">
        <f t="shared" si="142"/>
        <v>107883</v>
      </c>
      <c r="AN39" s="354">
        <f t="shared" si="142"/>
        <v>109460</v>
      </c>
      <c r="AO39" s="354">
        <f t="shared" si="142"/>
        <v>110376</v>
      </c>
      <c r="AP39" s="354">
        <f t="shared" ref="AP39:AV39" si="143">SUM(AP35:AP38)</f>
        <v>116014</v>
      </c>
      <c r="AQ39" s="354">
        <f t="shared" si="143"/>
        <v>116634</v>
      </c>
      <c r="AR39" s="354">
        <f t="shared" si="143"/>
        <v>118650</v>
      </c>
      <c r="AS39" s="354">
        <f t="shared" si="143"/>
        <v>120554</v>
      </c>
      <c r="AT39" s="354">
        <f t="shared" si="143"/>
        <v>121772</v>
      </c>
      <c r="AU39" s="354">
        <f t="shared" si="143"/>
        <v>123902</v>
      </c>
      <c r="AV39" s="354">
        <f t="shared" si="143"/>
        <v>126406</v>
      </c>
      <c r="AW39" s="354">
        <f t="shared" ref="AW39:BB39" si="144">SUM(AW35:AW38)</f>
        <v>128640</v>
      </c>
      <c r="AX39" s="354">
        <f t="shared" si="144"/>
        <v>130445</v>
      </c>
      <c r="AY39" s="354">
        <f t="shared" si="144"/>
        <v>131805</v>
      </c>
      <c r="AZ39" s="354">
        <f t="shared" si="144"/>
        <v>133338</v>
      </c>
      <c r="BA39" s="354">
        <f t="shared" si="144"/>
        <v>134859</v>
      </c>
      <c r="BB39" s="354">
        <f t="shared" si="144"/>
        <v>134218</v>
      </c>
      <c r="BC39" s="354">
        <f t="shared" ref="BC39:BD39" si="145">SUM(BC35:BC38)</f>
        <v>136500</v>
      </c>
      <c r="BD39" s="354">
        <f t="shared" si="145"/>
        <v>138826</v>
      </c>
      <c r="BE39" s="354">
        <f t="shared" ref="BE39" si="146">SUM(BE35:BE38)</f>
        <v>141567</v>
      </c>
      <c r="BF39" s="354">
        <f t="shared" ref="BF39:BI39" ca="1" si="147">SUM(BF35:BF38)</f>
        <v>142369.02108246408</v>
      </c>
      <c r="BG39" s="354">
        <f t="shared" ca="1" si="147"/>
        <v>143473.83481047186</v>
      </c>
      <c r="BH39" s="354">
        <f t="shared" ca="1" si="147"/>
        <v>144625.74925269594</v>
      </c>
      <c r="BI39" s="354">
        <f t="shared" ca="1" si="147"/>
        <v>145947.79997800477</v>
      </c>
    </row>
    <row r="40" spans="2:63" ht="15.75" thickTop="1">
      <c r="C40" s="274"/>
      <c r="Q40" s="274"/>
      <c r="R40" s="235"/>
      <c r="S40" s="235"/>
      <c r="T40" s="235"/>
      <c r="U40" s="235"/>
      <c r="V40" s="235"/>
      <c r="W40" s="235"/>
      <c r="X40" s="235"/>
      <c r="Y40" s="235"/>
      <c r="Z40" s="235"/>
      <c r="AA40" s="235"/>
      <c r="AB40" s="235"/>
      <c r="AC40" s="235"/>
      <c r="AD40" s="235"/>
      <c r="AE40" s="235"/>
      <c r="AF40" s="235"/>
      <c r="AG40" s="235"/>
      <c r="AH40" s="235"/>
      <c r="AI40" s="235"/>
      <c r="AJ40" s="235"/>
      <c r="AK40" s="235"/>
      <c r="AO40" s="236"/>
      <c r="AP40" s="236"/>
      <c r="AQ40" s="236"/>
      <c r="AR40" s="236"/>
      <c r="AS40" s="236"/>
      <c r="AT40" s="236"/>
      <c r="AU40" s="236"/>
      <c r="AV40" s="236"/>
      <c r="AW40" s="236"/>
      <c r="AX40" s="236"/>
      <c r="AY40" s="236"/>
      <c r="AZ40" s="236"/>
      <c r="BA40" s="236"/>
      <c r="BB40" s="236"/>
      <c r="BC40" s="236"/>
      <c r="BD40" s="236"/>
      <c r="BE40" s="236"/>
    </row>
    <row r="41" spans="2:63" s="236" customFormat="1" ht="15.75">
      <c r="B41" s="236" t="s">
        <v>33</v>
      </c>
      <c r="C41" s="274"/>
      <c r="D41" s="236">
        <f>SUM(AL41:AO41)</f>
        <v>1776</v>
      </c>
      <c r="E41" s="295">
        <f>SUM(AP41:AS41)</f>
        <v>3290</v>
      </c>
      <c r="F41" s="295">
        <f>SUM(AT41:AW41)</f>
        <v>1666</v>
      </c>
      <c r="G41" s="295">
        <f>SUM(AX41:BA41)</f>
        <v>1118</v>
      </c>
      <c r="H41" s="295">
        <f>SUM(BB41:BE41)</f>
        <v>594</v>
      </c>
      <c r="I41" s="295">
        <f ca="1">SUM(BF41:BI41)</f>
        <v>767.79997800475394</v>
      </c>
      <c r="J41" s="236">
        <f ca="1">+J68</f>
        <v>494.06704275810625</v>
      </c>
      <c r="K41" s="236">
        <f t="shared" ref="K41:P41" ca="1" si="148">+K68</f>
        <v>251.7720017926913</v>
      </c>
      <c r="L41" s="236">
        <f t="shared" ca="1" si="148"/>
        <v>37.980072237623972</v>
      </c>
      <c r="M41" s="236">
        <f t="shared" ca="1" si="148"/>
        <v>-150.02006710840215</v>
      </c>
      <c r="N41" s="236">
        <f t="shared" ca="1" si="148"/>
        <v>-314.72791690411395</v>
      </c>
      <c r="O41" s="236">
        <f t="shared" ca="1" si="148"/>
        <v>-458.44282127398765</v>
      </c>
      <c r="P41" s="236">
        <f t="shared" ca="1" si="148"/>
        <v>-583.27556008264946</v>
      </c>
      <c r="Q41" s="274"/>
      <c r="R41" s="261">
        <v>741</v>
      </c>
      <c r="S41" s="261">
        <v>867</v>
      </c>
      <c r="T41" s="261">
        <v>1639</v>
      </c>
      <c r="U41" s="261">
        <v>1276</v>
      </c>
      <c r="V41" s="261">
        <v>897</v>
      </c>
      <c r="W41" s="261">
        <v>1128</v>
      </c>
      <c r="X41" s="261">
        <v>1333</v>
      </c>
      <c r="Y41" s="261">
        <v>841</v>
      </c>
      <c r="Z41" s="261">
        <v>512</v>
      </c>
      <c r="AA41" s="261">
        <v>496</v>
      </c>
      <c r="AB41" s="261">
        <v>745</v>
      </c>
      <c r="AC41" s="261">
        <v>400</v>
      </c>
      <c r="AD41" s="261">
        <v>62</v>
      </c>
      <c r="AE41" s="261">
        <v>331</v>
      </c>
      <c r="AF41" s="261">
        <v>319</v>
      </c>
      <c r="AG41" s="261">
        <v>717</v>
      </c>
      <c r="AH41" s="261">
        <v>187</v>
      </c>
      <c r="AI41" s="261">
        <v>320</v>
      </c>
      <c r="AJ41" s="261">
        <v>151</v>
      </c>
      <c r="AK41" s="261">
        <v>780</v>
      </c>
      <c r="AL41" s="261">
        <v>296</v>
      </c>
      <c r="AM41" s="261">
        <v>551</v>
      </c>
      <c r="AN41" s="261">
        <v>363</v>
      </c>
      <c r="AO41" s="261">
        <v>566</v>
      </c>
      <c r="AP41" s="261">
        <v>625</v>
      </c>
      <c r="AQ41" s="261">
        <v>1026</v>
      </c>
      <c r="AR41" s="261">
        <v>785</v>
      </c>
      <c r="AS41" s="261">
        <v>854</v>
      </c>
      <c r="AT41" s="261">
        <v>441</v>
      </c>
      <c r="AU41" s="261">
        <v>410</v>
      </c>
      <c r="AV41" s="261">
        <v>289</v>
      </c>
      <c r="AW41" s="261">
        <v>526</v>
      </c>
      <c r="AX41" s="261">
        <v>129</v>
      </c>
      <c r="AY41" s="261">
        <v>257</v>
      </c>
      <c r="AZ41" s="261">
        <v>212</v>
      </c>
      <c r="BA41" s="261">
        <v>520</v>
      </c>
      <c r="BB41" s="261">
        <v>-191</v>
      </c>
      <c r="BC41" s="261">
        <v>127</v>
      </c>
      <c r="BD41" s="261">
        <v>117</v>
      </c>
      <c r="BE41" s="261">
        <v>541</v>
      </c>
      <c r="BF41" s="236">
        <f ca="1">+BF68</f>
        <v>-129.9789175359183</v>
      </c>
      <c r="BG41" s="236">
        <f t="shared" ref="BG41:BI41" ca="1" si="149">+BG68</f>
        <v>187.81372800779354</v>
      </c>
      <c r="BH41" s="236">
        <f t="shared" ca="1" si="149"/>
        <v>177.91444222404971</v>
      </c>
      <c r="BI41" s="236">
        <f t="shared" ca="1" si="149"/>
        <v>532.05072530882899</v>
      </c>
      <c r="BK41" s="152"/>
    </row>
    <row r="42" spans="2:63" s="236" customFormat="1" ht="15.75">
      <c r="B42" s="236" t="s">
        <v>34</v>
      </c>
      <c r="C42" s="274"/>
      <c r="D42" s="236">
        <f>SUM(AL42:AO42)</f>
        <v>268</v>
      </c>
      <c r="E42" s="295">
        <f>SUM(AP42:AS42)</f>
        <v>-311</v>
      </c>
      <c r="F42" s="295">
        <f>+F99</f>
        <v>1364</v>
      </c>
      <c r="G42" s="295">
        <f>+G99</f>
        <v>1575</v>
      </c>
      <c r="H42" s="295">
        <f>+H99</f>
        <v>1013</v>
      </c>
      <c r="I42" s="295">
        <f>+I99</f>
        <v>613</v>
      </c>
      <c r="J42" s="295">
        <f>+J99</f>
        <v>513</v>
      </c>
      <c r="K42" s="295">
        <f t="shared" ref="K42:P42" si="150">+K99</f>
        <v>413</v>
      </c>
      <c r="L42" s="295">
        <f t="shared" si="150"/>
        <v>313</v>
      </c>
      <c r="M42" s="295">
        <f t="shared" si="150"/>
        <v>213</v>
      </c>
      <c r="N42" s="295">
        <f t="shared" si="150"/>
        <v>113</v>
      </c>
      <c r="O42" s="295">
        <f t="shared" si="150"/>
        <v>13</v>
      </c>
      <c r="P42" s="295">
        <f t="shared" si="150"/>
        <v>-87</v>
      </c>
      <c r="Q42" s="274"/>
      <c r="R42" s="261">
        <v>118</v>
      </c>
      <c r="S42" s="261">
        <v>12</v>
      </c>
      <c r="T42" s="261">
        <v>-36</v>
      </c>
      <c r="U42" s="261">
        <v>-23</v>
      </c>
      <c r="V42" s="261">
        <v>-155</v>
      </c>
      <c r="W42" s="261">
        <v>-412</v>
      </c>
      <c r="X42" s="261">
        <v>-176</v>
      </c>
      <c r="Y42" s="261">
        <v>-58</v>
      </c>
      <c r="Z42" s="261">
        <v>24</v>
      </c>
      <c r="AA42" s="261">
        <v>300</v>
      </c>
      <c r="AB42" s="261">
        <v>321</v>
      </c>
      <c r="AC42" s="261">
        <v>307</v>
      </c>
      <c r="AD42" s="261">
        <v>85</v>
      </c>
      <c r="AE42" s="261">
        <v>137</v>
      </c>
      <c r="AF42" s="261">
        <v>293</v>
      </c>
      <c r="AG42" s="261">
        <v>159</v>
      </c>
      <c r="AH42" s="261">
        <v>125</v>
      </c>
      <c r="AI42" s="261">
        <v>92</v>
      </c>
      <c r="AJ42" s="261">
        <v>77</v>
      </c>
      <c r="AK42" s="261">
        <v>-166</v>
      </c>
      <c r="AL42" s="261">
        <v>-184</v>
      </c>
      <c r="AM42" s="261">
        <v>95</v>
      </c>
      <c r="AN42" s="261">
        <v>284</v>
      </c>
      <c r="AO42" s="261">
        <v>73</v>
      </c>
      <c r="AP42" s="261">
        <v>88</v>
      </c>
      <c r="AQ42" s="261">
        <v>-286</v>
      </c>
      <c r="AR42" s="261">
        <v>-46</v>
      </c>
      <c r="AS42" s="261">
        <v>-67</v>
      </c>
      <c r="AT42" s="261">
        <v>98</v>
      </c>
      <c r="AU42" s="261">
        <v>331</v>
      </c>
      <c r="AV42" s="261">
        <v>466</v>
      </c>
      <c r="AW42" s="261">
        <v>469</v>
      </c>
      <c r="AX42" s="261">
        <v>500</v>
      </c>
      <c r="AY42" s="261">
        <v>365</v>
      </c>
      <c r="AZ42" s="261">
        <v>304</v>
      </c>
      <c r="BA42" s="261">
        <v>406</v>
      </c>
      <c r="BB42" s="261">
        <v>282</v>
      </c>
      <c r="BC42" s="261">
        <v>267</v>
      </c>
      <c r="BD42" s="261">
        <v>324</v>
      </c>
      <c r="BE42" s="261">
        <v>140</v>
      </c>
      <c r="BF42" s="236">
        <f t="shared" ref="BF42:BI42" si="151">+BF99</f>
        <v>182</v>
      </c>
      <c r="BG42" s="236">
        <f t="shared" si="151"/>
        <v>167</v>
      </c>
      <c r="BH42" s="236">
        <f t="shared" si="151"/>
        <v>224</v>
      </c>
      <c r="BI42" s="236">
        <f t="shared" si="151"/>
        <v>40</v>
      </c>
      <c r="BK42" s="152"/>
    </row>
    <row r="43" spans="2:63" s="236" customFormat="1" ht="15.75">
      <c r="B43" s="236" t="s">
        <v>35</v>
      </c>
      <c r="C43" s="247"/>
      <c r="D43" s="236">
        <f>SUM(AL43:AO43)</f>
        <v>-1074</v>
      </c>
      <c r="E43" s="295">
        <f>SUM(AP43:AS43)</f>
        <v>-346</v>
      </c>
      <c r="F43" s="295">
        <f>SUM(AT43:AW43)</f>
        <v>-155</v>
      </c>
      <c r="G43" s="295">
        <f>SUM(AX43:BA43)</f>
        <v>-1846</v>
      </c>
      <c r="H43" s="295">
        <f>SUM(BB43:BE43)</f>
        <v>-1871</v>
      </c>
      <c r="I43" s="295">
        <f>SUM(BF43:BI43)</f>
        <v>-2000</v>
      </c>
      <c r="J43" s="236">
        <f>+J112</f>
        <v>0</v>
      </c>
      <c r="K43" s="236">
        <f t="shared" ref="K43:P43" si="152">+K112</f>
        <v>0</v>
      </c>
      <c r="L43" s="236">
        <f t="shared" si="152"/>
        <v>0</v>
      </c>
      <c r="M43" s="236">
        <f t="shared" si="152"/>
        <v>0</v>
      </c>
      <c r="N43" s="236">
        <f t="shared" si="152"/>
        <v>0</v>
      </c>
      <c r="O43" s="236">
        <f t="shared" si="152"/>
        <v>0</v>
      </c>
      <c r="P43" s="236">
        <f t="shared" si="152"/>
        <v>0</v>
      </c>
      <c r="Q43" s="247"/>
      <c r="R43" s="261">
        <v>280</v>
      </c>
      <c r="S43" s="261">
        <v>109</v>
      </c>
      <c r="T43" s="261">
        <v>134</v>
      </c>
      <c r="U43" s="261">
        <v>579</v>
      </c>
      <c r="V43" s="261">
        <v>337</v>
      </c>
      <c r="W43" s="261">
        <v>348</v>
      </c>
      <c r="X43" s="261">
        <v>634</v>
      </c>
      <c r="Y43" s="261">
        <v>484</v>
      </c>
      <c r="Z43" s="261">
        <v>269</v>
      </c>
      <c r="AA43" s="261">
        <v>-130</v>
      </c>
      <c r="AB43" s="261">
        <v>406</v>
      </c>
      <c r="AC43" s="261">
        <v>595</v>
      </c>
      <c r="AD43" s="261">
        <v>561</v>
      </c>
      <c r="AE43" s="261">
        <v>248</v>
      </c>
      <c r="AF43" s="261">
        <v>473</v>
      </c>
      <c r="AG43" s="261">
        <v>592</v>
      </c>
      <c r="AH43" s="261">
        <v>184</v>
      </c>
      <c r="AI43" s="261">
        <v>472</v>
      </c>
      <c r="AJ43" s="261">
        <v>137</v>
      </c>
      <c r="AK43" s="261">
        <v>234</v>
      </c>
      <c r="AL43" s="261">
        <v>-252</v>
      </c>
      <c r="AM43" s="261">
        <v>-414</v>
      </c>
      <c r="AN43" s="261">
        <v>-285</v>
      </c>
      <c r="AO43" s="261">
        <v>-123</v>
      </c>
      <c r="AP43" s="261">
        <v>-206</v>
      </c>
      <c r="AQ43" s="261">
        <v>-162</v>
      </c>
      <c r="AR43" s="261">
        <v>87</v>
      </c>
      <c r="AS43" s="261">
        <v>-65</v>
      </c>
      <c r="AT43" s="261">
        <v>-266</v>
      </c>
      <c r="AU43" s="261">
        <v>-95</v>
      </c>
      <c r="AV43" s="261">
        <v>156</v>
      </c>
      <c r="AW43" s="261">
        <v>50</v>
      </c>
      <c r="AX43" s="261">
        <v>-400</v>
      </c>
      <c r="AY43" s="261">
        <v>-459</v>
      </c>
      <c r="AZ43" s="261">
        <v>-315</v>
      </c>
      <c r="BA43" s="261">
        <v>-672</v>
      </c>
      <c r="BB43" s="261">
        <v>-582</v>
      </c>
      <c r="BC43" s="261">
        <v>-368</v>
      </c>
      <c r="BD43" s="261">
        <v>-392</v>
      </c>
      <c r="BE43" s="261">
        <v>-529</v>
      </c>
      <c r="BF43" s="236">
        <f t="shared" ref="BF43:BI43" si="153">+BF112</f>
        <v>-500</v>
      </c>
      <c r="BG43" s="236">
        <f t="shared" si="153"/>
        <v>-500</v>
      </c>
      <c r="BH43" s="236">
        <f t="shared" si="153"/>
        <v>-500</v>
      </c>
      <c r="BI43" s="236">
        <f t="shared" si="153"/>
        <v>-500</v>
      </c>
      <c r="BK43" s="152"/>
    </row>
    <row r="44" spans="2:63" s="236" customFormat="1" ht="15.75">
      <c r="B44" s="236" t="s">
        <v>36</v>
      </c>
      <c r="C44" s="266"/>
      <c r="D44" s="236">
        <f>SUM(AL44:AO44)</f>
        <v>1752</v>
      </c>
      <c r="E44" s="295">
        <f>SUM(AP44:AS44)</f>
        <v>2975</v>
      </c>
      <c r="F44" s="295">
        <f>SUM(AT44:AW44)</f>
        <v>5184</v>
      </c>
      <c r="G44" s="295">
        <f>SUM(AX44:BA44)</f>
        <v>5349</v>
      </c>
      <c r="H44" s="295">
        <f>SUM(BB44:BE44)</f>
        <v>9691</v>
      </c>
      <c r="I44" s="295">
        <f>SUM(BF44:BI44)</f>
        <v>5000</v>
      </c>
      <c r="J44" s="236">
        <f>+J114</f>
        <v>5000</v>
      </c>
      <c r="K44" s="236">
        <f t="shared" ref="K44:P44" si="154">+K114</f>
        <v>5000</v>
      </c>
      <c r="L44" s="236">
        <f t="shared" si="154"/>
        <v>5000</v>
      </c>
      <c r="M44" s="236">
        <f t="shared" si="154"/>
        <v>5000</v>
      </c>
      <c r="N44" s="236">
        <f t="shared" si="154"/>
        <v>5000</v>
      </c>
      <c r="O44" s="236">
        <f t="shared" si="154"/>
        <v>5000</v>
      </c>
      <c r="P44" s="236">
        <f t="shared" si="154"/>
        <v>5000</v>
      </c>
      <c r="Q44" s="266"/>
      <c r="R44" s="261">
        <v>156</v>
      </c>
      <c r="S44" s="261">
        <v>345</v>
      </c>
      <c r="T44" s="261">
        <v>239</v>
      </c>
      <c r="U44" s="261">
        <v>263</v>
      </c>
      <c r="V44" s="261">
        <v>144</v>
      </c>
      <c r="W44" s="261">
        <v>304</v>
      </c>
      <c r="X44" s="261">
        <v>235</v>
      </c>
      <c r="Y44" s="261">
        <v>1394</v>
      </c>
      <c r="Z44" s="261">
        <v>1052</v>
      </c>
      <c r="AA44" s="261">
        <v>896</v>
      </c>
      <c r="AB44" s="261">
        <v>1159</v>
      </c>
      <c r="AC44" s="261">
        <v>1501</v>
      </c>
      <c r="AD44" s="261">
        <v>1276</v>
      </c>
      <c r="AE44" s="261">
        <v>379</v>
      </c>
      <c r="AF44" s="261">
        <v>1038</v>
      </c>
      <c r="AG44" s="261">
        <v>1029</v>
      </c>
      <c r="AH44" s="261">
        <v>230</v>
      </c>
      <c r="AI44" s="261">
        <v>382</v>
      </c>
      <c r="AJ44" s="261">
        <v>313</v>
      </c>
      <c r="AK44" s="261">
        <v>246</v>
      </c>
      <c r="AL44" s="261">
        <v>431</v>
      </c>
      <c r="AM44" s="261">
        <v>400</v>
      </c>
      <c r="AN44" s="261">
        <v>627</v>
      </c>
      <c r="AO44" s="261">
        <v>294</v>
      </c>
      <c r="AP44" s="261">
        <v>555</v>
      </c>
      <c r="AQ44" s="261">
        <v>56</v>
      </c>
      <c r="AR44" s="261">
        <v>1182</v>
      </c>
      <c r="AS44" s="261">
        <v>1182</v>
      </c>
      <c r="AT44" s="261">
        <v>945</v>
      </c>
      <c r="AU44" s="261">
        <v>1448</v>
      </c>
      <c r="AV44" s="261">
        <v>1602</v>
      </c>
      <c r="AW44" s="261">
        <v>1189</v>
      </c>
      <c r="AX44" s="261">
        <v>1552</v>
      </c>
      <c r="AY44" s="261">
        <v>1198</v>
      </c>
      <c r="AZ44" s="261">
        <v>1331</v>
      </c>
      <c r="BA44" s="261">
        <v>1268</v>
      </c>
      <c r="BB44" s="261">
        <v>2572</v>
      </c>
      <c r="BC44" s="261">
        <v>2256</v>
      </c>
      <c r="BD44" s="261">
        <v>2274</v>
      </c>
      <c r="BE44" s="261">
        <v>2589</v>
      </c>
      <c r="BF44" s="236">
        <f t="shared" ref="BF44:BI44" si="155">+BF114</f>
        <v>1250</v>
      </c>
      <c r="BG44" s="236">
        <f t="shared" si="155"/>
        <v>1250</v>
      </c>
      <c r="BH44" s="236">
        <f t="shared" si="155"/>
        <v>1250</v>
      </c>
      <c r="BI44" s="236">
        <f t="shared" si="155"/>
        <v>1250</v>
      </c>
      <c r="BK44" s="152"/>
    </row>
    <row r="45" spans="2:63" s="236" customFormat="1" ht="16.5" thickBot="1">
      <c r="B45" s="347" t="s">
        <v>289</v>
      </c>
      <c r="C45" s="274"/>
      <c r="D45" s="354">
        <f t="shared" ref="D45:J45" si="156">SUM(D41:D44)</f>
        <v>2722</v>
      </c>
      <c r="E45" s="354">
        <f t="shared" si="156"/>
        <v>5608</v>
      </c>
      <c r="F45" s="354">
        <f t="shared" si="156"/>
        <v>8059</v>
      </c>
      <c r="G45" s="354">
        <f>SUM(G41:G44)</f>
        <v>6196</v>
      </c>
      <c r="H45" s="354">
        <f>SUM(H41:H44)</f>
        <v>9427</v>
      </c>
      <c r="I45" s="354">
        <f ca="1">SUM(I41:I44)</f>
        <v>4380.7999780047539</v>
      </c>
      <c r="J45" s="354">
        <f t="shared" ca="1" si="156"/>
        <v>6007.0670427581063</v>
      </c>
      <c r="K45" s="354">
        <f t="shared" ref="K45:P45" ca="1" si="157">SUM(K41:K44)</f>
        <v>5664.7720017926913</v>
      </c>
      <c r="L45" s="354">
        <f t="shared" ca="1" si="157"/>
        <v>5350.980072237624</v>
      </c>
      <c r="M45" s="354">
        <f t="shared" ca="1" si="157"/>
        <v>5062.9799328915979</v>
      </c>
      <c r="N45" s="354">
        <f t="shared" ca="1" si="157"/>
        <v>4798.272083095886</v>
      </c>
      <c r="O45" s="354">
        <f t="shared" ca="1" si="157"/>
        <v>4554.5571787260124</v>
      </c>
      <c r="P45" s="354">
        <f t="shared" ca="1" si="157"/>
        <v>4329.7244399173505</v>
      </c>
      <c r="Q45" s="274"/>
      <c r="R45" s="354">
        <f t="shared" ref="R45:AV45" si="158">SUM(R41:R44)</f>
        <v>1295</v>
      </c>
      <c r="S45" s="354">
        <f t="shared" si="158"/>
        <v>1333</v>
      </c>
      <c r="T45" s="354">
        <f t="shared" si="158"/>
        <v>1976</v>
      </c>
      <c r="U45" s="354">
        <f t="shared" si="158"/>
        <v>2095</v>
      </c>
      <c r="V45" s="354">
        <f t="shared" si="158"/>
        <v>1223</v>
      </c>
      <c r="W45" s="354">
        <f t="shared" si="158"/>
        <v>1368</v>
      </c>
      <c r="X45" s="354">
        <f t="shared" si="158"/>
        <v>2026</v>
      </c>
      <c r="Y45" s="354">
        <f t="shared" si="158"/>
        <v>2661</v>
      </c>
      <c r="Z45" s="354">
        <f t="shared" si="158"/>
        <v>1857</v>
      </c>
      <c r="AA45" s="354">
        <f t="shared" si="158"/>
        <v>1562</v>
      </c>
      <c r="AB45" s="354">
        <f t="shared" si="158"/>
        <v>2631</v>
      </c>
      <c r="AC45" s="354">
        <f t="shared" si="158"/>
        <v>2803</v>
      </c>
      <c r="AD45" s="354">
        <f t="shared" si="158"/>
        <v>1984</v>
      </c>
      <c r="AE45" s="354">
        <f t="shared" si="158"/>
        <v>1095</v>
      </c>
      <c r="AF45" s="354">
        <f t="shared" si="158"/>
        <v>2123</v>
      </c>
      <c r="AG45" s="354">
        <f t="shared" si="158"/>
        <v>2497</v>
      </c>
      <c r="AH45" s="354">
        <f t="shared" si="158"/>
        <v>726</v>
      </c>
      <c r="AI45" s="354">
        <f t="shared" si="158"/>
        <v>1266</v>
      </c>
      <c r="AJ45" s="354">
        <f t="shared" si="158"/>
        <v>678</v>
      </c>
      <c r="AK45" s="354">
        <f t="shared" si="158"/>
        <v>1094</v>
      </c>
      <c r="AL45" s="354">
        <f t="shared" si="158"/>
        <v>291</v>
      </c>
      <c r="AM45" s="354">
        <f t="shared" si="158"/>
        <v>632</v>
      </c>
      <c r="AN45" s="354">
        <f t="shared" si="158"/>
        <v>989</v>
      </c>
      <c r="AO45" s="354">
        <f t="shared" si="158"/>
        <v>810</v>
      </c>
      <c r="AP45" s="354">
        <f t="shared" si="158"/>
        <v>1062</v>
      </c>
      <c r="AQ45" s="354">
        <f t="shared" si="158"/>
        <v>634</v>
      </c>
      <c r="AR45" s="354">
        <f t="shared" si="158"/>
        <v>2008</v>
      </c>
      <c r="AS45" s="354">
        <f t="shared" si="158"/>
        <v>1904</v>
      </c>
      <c r="AT45" s="354">
        <f t="shared" si="158"/>
        <v>1218</v>
      </c>
      <c r="AU45" s="354">
        <f t="shared" si="158"/>
        <v>2094</v>
      </c>
      <c r="AV45" s="354">
        <f t="shared" si="158"/>
        <v>2513</v>
      </c>
      <c r="AW45" s="354">
        <f t="shared" ref="AW45:BB45" si="159">SUM(AW41:AW44)</f>
        <v>2234</v>
      </c>
      <c r="AX45" s="354">
        <f t="shared" si="159"/>
        <v>1781</v>
      </c>
      <c r="AY45" s="354">
        <f t="shared" si="159"/>
        <v>1361</v>
      </c>
      <c r="AZ45" s="354">
        <f t="shared" si="159"/>
        <v>1532</v>
      </c>
      <c r="BA45" s="354">
        <f t="shared" si="159"/>
        <v>1522</v>
      </c>
      <c r="BB45" s="354">
        <f t="shared" si="159"/>
        <v>2081</v>
      </c>
      <c r="BC45" s="354">
        <f t="shared" ref="BC45:BD45" si="160">SUM(BC41:BC44)</f>
        <v>2282</v>
      </c>
      <c r="BD45" s="354">
        <f t="shared" si="160"/>
        <v>2323</v>
      </c>
      <c r="BE45" s="354">
        <f t="shared" ref="BE45" si="161">SUM(BE41:BE44)</f>
        <v>2741</v>
      </c>
      <c r="BF45" s="354">
        <f t="shared" ref="BF45:BI45" ca="1" si="162">SUM(BF41:BF44)</f>
        <v>802.0210824640817</v>
      </c>
      <c r="BG45" s="354">
        <f t="shared" ca="1" si="162"/>
        <v>1104.8137280077935</v>
      </c>
      <c r="BH45" s="354">
        <f t="shared" ca="1" si="162"/>
        <v>1151.9144422240497</v>
      </c>
      <c r="BI45" s="354">
        <f t="shared" ca="1" si="162"/>
        <v>1322.050725308829</v>
      </c>
      <c r="BK45" s="152"/>
    </row>
    <row r="46" spans="2:63" ht="15.75" thickTop="1">
      <c r="C46" s="274"/>
      <c r="Q46" s="274"/>
      <c r="R46" s="274"/>
      <c r="S46" s="274"/>
      <c r="T46" s="274"/>
      <c r="U46" s="274"/>
      <c r="V46" s="274"/>
      <c r="W46" s="274"/>
      <c r="X46" s="274"/>
      <c r="Y46" s="274"/>
      <c r="Z46" s="274"/>
      <c r="AA46" s="274"/>
      <c r="AB46" s="274"/>
      <c r="AC46" s="274"/>
      <c r="AD46" s="274"/>
      <c r="AE46" s="274"/>
      <c r="AF46" s="274"/>
      <c r="AG46" s="274"/>
      <c r="AH46" s="274"/>
      <c r="AI46" s="274"/>
      <c r="AJ46" s="274"/>
      <c r="AK46" s="274"/>
      <c r="AL46" s="236"/>
      <c r="AM46" s="236"/>
      <c r="AN46" s="236"/>
      <c r="AO46" s="236"/>
      <c r="AP46" s="236"/>
      <c r="AQ46" s="236"/>
      <c r="AR46" s="236"/>
      <c r="AS46" s="236"/>
      <c r="AT46" s="236"/>
      <c r="AU46" s="236"/>
      <c r="AV46" s="236"/>
      <c r="AW46" s="236"/>
      <c r="AX46" s="236"/>
      <c r="AY46" s="236"/>
      <c r="AZ46" s="236"/>
      <c r="BA46" s="236"/>
      <c r="BB46" s="236"/>
      <c r="BC46" s="236"/>
      <c r="BD46" s="236"/>
      <c r="BE46" s="236"/>
      <c r="BF46" s="236"/>
      <c r="BG46" s="236"/>
      <c r="BH46" s="236"/>
      <c r="BI46" s="236"/>
    </row>
    <row r="47" spans="2:63" s="252" customFormat="1" ht="15.75">
      <c r="B47" s="247" t="s">
        <v>346</v>
      </c>
      <c r="C47" s="247"/>
      <c r="D47" s="252">
        <f>SUM(AL47:AO47)</f>
        <v>20531.111349999999</v>
      </c>
      <c r="E47" s="247">
        <f>+SUM(AP47:AS47)</f>
        <v>25962.928899999999</v>
      </c>
      <c r="F47" s="306">
        <f>SUM(AT47:AW47)</f>
        <v>28707.519700000001</v>
      </c>
      <c r="G47" s="306">
        <f>SUM(AX47:BA47)</f>
        <v>29671.186300000001</v>
      </c>
      <c r="H47" s="306">
        <f>SUM(BB47:BE47)</f>
        <v>31773.161799999998</v>
      </c>
      <c r="I47" s="306">
        <f ca="1">SUM(BF47:BI47)</f>
        <v>26699.962006688416</v>
      </c>
      <c r="J47" s="247">
        <f ca="1">+J45+J52</f>
        <v>29311.358680837642</v>
      </c>
      <c r="K47" s="247">
        <f t="shared" ref="K47:P47" ca="1" si="163">+K45+K52</f>
        <v>30067.871471758364</v>
      </c>
      <c r="L47" s="247">
        <f t="shared" ca="1" si="163"/>
        <v>30814.781989169263</v>
      </c>
      <c r="M47" s="247">
        <f t="shared" ca="1" si="163"/>
        <v>31552.543060747419</v>
      </c>
      <c r="N47" s="247">
        <f t="shared" ca="1" si="163"/>
        <v>32281.529504999555</v>
      </c>
      <c r="O47" s="247">
        <f t="shared" ca="1" si="163"/>
        <v>33002.044298809298</v>
      </c>
      <c r="P47" s="247">
        <f t="shared" ca="1" si="163"/>
        <v>33714.324396823758</v>
      </c>
      <c r="Q47" s="247"/>
      <c r="R47" s="252">
        <f>+R45+R52</f>
        <v>5105.9978000000001</v>
      </c>
      <c r="S47" s="252">
        <f t="shared" ref="S47:AV47" si="164">+S45+S52</f>
        <v>4881.5254000000004</v>
      </c>
      <c r="T47" s="252">
        <f t="shared" si="164"/>
        <v>5765.86445</v>
      </c>
      <c r="U47" s="252">
        <f t="shared" si="164"/>
        <v>5899.5939999999991</v>
      </c>
      <c r="V47" s="252">
        <f t="shared" si="164"/>
        <v>4855.6394</v>
      </c>
      <c r="W47" s="252">
        <f t="shared" si="164"/>
        <v>4871.8704000000007</v>
      </c>
      <c r="X47" s="252">
        <f t="shared" si="164"/>
        <v>5459.4748</v>
      </c>
      <c r="Y47" s="252">
        <f t="shared" si="164"/>
        <v>6212.0508</v>
      </c>
      <c r="Z47" s="252">
        <f t="shared" si="164"/>
        <v>5213.0865000000003</v>
      </c>
      <c r="AA47" s="252">
        <f t="shared" si="164"/>
        <v>4989.2139499999994</v>
      </c>
      <c r="AB47" s="252">
        <f t="shared" si="164"/>
        <v>6252.2417999999998</v>
      </c>
      <c r="AC47" s="252">
        <f t="shared" si="164"/>
        <v>6531.2806</v>
      </c>
      <c r="AD47" s="252">
        <f t="shared" si="164"/>
        <v>5922.3220000000001</v>
      </c>
      <c r="AE47" s="252">
        <f t="shared" si="164"/>
        <v>5302.0743000000002</v>
      </c>
      <c r="AF47" s="252">
        <f t="shared" si="164"/>
        <v>5950.5776000000005</v>
      </c>
      <c r="AG47" s="252">
        <f t="shared" si="164"/>
        <v>6750.0872499999996</v>
      </c>
      <c r="AH47" s="252">
        <f t="shared" si="164"/>
        <v>5294.4733499999993</v>
      </c>
      <c r="AI47" s="252">
        <f t="shared" si="164"/>
        <v>4967.8841999999995</v>
      </c>
      <c r="AJ47" s="252">
        <f t="shared" si="164"/>
        <v>4920.6477000000004</v>
      </c>
      <c r="AK47" s="252">
        <f t="shared" si="164"/>
        <v>5627.2363999999998</v>
      </c>
      <c r="AL47" s="252">
        <f t="shared" si="164"/>
        <v>4725.1055999999999</v>
      </c>
      <c r="AM47" s="252">
        <f t="shared" si="164"/>
        <v>5020.7335999999996</v>
      </c>
      <c r="AN47" s="252">
        <f t="shared" si="164"/>
        <v>5259.7899500000003</v>
      </c>
      <c r="AO47" s="252">
        <f t="shared" si="164"/>
        <v>5525.4822000000004</v>
      </c>
      <c r="AP47" s="252">
        <f t="shared" si="164"/>
        <v>5782.2314999999999</v>
      </c>
      <c r="AQ47" s="252">
        <f t="shared" si="164"/>
        <v>5763.8883999999998</v>
      </c>
      <c r="AR47" s="252">
        <f t="shared" si="164"/>
        <v>6807.7936</v>
      </c>
      <c r="AS47" s="252">
        <f t="shared" si="164"/>
        <v>7609.0154000000002</v>
      </c>
      <c r="AT47" s="252">
        <f t="shared" si="164"/>
        <v>6306.8459999999995</v>
      </c>
      <c r="AU47" s="252">
        <f t="shared" si="164"/>
        <v>6921.4940999999999</v>
      </c>
      <c r="AV47" s="252">
        <f t="shared" si="164"/>
        <v>7506.6445999999996</v>
      </c>
      <c r="AW47" s="252">
        <f t="shared" ref="AW47:BB47" si="165">+AW45+AW52</f>
        <v>7972.5349999999999</v>
      </c>
      <c r="AX47" s="252">
        <f t="shared" si="165"/>
        <v>7299.5105000000003</v>
      </c>
      <c r="AY47" s="252">
        <f t="shared" si="165"/>
        <v>6671.5625</v>
      </c>
      <c r="AZ47" s="252">
        <f t="shared" si="165"/>
        <v>7298.8602500000006</v>
      </c>
      <c r="BA47" s="252">
        <f t="shared" si="165"/>
        <v>8401.2530499999993</v>
      </c>
      <c r="BB47" s="252">
        <f t="shared" si="165"/>
        <v>7973.7862999999998</v>
      </c>
      <c r="BC47" s="252">
        <f t="shared" ref="BC47:BD47" si="166">+BC45+BC52</f>
        <v>7479.7856000000002</v>
      </c>
      <c r="BD47" s="252">
        <f t="shared" si="166"/>
        <v>7774.4547999999995</v>
      </c>
      <c r="BE47" s="252">
        <f t="shared" ref="BE47" si="167">+BE45+BE52</f>
        <v>8545.1350999999995</v>
      </c>
      <c r="BF47" s="252">
        <f t="shared" ref="BF47:BI47" ca="1" si="168">+BF45+BF52</f>
        <v>6387.4482400434099</v>
      </c>
      <c r="BG47" s="252">
        <f t="shared" ca="1" si="168"/>
        <v>6421.4908476164019</v>
      </c>
      <c r="BH47" s="252">
        <f t="shared" ca="1" si="168"/>
        <v>6516.7402683146101</v>
      </c>
      <c r="BI47" s="252">
        <f t="shared" ca="1" si="168"/>
        <v>7374.2826507139953</v>
      </c>
      <c r="BK47" s="152"/>
    </row>
    <row r="48" spans="2:63" s="271" customFormat="1">
      <c r="B48" s="282" t="s">
        <v>252</v>
      </c>
      <c r="C48" s="247"/>
      <c r="D48" s="282"/>
      <c r="E48" s="302">
        <f t="shared" ref="E48:J48" si="169">+E47/D47-1</f>
        <v>0.26456519851274396</v>
      </c>
      <c r="F48" s="302">
        <f t="shared" si="169"/>
        <v>0.10571190987623913</v>
      </c>
      <c r="G48" s="302">
        <f t="shared" si="169"/>
        <v>3.3568438167787873E-2</v>
      </c>
      <c r="H48" s="302">
        <f t="shared" si="169"/>
        <v>7.0842314114012872E-2</v>
      </c>
      <c r="I48" s="302">
        <f t="shared" ca="1" si="169"/>
        <v>-0.15966934059774884</v>
      </c>
      <c r="J48" s="302">
        <f t="shared" ca="1" si="169"/>
        <v>9.7805258055987609E-2</v>
      </c>
      <c r="K48" s="302">
        <f t="shared" ref="K48" ca="1" si="170">+K47/J47-1</f>
        <v>2.5809543636586607E-2</v>
      </c>
      <c r="L48" s="302">
        <f t="shared" ref="L48" ca="1" si="171">+L47/K47-1</f>
        <v>2.484081781819647E-2</v>
      </c>
      <c r="M48" s="302">
        <f t="shared" ref="M48" ca="1" si="172">+M47/L47-1</f>
        <v>2.3941791048122996E-2</v>
      </c>
      <c r="N48" s="302">
        <f t="shared" ref="N48" ca="1" si="173">+N47/M47-1</f>
        <v>2.3103888737229017E-2</v>
      </c>
      <c r="O48" s="302">
        <f t="shared" ref="O48" ca="1" si="174">+O47/N47-1</f>
        <v>2.2319722914558859E-2</v>
      </c>
      <c r="P48" s="302">
        <f t="shared" ref="P48" ca="1" si="175">+P47/O47-1</f>
        <v>2.1582908366684306E-2</v>
      </c>
      <c r="Q48" s="247"/>
      <c r="R48" s="247"/>
      <c r="S48" s="247"/>
      <c r="T48" s="247"/>
      <c r="U48" s="247"/>
      <c r="V48" s="247"/>
      <c r="W48" s="283">
        <f t="shared" ref="W48:BE48" si="176">+W47/S47-1</f>
        <v>-1.977865361511788E-3</v>
      </c>
      <c r="X48" s="283">
        <f t="shared" si="176"/>
        <v>-5.3138545426609896E-2</v>
      </c>
      <c r="Y48" s="283">
        <f t="shared" si="176"/>
        <v>5.2962424193936153E-2</v>
      </c>
      <c r="Z48" s="283">
        <f t="shared" si="176"/>
        <v>7.3614836390033522E-2</v>
      </c>
      <c r="AA48" s="283">
        <f t="shared" si="176"/>
        <v>2.4085934223537331E-2</v>
      </c>
      <c r="AB48" s="283">
        <f t="shared" si="176"/>
        <v>0.14520938900569691</v>
      </c>
      <c r="AC48" s="283">
        <f t="shared" si="176"/>
        <v>5.1388794180498243E-2</v>
      </c>
      <c r="AD48" s="283">
        <f t="shared" si="176"/>
        <v>0.13604905654260668</v>
      </c>
      <c r="AE48" s="283">
        <f t="shared" si="176"/>
        <v>6.2707342907192931E-2</v>
      </c>
      <c r="AF48" s="283">
        <f t="shared" si="176"/>
        <v>-4.8248965674999811E-2</v>
      </c>
      <c r="AG48" s="283">
        <f t="shared" si="176"/>
        <v>3.3501339691330845E-2</v>
      </c>
      <c r="AH48" s="283">
        <f t="shared" si="176"/>
        <v>-0.10601393338626319</v>
      </c>
      <c r="AI48" s="283">
        <f t="shared" si="176"/>
        <v>-6.3030067307808357E-2</v>
      </c>
      <c r="AJ48" s="283">
        <f t="shared" si="176"/>
        <v>-0.17308066027069369</v>
      </c>
      <c r="AK48" s="283">
        <f t="shared" si="176"/>
        <v>-0.16634612389639847</v>
      </c>
      <c r="AL48" s="283">
        <f t="shared" si="176"/>
        <v>-0.10754001623220932</v>
      </c>
      <c r="AM48" s="283">
        <f t="shared" si="176"/>
        <v>1.0638210930923098E-2</v>
      </c>
      <c r="AN48" s="283">
        <f t="shared" si="176"/>
        <v>6.892227826023789E-2</v>
      </c>
      <c r="AO48" s="283">
        <f t="shared" si="176"/>
        <v>-1.8082446296373678E-2</v>
      </c>
      <c r="AP48" s="283">
        <f t="shared" si="176"/>
        <v>0.22372534912235609</v>
      </c>
      <c r="AQ48" s="283">
        <f t="shared" si="176"/>
        <v>0.14801717422330474</v>
      </c>
      <c r="AR48" s="283">
        <f t="shared" si="176"/>
        <v>0.29430902464080333</v>
      </c>
      <c r="AS48" s="283">
        <f t="shared" si="176"/>
        <v>0.37707717165390564</v>
      </c>
      <c r="AT48" s="283">
        <f t="shared" si="176"/>
        <v>9.0728726444107233E-2</v>
      </c>
      <c r="AU48" s="283">
        <f t="shared" si="176"/>
        <v>0.20083763245658948</v>
      </c>
      <c r="AV48" s="283">
        <f t="shared" si="176"/>
        <v>0.10265455168911108</v>
      </c>
      <c r="AW48" s="283">
        <f t="shared" si="176"/>
        <v>4.777485402382009E-2</v>
      </c>
      <c r="AX48" s="283">
        <f t="shared" si="176"/>
        <v>0.15739475801375225</v>
      </c>
      <c r="AY48" s="283">
        <f t="shared" si="176"/>
        <v>-3.6109486823083459E-2</v>
      </c>
      <c r="AZ48" s="283">
        <f t="shared" si="176"/>
        <v>-2.7680056945815545E-2</v>
      </c>
      <c r="BA48" s="283">
        <f t="shared" si="176"/>
        <v>5.3774370385329062E-2</v>
      </c>
      <c r="BB48" s="283">
        <f t="shared" si="176"/>
        <v>9.23727419804381E-2</v>
      </c>
      <c r="BC48" s="283">
        <f t="shared" si="176"/>
        <v>0.12114449950817363</v>
      </c>
      <c r="BD48" s="283">
        <f t="shared" si="176"/>
        <v>6.5160111813347577E-2</v>
      </c>
      <c r="BE48" s="283">
        <f t="shared" si="176"/>
        <v>1.7126260707026386E-2</v>
      </c>
      <c r="BF48" s="283">
        <f t="shared" ref="BF48" ca="1" si="177">+BF47/BB47-1</f>
        <v>-0.1989441402457186</v>
      </c>
      <c r="BG48" s="283">
        <f t="shared" ref="BG48" ca="1" si="178">+BG47/BC47-1</f>
        <v>-0.14148731113143109</v>
      </c>
      <c r="BH48" s="283">
        <f t="shared" ref="BH48" ca="1" si="179">+BH47/BD47-1</f>
        <v>-0.16177527094059241</v>
      </c>
      <c r="BI48" s="283">
        <f t="shared" ref="BI48" ca="1" si="180">+BI47/BE47-1</f>
        <v>-0.13701977038209778</v>
      </c>
    </row>
    <row r="49" spans="2:63" s="288" customFormat="1">
      <c r="B49" s="298" t="s">
        <v>342</v>
      </c>
      <c r="C49" s="298"/>
      <c r="D49" s="298"/>
      <c r="E49" s="309"/>
      <c r="F49" s="309"/>
      <c r="G49" s="309"/>
      <c r="H49" s="309"/>
      <c r="I49" s="309"/>
      <c r="J49" s="298"/>
      <c r="K49" s="298"/>
      <c r="L49" s="298"/>
      <c r="M49" s="298"/>
      <c r="N49" s="298"/>
      <c r="O49" s="298"/>
      <c r="P49" s="298"/>
      <c r="Q49" s="298"/>
      <c r="R49" s="311"/>
      <c r="S49" s="311">
        <f>+S47-R47</f>
        <v>-224.47239999999965</v>
      </c>
      <c r="T49" s="311">
        <f>+T47-S47</f>
        <v>884.33904999999959</v>
      </c>
      <c r="U49" s="311">
        <f t="shared" ref="U49:AU49" si="181">+U47-T47</f>
        <v>133.72954999999911</v>
      </c>
      <c r="V49" s="311">
        <f t="shared" si="181"/>
        <v>-1043.9545999999991</v>
      </c>
      <c r="W49" s="311">
        <f t="shared" si="181"/>
        <v>16.231000000000677</v>
      </c>
      <c r="X49" s="311">
        <f t="shared" si="181"/>
        <v>587.60439999999926</v>
      </c>
      <c r="Y49" s="311">
        <f t="shared" si="181"/>
        <v>752.57600000000002</v>
      </c>
      <c r="Z49" s="311">
        <f t="shared" si="181"/>
        <v>-998.96429999999964</v>
      </c>
      <c r="AA49" s="311">
        <f t="shared" si="181"/>
        <v>-223.87255000000096</v>
      </c>
      <c r="AB49" s="311">
        <f t="shared" si="181"/>
        <v>1263.0278500000004</v>
      </c>
      <c r="AC49" s="311">
        <f t="shared" si="181"/>
        <v>279.03880000000026</v>
      </c>
      <c r="AD49" s="311">
        <f t="shared" si="181"/>
        <v>-608.95859999999993</v>
      </c>
      <c r="AE49" s="311">
        <f t="shared" si="181"/>
        <v>-620.2476999999999</v>
      </c>
      <c r="AF49" s="311">
        <f t="shared" si="181"/>
        <v>648.50330000000031</v>
      </c>
      <c r="AG49" s="311">
        <f t="shared" si="181"/>
        <v>799.50964999999906</v>
      </c>
      <c r="AH49" s="311">
        <f t="shared" si="181"/>
        <v>-1455.6139000000003</v>
      </c>
      <c r="AI49" s="311">
        <f t="shared" si="181"/>
        <v>-326.58914999999979</v>
      </c>
      <c r="AJ49" s="311">
        <f t="shared" si="181"/>
        <v>-47.236499999999069</v>
      </c>
      <c r="AK49" s="311">
        <f t="shared" si="181"/>
        <v>706.58869999999933</v>
      </c>
      <c r="AL49" s="311">
        <f t="shared" si="181"/>
        <v>-902.13079999999991</v>
      </c>
      <c r="AM49" s="311">
        <f t="shared" si="181"/>
        <v>295.6279999999997</v>
      </c>
      <c r="AN49" s="311">
        <f t="shared" si="181"/>
        <v>239.05635000000075</v>
      </c>
      <c r="AO49" s="311">
        <f t="shared" si="181"/>
        <v>265.69225000000006</v>
      </c>
      <c r="AP49" s="311">
        <f t="shared" si="181"/>
        <v>256.74929999999949</v>
      </c>
      <c r="AQ49" s="311">
        <f t="shared" si="181"/>
        <v>-18.343100000000049</v>
      </c>
      <c r="AR49" s="311">
        <f t="shared" si="181"/>
        <v>1043.9052000000001</v>
      </c>
      <c r="AS49" s="311">
        <f t="shared" si="181"/>
        <v>801.22180000000026</v>
      </c>
      <c r="AT49" s="311">
        <f t="shared" si="181"/>
        <v>-1302.1694000000007</v>
      </c>
      <c r="AU49" s="311">
        <f t="shared" si="181"/>
        <v>614.64810000000034</v>
      </c>
      <c r="AV49" s="311">
        <f t="shared" ref="AV49:BE49" si="182">+AV47-AU47</f>
        <v>585.15049999999974</v>
      </c>
      <c r="AW49" s="311">
        <f t="shared" si="182"/>
        <v>465.89040000000023</v>
      </c>
      <c r="AX49" s="311">
        <f t="shared" si="182"/>
        <v>-673.02449999999953</v>
      </c>
      <c r="AY49" s="311">
        <f t="shared" si="182"/>
        <v>-627.94800000000032</v>
      </c>
      <c r="AZ49" s="311">
        <f t="shared" si="182"/>
        <v>627.29775000000063</v>
      </c>
      <c r="BA49" s="311">
        <f t="shared" si="182"/>
        <v>1102.3927999999987</v>
      </c>
      <c r="BB49" s="311">
        <f t="shared" si="182"/>
        <v>-427.46674999999959</v>
      </c>
      <c r="BC49" s="311">
        <f t="shared" si="182"/>
        <v>-494.0006999999996</v>
      </c>
      <c r="BD49" s="311">
        <f t="shared" si="182"/>
        <v>294.66919999999936</v>
      </c>
      <c r="BE49" s="311">
        <f t="shared" si="182"/>
        <v>770.68029999999999</v>
      </c>
      <c r="BF49" s="311">
        <f t="shared" ref="BF49" ca="1" si="183">+BF47-BE47</f>
        <v>-2157.6868599565896</v>
      </c>
      <c r="BG49" s="311">
        <f t="shared" ref="BG49" ca="1" si="184">+BG47-BF47</f>
        <v>34.042607572991983</v>
      </c>
      <c r="BH49" s="311">
        <f t="shared" ref="BH49" ca="1" si="185">+BH47-BG47</f>
        <v>95.249420698208269</v>
      </c>
      <c r="BI49" s="311">
        <f t="shared" ref="BI49" ca="1" si="186">+BI47-BH47</f>
        <v>857.54238239938513</v>
      </c>
    </row>
    <row r="50" spans="2:63" s="288" customFormat="1">
      <c r="B50" s="298" t="s">
        <v>343</v>
      </c>
      <c r="C50" s="298"/>
      <c r="D50" s="298"/>
      <c r="E50" s="309">
        <f t="shared" ref="E50:J50" si="187">+E47-D47</f>
        <v>5431.8175499999998</v>
      </c>
      <c r="F50" s="309">
        <f t="shared" si="187"/>
        <v>2744.5908000000018</v>
      </c>
      <c r="G50" s="309">
        <f t="shared" si="187"/>
        <v>963.66660000000047</v>
      </c>
      <c r="H50" s="309">
        <f t="shared" si="187"/>
        <v>2101.9754999999968</v>
      </c>
      <c r="I50" s="309">
        <f t="shared" ca="1" si="187"/>
        <v>-5073.1997933115817</v>
      </c>
      <c r="J50" s="309">
        <f t="shared" ca="1" si="187"/>
        <v>2611.3966741492259</v>
      </c>
      <c r="K50" s="309">
        <f t="shared" ref="K50" ca="1" si="188">+K47-J47</f>
        <v>756.51279092072218</v>
      </c>
      <c r="L50" s="309">
        <f t="shared" ref="L50" ca="1" si="189">+L47-K47</f>
        <v>746.91051741089905</v>
      </c>
      <c r="M50" s="309">
        <f t="shared" ref="M50" ca="1" si="190">+M47-L47</f>
        <v>737.76107157815568</v>
      </c>
      <c r="N50" s="309">
        <f t="shared" ref="N50" ca="1" si="191">+N47-M47</f>
        <v>728.9864442521357</v>
      </c>
      <c r="O50" s="309">
        <f t="shared" ref="O50" ca="1" si="192">+O47-N47</f>
        <v>720.51479380974342</v>
      </c>
      <c r="P50" s="309">
        <f t="shared" ref="P50" ca="1" si="193">+P47-O47</f>
        <v>712.28009801446024</v>
      </c>
      <c r="Q50" s="298"/>
      <c r="R50" s="311"/>
      <c r="S50" s="311"/>
      <c r="T50" s="311"/>
      <c r="U50" s="311"/>
      <c r="V50" s="311">
        <f>+V47-R47</f>
        <v>-250.35840000000007</v>
      </c>
      <c r="W50" s="311">
        <f t="shared" ref="W50:BE50" si="194">+W47-S47</f>
        <v>-9.6549999999997453</v>
      </c>
      <c r="X50" s="311">
        <f t="shared" si="194"/>
        <v>-306.38965000000007</v>
      </c>
      <c r="Y50" s="311">
        <f t="shared" si="194"/>
        <v>312.45680000000084</v>
      </c>
      <c r="Z50" s="311">
        <f t="shared" si="194"/>
        <v>357.44710000000032</v>
      </c>
      <c r="AA50" s="311">
        <f t="shared" si="194"/>
        <v>117.34354999999869</v>
      </c>
      <c r="AB50" s="311">
        <f t="shared" si="194"/>
        <v>792.76699999999983</v>
      </c>
      <c r="AC50" s="311">
        <f t="shared" si="194"/>
        <v>319.22980000000007</v>
      </c>
      <c r="AD50" s="311">
        <f t="shared" si="194"/>
        <v>709.23549999999977</v>
      </c>
      <c r="AE50" s="311">
        <f t="shared" si="194"/>
        <v>312.86035000000084</v>
      </c>
      <c r="AF50" s="311">
        <f t="shared" si="194"/>
        <v>-301.66419999999925</v>
      </c>
      <c r="AG50" s="311">
        <f t="shared" si="194"/>
        <v>218.80664999999954</v>
      </c>
      <c r="AH50" s="311">
        <f t="shared" si="194"/>
        <v>-627.84865000000082</v>
      </c>
      <c r="AI50" s="311">
        <f t="shared" si="194"/>
        <v>-334.19010000000071</v>
      </c>
      <c r="AJ50" s="311">
        <f t="shared" si="194"/>
        <v>-1029.9299000000001</v>
      </c>
      <c r="AK50" s="311">
        <f t="shared" si="194"/>
        <v>-1122.8508499999998</v>
      </c>
      <c r="AL50" s="311">
        <f t="shared" si="194"/>
        <v>-569.36774999999943</v>
      </c>
      <c r="AM50" s="311">
        <f t="shared" si="194"/>
        <v>52.84940000000006</v>
      </c>
      <c r="AN50" s="311">
        <f t="shared" si="194"/>
        <v>339.14224999999988</v>
      </c>
      <c r="AO50" s="311">
        <f t="shared" si="194"/>
        <v>-101.7541999999994</v>
      </c>
      <c r="AP50" s="311">
        <f t="shared" si="194"/>
        <v>1057.1259</v>
      </c>
      <c r="AQ50" s="311">
        <f t="shared" si="194"/>
        <v>743.15480000000025</v>
      </c>
      <c r="AR50" s="311">
        <f t="shared" si="194"/>
        <v>1548.0036499999997</v>
      </c>
      <c r="AS50" s="311">
        <f t="shared" si="194"/>
        <v>2083.5331999999999</v>
      </c>
      <c r="AT50" s="311">
        <f t="shared" si="194"/>
        <v>524.61449999999968</v>
      </c>
      <c r="AU50" s="311">
        <f t="shared" si="194"/>
        <v>1157.6057000000001</v>
      </c>
      <c r="AV50" s="311">
        <f t="shared" si="194"/>
        <v>698.85099999999966</v>
      </c>
      <c r="AW50" s="311">
        <f t="shared" si="194"/>
        <v>363.51959999999963</v>
      </c>
      <c r="AX50" s="311">
        <f t="shared" si="194"/>
        <v>992.66450000000077</v>
      </c>
      <c r="AY50" s="311">
        <f t="shared" si="194"/>
        <v>-249.93159999999989</v>
      </c>
      <c r="AZ50" s="311">
        <f t="shared" si="194"/>
        <v>-207.78434999999899</v>
      </c>
      <c r="BA50" s="311">
        <f t="shared" si="194"/>
        <v>428.71804999999949</v>
      </c>
      <c r="BB50" s="311">
        <f t="shared" si="194"/>
        <v>674.27579999999944</v>
      </c>
      <c r="BC50" s="311">
        <f t="shared" si="194"/>
        <v>808.22310000000016</v>
      </c>
      <c r="BD50" s="311">
        <f t="shared" si="194"/>
        <v>475.59454999999889</v>
      </c>
      <c r="BE50" s="311">
        <f t="shared" si="194"/>
        <v>143.88205000000016</v>
      </c>
      <c r="BF50" s="311">
        <f t="shared" ref="BF50" ca="1" si="195">+BF47-BB47</f>
        <v>-1586.3380599565899</v>
      </c>
      <c r="BG50" s="311">
        <f t="shared" ref="BG50" ca="1" si="196">+BG47-BC47</f>
        <v>-1058.2947523835983</v>
      </c>
      <c r="BH50" s="311">
        <f t="shared" ref="BH50" ca="1" si="197">+BH47-BD47</f>
        <v>-1257.7145316853894</v>
      </c>
      <c r="BI50" s="311">
        <f t="shared" ref="BI50" ca="1" si="198">+BI47-BE47</f>
        <v>-1170.8524492860042</v>
      </c>
    </row>
    <row r="51" spans="2:63" s="271" customFormat="1">
      <c r="B51" s="282"/>
      <c r="C51" s="247"/>
      <c r="D51" s="282"/>
      <c r="E51" s="282"/>
      <c r="F51" s="302"/>
      <c r="G51" s="302"/>
      <c r="H51" s="302"/>
      <c r="I51" s="302"/>
      <c r="J51" s="302"/>
      <c r="K51" s="302"/>
      <c r="L51" s="302"/>
      <c r="M51" s="302"/>
      <c r="N51" s="302"/>
      <c r="O51" s="302"/>
      <c r="P51" s="302"/>
      <c r="Q51" s="247"/>
      <c r="R51" s="247"/>
      <c r="S51" s="247"/>
      <c r="T51" s="247"/>
      <c r="U51" s="247"/>
      <c r="V51" s="247"/>
      <c r="W51" s="283"/>
      <c r="X51" s="283"/>
      <c r="Y51" s="283"/>
      <c r="Z51" s="283"/>
      <c r="AA51" s="283"/>
      <c r="AB51" s="283"/>
      <c r="AC51" s="283"/>
      <c r="AD51" s="283"/>
      <c r="AE51" s="283"/>
      <c r="AF51" s="283"/>
      <c r="AG51" s="283"/>
      <c r="AH51" s="283"/>
      <c r="AI51" s="283"/>
      <c r="AJ51" s="283"/>
      <c r="AK51" s="283"/>
      <c r="AL51" s="283"/>
      <c r="AM51" s="283"/>
      <c r="AN51" s="283"/>
      <c r="AO51" s="283"/>
      <c r="AP51" s="283"/>
      <c r="AQ51" s="283"/>
      <c r="AR51" s="283"/>
      <c r="AS51" s="283"/>
      <c r="AT51" s="283"/>
      <c r="AU51" s="283"/>
      <c r="AV51" s="283"/>
      <c r="AW51" s="283"/>
      <c r="AX51" s="283"/>
      <c r="AY51" s="283"/>
      <c r="AZ51" s="283"/>
      <c r="BA51" s="283"/>
      <c r="BB51" s="283"/>
      <c r="BC51" s="283"/>
      <c r="BD51" s="283"/>
      <c r="BE51" s="283"/>
      <c r="BF51" s="283"/>
      <c r="BG51" s="283"/>
      <c r="BH51" s="283"/>
      <c r="BI51" s="283"/>
    </row>
    <row r="52" spans="2:63" s="252" customFormat="1" ht="15.75">
      <c r="B52" s="247" t="s">
        <v>347</v>
      </c>
      <c r="C52" s="247"/>
      <c r="D52" s="252">
        <f>SUM(AL52:AO52)</f>
        <v>17809.111349999999</v>
      </c>
      <c r="E52" s="247">
        <f>+SUM(AP52:AS52)</f>
        <v>20354.928899999999</v>
      </c>
      <c r="F52" s="306">
        <f>SUM(AT52:AW52)</f>
        <v>20648.519699999997</v>
      </c>
      <c r="G52" s="306">
        <f>SUM(AX52:BA52)</f>
        <v>23475.186300000001</v>
      </c>
      <c r="H52" s="306">
        <f>SUM(BB52:BE52)</f>
        <v>22346.161799999998</v>
      </c>
      <c r="I52" s="306">
        <f ca="1">SUM(BF52:BI52)</f>
        <v>22319.162028683662</v>
      </c>
      <c r="J52" s="312">
        <f ca="1">AVERAGE(I39:J39)*J53*12</f>
        <v>23304.291638079536</v>
      </c>
      <c r="K52" s="312">
        <f t="shared" ref="K52:P52" ca="1" si="199">AVERAGE(J39:K39)*K53*12</f>
        <v>24403.099469965673</v>
      </c>
      <c r="L52" s="312">
        <f t="shared" ca="1" si="199"/>
        <v>25463.801916931639</v>
      </c>
      <c r="M52" s="312">
        <f t="shared" ca="1" si="199"/>
        <v>26489.563127855821</v>
      </c>
      <c r="N52" s="312">
        <f t="shared" ca="1" si="199"/>
        <v>27483.257421903669</v>
      </c>
      <c r="O52" s="312">
        <f t="shared" ca="1" si="199"/>
        <v>28447.487120083293</v>
      </c>
      <c r="P52" s="312">
        <f t="shared" ca="1" si="199"/>
        <v>29384.599956906408</v>
      </c>
      <c r="Q52" s="247"/>
      <c r="R52" s="312">
        <f>AVERAGE(Q39:R39)*R53*3</f>
        <v>3810.9978000000001</v>
      </c>
      <c r="S52" s="312">
        <f t="shared" ref="S52:BE52" si="200">AVERAGE(R39:S39)*S53*3</f>
        <v>3548.5254000000004</v>
      </c>
      <c r="T52" s="312">
        <f t="shared" si="200"/>
        <v>3789.86445</v>
      </c>
      <c r="U52" s="312">
        <f t="shared" si="200"/>
        <v>3804.5939999999996</v>
      </c>
      <c r="V52" s="312">
        <f t="shared" si="200"/>
        <v>3632.6394</v>
      </c>
      <c r="W52" s="312">
        <f t="shared" si="200"/>
        <v>3503.8704000000007</v>
      </c>
      <c r="X52" s="312">
        <f t="shared" si="200"/>
        <v>3433.4748</v>
      </c>
      <c r="Y52" s="312">
        <f t="shared" si="200"/>
        <v>3551.0508</v>
      </c>
      <c r="Z52" s="312">
        <f t="shared" si="200"/>
        <v>3356.0865000000003</v>
      </c>
      <c r="AA52" s="312">
        <f t="shared" si="200"/>
        <v>3427.2139499999998</v>
      </c>
      <c r="AB52" s="312">
        <f t="shared" si="200"/>
        <v>3621.2417999999998</v>
      </c>
      <c r="AC52" s="312">
        <f t="shared" si="200"/>
        <v>3728.2806</v>
      </c>
      <c r="AD52" s="312">
        <f t="shared" si="200"/>
        <v>3938.3219999999997</v>
      </c>
      <c r="AE52" s="312">
        <f t="shared" si="200"/>
        <v>4207.0743000000002</v>
      </c>
      <c r="AF52" s="312">
        <f t="shared" si="200"/>
        <v>3827.5776000000005</v>
      </c>
      <c r="AG52" s="312">
        <f t="shared" si="200"/>
        <v>4253.0872499999996</v>
      </c>
      <c r="AH52" s="312">
        <f t="shared" si="200"/>
        <v>4568.4733499999993</v>
      </c>
      <c r="AI52" s="312">
        <f t="shared" si="200"/>
        <v>3701.8841999999995</v>
      </c>
      <c r="AJ52" s="312">
        <f t="shared" si="200"/>
        <v>4242.6477000000004</v>
      </c>
      <c r="AK52" s="312">
        <f t="shared" si="200"/>
        <v>4533.2363999999998</v>
      </c>
      <c r="AL52" s="312">
        <f t="shared" si="200"/>
        <v>4434.1055999999999</v>
      </c>
      <c r="AM52" s="312">
        <f t="shared" si="200"/>
        <v>4388.7335999999996</v>
      </c>
      <c r="AN52" s="312">
        <f t="shared" si="200"/>
        <v>4270.7899500000003</v>
      </c>
      <c r="AO52" s="312">
        <f t="shared" si="200"/>
        <v>4715.4822000000004</v>
      </c>
      <c r="AP52" s="312">
        <f t="shared" si="200"/>
        <v>4720.2314999999999</v>
      </c>
      <c r="AQ52" s="312">
        <f t="shared" si="200"/>
        <v>5129.8883999999998</v>
      </c>
      <c r="AR52" s="312">
        <f t="shared" si="200"/>
        <v>4799.7936</v>
      </c>
      <c r="AS52" s="312">
        <f t="shared" si="200"/>
        <v>5705.0154000000002</v>
      </c>
      <c r="AT52" s="312">
        <f t="shared" si="200"/>
        <v>5088.8459999999995</v>
      </c>
      <c r="AU52" s="312">
        <f t="shared" si="200"/>
        <v>4827.4940999999999</v>
      </c>
      <c r="AV52" s="312">
        <f t="shared" si="200"/>
        <v>4993.6445999999996</v>
      </c>
      <c r="AW52" s="312">
        <f t="shared" si="200"/>
        <v>5738.5349999999999</v>
      </c>
      <c r="AX52" s="312">
        <f t="shared" si="200"/>
        <v>5518.5105000000003</v>
      </c>
      <c r="AY52" s="312">
        <f t="shared" si="200"/>
        <v>5310.5625</v>
      </c>
      <c r="AZ52" s="312">
        <f t="shared" si="200"/>
        <v>5766.8602500000006</v>
      </c>
      <c r="BA52" s="312">
        <f t="shared" si="200"/>
        <v>6879.2530500000003</v>
      </c>
      <c r="BB52" s="312">
        <f t="shared" si="200"/>
        <v>5892.7862999999998</v>
      </c>
      <c r="BC52" s="312">
        <f t="shared" si="200"/>
        <v>5197.7856000000002</v>
      </c>
      <c r="BD52" s="312">
        <f t="shared" si="200"/>
        <v>5451.4547999999995</v>
      </c>
      <c r="BE52" s="312">
        <f t="shared" si="200"/>
        <v>5804.1351000000004</v>
      </c>
      <c r="BF52" s="312">
        <f t="shared" ref="BF52" ca="1" si="201">AVERAGE(BE39:BF39)*BF53*3</f>
        <v>5585.4271575793282</v>
      </c>
      <c r="BG52" s="312">
        <f t="shared" ref="BG52" ca="1" si="202">AVERAGE(BF39:BG39)*BG53*3</f>
        <v>5316.6771196086083</v>
      </c>
      <c r="BH52" s="312">
        <f t="shared" ref="BH52" ca="1" si="203">AVERAGE(BG39:BH39)*BH53*3</f>
        <v>5364.8258260905604</v>
      </c>
      <c r="BI52" s="312">
        <f t="shared" ref="BI52" ca="1" si="204">AVERAGE(BH39:BI39)*BI53*3</f>
        <v>6052.2319254051663</v>
      </c>
      <c r="BK52" s="152"/>
    </row>
    <row r="53" spans="2:63" s="289" customFormat="1">
      <c r="B53" s="275" t="s">
        <v>314</v>
      </c>
      <c r="C53" s="282"/>
      <c r="D53" s="310">
        <f>D52/AVERAGE(AK39,D39)/12</f>
        <v>1.3657314926863383E-2</v>
      </c>
      <c r="E53" s="310">
        <f>E52/AVERAGE(D39:E39)/12</f>
        <v>1.4690547568527258E-2</v>
      </c>
      <c r="F53" s="310">
        <f>F52/AVERAGE(E39:F39)/12</f>
        <v>1.3810203897365104E-2</v>
      </c>
      <c r="G53" s="310">
        <f>G52/AVERAGE(F39:G39)/12</f>
        <v>1.4848371530821749E-2</v>
      </c>
      <c r="H53" s="310">
        <f>H52/AVERAGE(G39:H39)/12</f>
        <v>1.3473263368858209E-2</v>
      </c>
      <c r="I53" s="310">
        <f ca="1">I52/AVERAGE(H39:I39)/12</f>
        <v>1.2937978630660117E-2</v>
      </c>
      <c r="J53" s="310">
        <f ca="1">+I53+J55/10000</f>
        <v>1.3037978630660117E-2</v>
      </c>
      <c r="K53" s="310">
        <f t="shared" ref="K53:P53" ca="1" si="205">+J53+K55/10000</f>
        <v>1.3137978630660116E-2</v>
      </c>
      <c r="L53" s="310">
        <f t="shared" ca="1" si="205"/>
        <v>1.3237978630660115E-2</v>
      </c>
      <c r="M53" s="310">
        <f t="shared" ca="1" si="205"/>
        <v>1.3337978630660115E-2</v>
      </c>
      <c r="N53" s="310">
        <f t="shared" ca="1" si="205"/>
        <v>1.3437978630660114E-2</v>
      </c>
      <c r="O53" s="310">
        <f t="shared" ca="1" si="205"/>
        <v>1.3537978630660114E-2</v>
      </c>
      <c r="P53" s="310">
        <f t="shared" ca="1" si="205"/>
        <v>1.3637978630660113E-2</v>
      </c>
      <c r="Q53" s="282"/>
      <c r="R53" s="313">
        <v>1.78E-2</v>
      </c>
      <c r="S53" s="313">
        <v>1.6400000000000001E-2</v>
      </c>
      <c r="T53" s="313">
        <v>1.7100000000000001E-2</v>
      </c>
      <c r="U53" s="313">
        <v>1.67E-2</v>
      </c>
      <c r="V53" s="313">
        <v>1.5599999999999999E-2</v>
      </c>
      <c r="W53" s="313">
        <v>1.4800000000000001E-2</v>
      </c>
      <c r="X53" s="313">
        <v>1.4200000000000001E-2</v>
      </c>
      <c r="Y53" s="313">
        <v>1.4200000000000001E-2</v>
      </c>
      <c r="Z53" s="313">
        <v>1.2999999999999999E-2</v>
      </c>
      <c r="AA53" s="313">
        <v>1.29E-2</v>
      </c>
      <c r="AB53" s="313">
        <v>1.32E-2</v>
      </c>
      <c r="AC53" s="313">
        <v>1.32E-2</v>
      </c>
      <c r="AD53" s="313">
        <v>1.3599999999999999E-2</v>
      </c>
      <c r="AE53" s="313">
        <v>1.43E-2</v>
      </c>
      <c r="AF53" s="313">
        <v>1.2800000000000001E-2</v>
      </c>
      <c r="AG53" s="313">
        <v>1.3899999999999999E-2</v>
      </c>
      <c r="AH53" s="313">
        <v>1.47E-2</v>
      </c>
      <c r="AI53" s="313">
        <v>1.18E-2</v>
      </c>
      <c r="AJ53" s="313">
        <v>1.34E-2</v>
      </c>
      <c r="AK53" s="313">
        <v>1.4200000000000001E-2</v>
      </c>
      <c r="AL53" s="313">
        <v>1.38E-2</v>
      </c>
      <c r="AM53" s="313">
        <v>1.3599999999999999E-2</v>
      </c>
      <c r="AN53" s="313">
        <v>1.3100000000000001E-2</v>
      </c>
      <c r="AO53" s="313">
        <v>1.43E-2</v>
      </c>
      <c r="AP53" s="313">
        <v>1.3899999999999999E-2</v>
      </c>
      <c r="AQ53" s="313">
        <v>1.47E-2</v>
      </c>
      <c r="AR53" s="313">
        <v>1.3599999999999999E-2</v>
      </c>
      <c r="AS53" s="313">
        <v>1.5900000000000001E-2</v>
      </c>
      <c r="AT53" s="313">
        <v>1.4E-2</v>
      </c>
      <c r="AU53" s="313">
        <v>1.3100000000000001E-2</v>
      </c>
      <c r="AV53" s="313">
        <v>1.3299999999999999E-2</v>
      </c>
      <c r="AW53" s="313">
        <v>1.4999999999999999E-2</v>
      </c>
      <c r="AX53" s="313">
        <v>1.4200000000000001E-2</v>
      </c>
      <c r="AY53" s="313">
        <v>1.35E-2</v>
      </c>
      <c r="AZ53" s="313">
        <v>1.4500000000000001E-2</v>
      </c>
      <c r="BA53" s="313">
        <v>1.7100000000000001E-2</v>
      </c>
      <c r="BB53" s="313">
        <v>1.46E-2</v>
      </c>
      <c r="BC53" s="313">
        <v>1.2800000000000001E-2</v>
      </c>
      <c r="BD53" s="313">
        <v>1.32E-2</v>
      </c>
      <c r="BE53" s="313">
        <v>1.38E-2</v>
      </c>
      <c r="BF53" s="289">
        <f t="shared" ref="BF53" si="206">+BE53+BF54/10000</f>
        <v>1.3114285714285714E-2</v>
      </c>
      <c r="BG53" s="289">
        <f t="shared" ref="BG53" si="207">+BF53+BG54/10000</f>
        <v>1.24E-2</v>
      </c>
      <c r="BH53" s="289">
        <f t="shared" ref="BH53" si="208">+BG53+BH54/10000</f>
        <v>1.2414285714285715E-2</v>
      </c>
      <c r="BI53" s="289">
        <f t="shared" ref="BI53" si="209">+BH53+BI54/10000</f>
        <v>1.3885714285714286E-2</v>
      </c>
    </row>
    <row r="54" spans="2:63" s="288" customFormat="1">
      <c r="B54" s="298" t="s">
        <v>341</v>
      </c>
      <c r="C54" s="298"/>
      <c r="D54" s="298"/>
      <c r="E54" s="309"/>
      <c r="F54" s="309"/>
      <c r="G54" s="309"/>
      <c r="H54" s="309"/>
      <c r="I54" s="309"/>
      <c r="J54" s="204"/>
      <c r="K54" s="204"/>
      <c r="L54" s="204"/>
      <c r="M54" s="204"/>
      <c r="N54" s="204"/>
      <c r="O54" s="204"/>
      <c r="P54" s="204"/>
      <c r="Q54" s="298"/>
      <c r="R54" s="206"/>
      <c r="S54" s="206">
        <f t="shared" ref="S54:BE54" si="210">+(S53-R53)*10000</f>
        <v>-13.999999999999984</v>
      </c>
      <c r="T54" s="206">
        <f t="shared" si="210"/>
        <v>6.999999999999992</v>
      </c>
      <c r="U54" s="206">
        <f t="shared" si="210"/>
        <v>-4.0000000000000107</v>
      </c>
      <c r="V54" s="206">
        <f t="shared" si="210"/>
        <v>-11.000000000000004</v>
      </c>
      <c r="W54" s="206">
        <f t="shared" si="210"/>
        <v>-7.9999999999999867</v>
      </c>
      <c r="X54" s="206">
        <f t="shared" si="210"/>
        <v>-5.9999999999999982</v>
      </c>
      <c r="Y54" s="206">
        <f t="shared" si="210"/>
        <v>0</v>
      </c>
      <c r="Z54" s="206">
        <f t="shared" si="210"/>
        <v>-12.000000000000014</v>
      </c>
      <c r="AA54" s="206">
        <f t="shared" si="210"/>
        <v>-0.999999999999994</v>
      </c>
      <c r="AB54" s="206">
        <f t="shared" si="210"/>
        <v>2.9999999999999991</v>
      </c>
      <c r="AC54" s="206">
        <f t="shared" si="210"/>
        <v>0</v>
      </c>
      <c r="AD54" s="206">
        <f t="shared" si="210"/>
        <v>3.9999999999999933</v>
      </c>
      <c r="AE54" s="206">
        <f t="shared" si="210"/>
        <v>7.0000000000000098</v>
      </c>
      <c r="AF54" s="206">
        <f t="shared" si="210"/>
        <v>-14.999999999999996</v>
      </c>
      <c r="AG54" s="206">
        <f t="shared" si="210"/>
        <v>10.999999999999986</v>
      </c>
      <c r="AH54" s="206">
        <f t="shared" si="210"/>
        <v>8.0000000000000036</v>
      </c>
      <c r="AI54" s="206">
        <f t="shared" si="210"/>
        <v>-28.999999999999996</v>
      </c>
      <c r="AJ54" s="206">
        <f t="shared" si="210"/>
        <v>16.000000000000007</v>
      </c>
      <c r="AK54" s="206">
        <f t="shared" si="210"/>
        <v>8.0000000000000036</v>
      </c>
      <c r="AL54" s="206">
        <f t="shared" si="210"/>
        <v>-4.0000000000000107</v>
      </c>
      <c r="AM54" s="206">
        <f t="shared" si="210"/>
        <v>-2.0000000000000053</v>
      </c>
      <c r="AN54" s="206">
        <f t="shared" si="210"/>
        <v>-4.9999999999999867</v>
      </c>
      <c r="AO54" s="206">
        <f t="shared" si="210"/>
        <v>11.999999999999996</v>
      </c>
      <c r="AP54" s="206">
        <f t="shared" si="210"/>
        <v>-4.0000000000000107</v>
      </c>
      <c r="AQ54" s="206">
        <f t="shared" si="210"/>
        <v>8.0000000000000036</v>
      </c>
      <c r="AR54" s="206">
        <f t="shared" si="210"/>
        <v>-11.000000000000004</v>
      </c>
      <c r="AS54" s="206">
        <f t="shared" si="210"/>
        <v>23.000000000000018</v>
      </c>
      <c r="AT54" s="206">
        <f t="shared" si="210"/>
        <v>-19.000000000000007</v>
      </c>
      <c r="AU54" s="206">
        <f t="shared" si="210"/>
        <v>-8.9999999999999982</v>
      </c>
      <c r="AV54" s="206">
        <f t="shared" si="210"/>
        <v>1.999999999999988</v>
      </c>
      <c r="AW54" s="206">
        <f t="shared" si="210"/>
        <v>17</v>
      </c>
      <c r="AX54" s="311">
        <f t="shared" si="210"/>
        <v>-7.9999999999999867</v>
      </c>
      <c r="AY54" s="311">
        <f t="shared" si="210"/>
        <v>-7.0000000000000098</v>
      </c>
      <c r="AZ54" s="311">
        <f t="shared" si="210"/>
        <v>10.000000000000009</v>
      </c>
      <c r="BA54" s="311">
        <f t="shared" si="210"/>
        <v>26</v>
      </c>
      <c r="BB54" s="311">
        <f t="shared" si="210"/>
        <v>-25.000000000000004</v>
      </c>
      <c r="BC54" s="311">
        <f t="shared" si="210"/>
        <v>-17.999999999999996</v>
      </c>
      <c r="BD54" s="311">
        <f t="shared" si="210"/>
        <v>3.9999999999999933</v>
      </c>
      <c r="BE54" s="311">
        <f t="shared" si="210"/>
        <v>5.9999999999999982</v>
      </c>
      <c r="BF54" s="209">
        <f t="shared" ref="BF54" si="211">AVERAGE(BB54,AX54,AT54,AP54,AL54,AH54,AD54)</f>
        <v>-6.8571428571428621</v>
      </c>
      <c r="BG54" s="209">
        <f t="shared" ref="BG54" si="212">AVERAGE(BC54,AY54,AU54,AQ54,AM54,AI54,AE54)</f>
        <v>-7.1428571428571415</v>
      </c>
      <c r="BH54" s="209">
        <f t="shared" ref="BH54" si="213">AVERAGE(BD54,AZ54,AV54,AR54,AN54,AJ54,AF54)</f>
        <v>0.14285714285714438</v>
      </c>
      <c r="BI54" s="209">
        <f t="shared" ref="BI54" si="214">AVERAGE(BE54,BA54,AW54,AS54,AO54,AK54,AG54)</f>
        <v>14.714285714285714</v>
      </c>
    </row>
    <row r="55" spans="2:63" s="288" customFormat="1">
      <c r="B55" s="298" t="s">
        <v>340</v>
      </c>
      <c r="C55" s="298"/>
      <c r="D55" s="298"/>
      <c r="E55" s="311">
        <f>+(E53-D53)*10000</f>
        <v>10.33232641663875</v>
      </c>
      <c r="F55" s="311">
        <f>+(F53-E53)*10000</f>
        <v>-8.80343671162154</v>
      </c>
      <c r="G55" s="311">
        <f>+(G53-F53)*10000</f>
        <v>10.381676334566443</v>
      </c>
      <c r="H55" s="311">
        <f>+(H53-G53)*10000</f>
        <v>-13.751081619635396</v>
      </c>
      <c r="I55" s="311">
        <f ca="1">+(I53-H53)*10000</f>
        <v>-5.3528473819809168</v>
      </c>
      <c r="J55" s="217">
        <v>1</v>
      </c>
      <c r="K55" s="217">
        <v>1</v>
      </c>
      <c r="L55" s="217">
        <v>1</v>
      </c>
      <c r="M55" s="217">
        <v>1</v>
      </c>
      <c r="N55" s="217">
        <v>1</v>
      </c>
      <c r="O55" s="217">
        <v>1</v>
      </c>
      <c r="P55" s="217">
        <v>1</v>
      </c>
      <c r="Q55" s="298"/>
      <c r="R55" s="206"/>
      <c r="S55" s="206"/>
      <c r="T55" s="206"/>
      <c r="U55" s="206"/>
      <c r="V55" s="206">
        <f t="shared" ref="V55:BE55" si="215">+(V53-R53)*10000</f>
        <v>-22.000000000000007</v>
      </c>
      <c r="W55" s="206">
        <f t="shared" si="215"/>
        <v>-16.000000000000007</v>
      </c>
      <c r="X55" s="206">
        <f t="shared" si="215"/>
        <v>-28.999999999999996</v>
      </c>
      <c r="Y55" s="206">
        <f t="shared" si="215"/>
        <v>-24.999999999999986</v>
      </c>
      <c r="Z55" s="206">
        <f t="shared" si="215"/>
        <v>-26</v>
      </c>
      <c r="AA55" s="206">
        <f t="shared" si="215"/>
        <v>-19.000000000000007</v>
      </c>
      <c r="AB55" s="206">
        <f t="shared" si="215"/>
        <v>-10.000000000000009</v>
      </c>
      <c r="AC55" s="206">
        <f t="shared" si="215"/>
        <v>-10.000000000000009</v>
      </c>
      <c r="AD55" s="206">
        <f t="shared" si="215"/>
        <v>5.9999999999999982</v>
      </c>
      <c r="AE55" s="206">
        <f t="shared" si="215"/>
        <v>14.000000000000002</v>
      </c>
      <c r="AF55" s="206">
        <f t="shared" si="215"/>
        <v>-3.9999999999999933</v>
      </c>
      <c r="AG55" s="206">
        <f t="shared" si="215"/>
        <v>6.999999999999992</v>
      </c>
      <c r="AH55" s="206">
        <f t="shared" si="215"/>
        <v>11.000000000000004</v>
      </c>
      <c r="AI55" s="206">
        <f t="shared" si="215"/>
        <v>-25.000000000000004</v>
      </c>
      <c r="AJ55" s="206">
        <f t="shared" si="215"/>
        <v>5.9999999999999982</v>
      </c>
      <c r="AK55" s="206">
        <f t="shared" si="215"/>
        <v>3.0000000000000164</v>
      </c>
      <c r="AL55" s="206">
        <f t="shared" si="215"/>
        <v>-8.9999999999999982</v>
      </c>
      <c r="AM55" s="206">
        <f t="shared" si="215"/>
        <v>17.999999999999996</v>
      </c>
      <c r="AN55" s="206">
        <f t="shared" si="215"/>
        <v>-2.9999999999999991</v>
      </c>
      <c r="AO55" s="206">
        <f t="shared" si="215"/>
        <v>0.999999999999994</v>
      </c>
      <c r="AP55" s="206">
        <f t="shared" si="215"/>
        <v>0.999999999999994</v>
      </c>
      <c r="AQ55" s="206">
        <f t="shared" si="215"/>
        <v>11.000000000000004</v>
      </c>
      <c r="AR55" s="206">
        <f t="shared" si="215"/>
        <v>4.9999999999999867</v>
      </c>
      <c r="AS55" s="206">
        <f t="shared" si="215"/>
        <v>16.000000000000007</v>
      </c>
      <c r="AT55" s="206">
        <f t="shared" si="215"/>
        <v>1.0000000000000113</v>
      </c>
      <c r="AU55" s="206">
        <f t="shared" si="215"/>
        <v>-15.999999999999989</v>
      </c>
      <c r="AV55" s="206">
        <f t="shared" si="215"/>
        <v>-2.9999999999999991</v>
      </c>
      <c r="AW55" s="206">
        <f t="shared" si="215"/>
        <v>-9.0000000000000142</v>
      </c>
      <c r="AX55" s="311">
        <f t="shared" si="215"/>
        <v>2.0000000000000053</v>
      </c>
      <c r="AY55" s="311">
        <f t="shared" si="215"/>
        <v>3.9999999999999933</v>
      </c>
      <c r="AZ55" s="311">
        <f t="shared" si="215"/>
        <v>12.000000000000014</v>
      </c>
      <c r="BA55" s="311">
        <f t="shared" si="215"/>
        <v>21.000000000000011</v>
      </c>
      <c r="BB55" s="311">
        <f t="shared" si="215"/>
        <v>3.9999999999999933</v>
      </c>
      <c r="BC55" s="311">
        <f t="shared" si="215"/>
        <v>-6.999999999999992</v>
      </c>
      <c r="BD55" s="311">
        <f t="shared" si="215"/>
        <v>-13.000000000000009</v>
      </c>
      <c r="BE55" s="311">
        <f t="shared" si="215"/>
        <v>-33.000000000000007</v>
      </c>
      <c r="BF55" s="311">
        <f t="shared" ref="BF55" si="216">+(BF53-BB53)*10000</f>
        <v>-14.857142857142865</v>
      </c>
      <c r="BG55" s="311">
        <f t="shared" ref="BG55" si="217">+(BG53-BC53)*10000</f>
        <v>-4.0000000000000107</v>
      </c>
      <c r="BH55" s="311">
        <f t="shared" ref="BH55" si="218">+(BH53-BD53)*10000</f>
        <v>-7.8571428571428541</v>
      </c>
      <c r="BI55" s="311">
        <f t="shared" ref="BI55" si="219">+(BI53-BE53)*10000</f>
        <v>0.85714285714286187</v>
      </c>
    </row>
    <row r="56" spans="2:63" ht="15.75" thickBot="1">
      <c r="B56" s="161"/>
      <c r="C56" s="168"/>
      <c r="D56" s="161"/>
      <c r="E56" s="161"/>
      <c r="F56" s="161"/>
      <c r="G56" s="177"/>
      <c r="H56" s="177"/>
      <c r="I56" s="177"/>
      <c r="J56" s="161"/>
      <c r="K56" s="177"/>
      <c r="L56" s="177"/>
      <c r="M56" s="177"/>
      <c r="N56" s="177"/>
      <c r="O56" s="177"/>
      <c r="P56" s="177"/>
      <c r="Q56" s="274"/>
      <c r="R56" s="168"/>
      <c r="S56" s="168"/>
      <c r="T56" s="168"/>
      <c r="U56" s="168"/>
      <c r="V56" s="168"/>
      <c r="W56" s="168"/>
      <c r="X56" s="168"/>
      <c r="Y56" s="168"/>
      <c r="Z56" s="168"/>
      <c r="AA56" s="168"/>
      <c r="AB56" s="168"/>
      <c r="AC56" s="168"/>
      <c r="AD56" s="168"/>
      <c r="AE56" s="168"/>
      <c r="AF56" s="168"/>
      <c r="AG56" s="168"/>
      <c r="AH56" s="168"/>
      <c r="AI56" s="168"/>
      <c r="AJ56" s="168"/>
      <c r="AK56" s="168"/>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row>
    <row r="57" spans="2:63" s="251" customFormat="1" ht="15.75" thickBot="1">
      <c r="B57" s="194" t="s">
        <v>316</v>
      </c>
      <c r="C57" s="163"/>
      <c r="D57" s="195">
        <f>+D$6</f>
        <v>2013</v>
      </c>
      <c r="E57" s="196">
        <f t="shared" ref="E57:P57" si="220">+E$6</f>
        <v>2014</v>
      </c>
      <c r="F57" s="196">
        <f t="shared" si="220"/>
        <v>2015</v>
      </c>
      <c r="G57" s="196">
        <f t="shared" si="220"/>
        <v>2016</v>
      </c>
      <c r="H57" s="196">
        <f t="shared" si="220"/>
        <v>2017</v>
      </c>
      <c r="I57" s="196" t="str">
        <f t="shared" si="220"/>
        <v>2018E</v>
      </c>
      <c r="J57" s="196" t="str">
        <f t="shared" si="220"/>
        <v>2019E</v>
      </c>
      <c r="K57" s="196" t="str">
        <f t="shared" si="220"/>
        <v>2020E</v>
      </c>
      <c r="L57" s="196" t="str">
        <f t="shared" si="220"/>
        <v>2021E</v>
      </c>
      <c r="M57" s="196" t="str">
        <f t="shared" si="220"/>
        <v>2022E</v>
      </c>
      <c r="N57" s="196" t="str">
        <f t="shared" si="220"/>
        <v>2023E</v>
      </c>
      <c r="O57" s="196" t="str">
        <f t="shared" si="220"/>
        <v>2024E</v>
      </c>
      <c r="P57" s="197" t="str">
        <f t="shared" si="220"/>
        <v>2025E</v>
      </c>
      <c r="Q57" s="318"/>
      <c r="R57" s="196" t="s">
        <v>228</v>
      </c>
      <c r="S57" s="196" t="s">
        <v>229</v>
      </c>
      <c r="T57" s="196" t="s">
        <v>230</v>
      </c>
      <c r="U57" s="196" t="s">
        <v>231</v>
      </c>
      <c r="V57" s="196" t="s">
        <v>232</v>
      </c>
      <c r="W57" s="196" t="s">
        <v>233</v>
      </c>
      <c r="X57" s="196" t="s">
        <v>234</v>
      </c>
      <c r="Y57" s="196" t="s">
        <v>235</v>
      </c>
      <c r="Z57" s="196" t="s">
        <v>236</v>
      </c>
      <c r="AA57" s="196" t="s">
        <v>237</v>
      </c>
      <c r="AB57" s="196" t="s">
        <v>238</v>
      </c>
      <c r="AC57" s="196" t="s">
        <v>239</v>
      </c>
      <c r="AD57" s="196" t="s">
        <v>240</v>
      </c>
      <c r="AE57" s="196" t="s">
        <v>241</v>
      </c>
      <c r="AF57" s="196" t="s">
        <v>242</v>
      </c>
      <c r="AG57" s="196" t="s">
        <v>243</v>
      </c>
      <c r="AH57" s="196" t="s">
        <v>244</v>
      </c>
      <c r="AI57" s="196" t="s">
        <v>245</v>
      </c>
      <c r="AJ57" s="196" t="s">
        <v>246</v>
      </c>
      <c r="AK57" s="196" t="s">
        <v>247</v>
      </c>
      <c r="AL57" s="196" t="s">
        <v>248</v>
      </c>
      <c r="AM57" s="196" t="s">
        <v>249</v>
      </c>
      <c r="AN57" s="196" t="s">
        <v>250</v>
      </c>
      <c r="AO57" s="196" t="s">
        <v>251</v>
      </c>
      <c r="AP57" s="196" t="s">
        <v>156</v>
      </c>
      <c r="AQ57" s="196" t="s">
        <v>157</v>
      </c>
      <c r="AR57" s="196" t="s">
        <v>158</v>
      </c>
      <c r="AS57" s="196" t="s">
        <v>159</v>
      </c>
      <c r="AT57" s="196" t="str">
        <f>+AT$6</f>
        <v>1Q15</v>
      </c>
      <c r="AU57" s="196" t="str">
        <f t="shared" ref="AU57:BI57" si="221">+AU$6</f>
        <v>2Q15</v>
      </c>
      <c r="AV57" s="196" t="str">
        <f t="shared" si="221"/>
        <v>3Q15</v>
      </c>
      <c r="AW57" s="196" t="str">
        <f t="shared" si="221"/>
        <v>4Q15</v>
      </c>
      <c r="AX57" s="196" t="str">
        <f t="shared" si="221"/>
        <v>1Q16</v>
      </c>
      <c r="AY57" s="196" t="str">
        <f t="shared" si="221"/>
        <v>2Q16</v>
      </c>
      <c r="AZ57" s="196" t="str">
        <f t="shared" si="221"/>
        <v>3Q16</v>
      </c>
      <c r="BA57" s="196" t="str">
        <f t="shared" si="221"/>
        <v>4Q16</v>
      </c>
      <c r="BB57" s="196" t="str">
        <f t="shared" si="221"/>
        <v>1Q17</v>
      </c>
      <c r="BC57" s="196" t="str">
        <f t="shared" si="221"/>
        <v>2Q17</v>
      </c>
      <c r="BD57" s="196" t="str">
        <f t="shared" si="221"/>
        <v>3Q17</v>
      </c>
      <c r="BE57" s="196" t="str">
        <f t="shared" si="221"/>
        <v>4Q17</v>
      </c>
      <c r="BF57" s="196" t="str">
        <f t="shared" si="221"/>
        <v>1Q18E</v>
      </c>
      <c r="BG57" s="196" t="str">
        <f t="shared" si="221"/>
        <v>2Q18E</v>
      </c>
      <c r="BH57" s="196" t="str">
        <f t="shared" si="221"/>
        <v>3Q18E</v>
      </c>
      <c r="BI57" s="197" t="str">
        <f t="shared" si="221"/>
        <v>4Q18E</v>
      </c>
    </row>
    <row r="58" spans="2:63">
      <c r="C58" s="274"/>
      <c r="Q58" s="274"/>
      <c r="R58" s="274"/>
      <c r="S58" s="274"/>
      <c r="T58" s="274"/>
      <c r="U58" s="274"/>
      <c r="V58" s="274"/>
      <c r="W58" s="274"/>
      <c r="X58" s="274"/>
      <c r="Y58" s="274"/>
      <c r="Z58" s="274"/>
      <c r="AA58" s="274"/>
      <c r="AB58" s="274"/>
      <c r="AC58" s="274"/>
      <c r="AD58" s="274"/>
      <c r="AE58" s="274"/>
      <c r="AF58" s="274"/>
      <c r="AG58" s="274"/>
      <c r="AH58" s="274"/>
      <c r="AI58" s="274"/>
      <c r="AJ58" s="274"/>
      <c r="AK58" s="274"/>
    </row>
    <row r="59" spans="2:63" s="240" customFormat="1" ht="15.75">
      <c r="B59" s="240" t="s">
        <v>179</v>
      </c>
      <c r="C59" s="247"/>
      <c r="D59" s="252">
        <f>SUM(AL59:AO59)</f>
        <v>56488.806300000004</v>
      </c>
      <c r="E59" s="247">
        <f>+SUM(AP59:AS59)</f>
        <v>53978.989650000003</v>
      </c>
      <c r="F59" s="306">
        <f>SUM(AT59:AW59)</f>
        <v>52183.755555000011</v>
      </c>
      <c r="G59" s="306">
        <f>SUM(AX59:BA59)</f>
        <v>50630.902635000006</v>
      </c>
      <c r="H59" s="306">
        <f>SUM(BB59:BE59)</f>
        <v>48830.566409999999</v>
      </c>
      <c r="I59" s="306">
        <f ca="1">SUM(BF59:BI59)</f>
        <v>48393.85908646015</v>
      </c>
      <c r="J59" s="339">
        <f ca="1">J62*AVERAGE(I67:J67)*12/1000</f>
        <v>48033.352898131801</v>
      </c>
      <c r="K59" s="339">
        <f t="shared" ref="K59:P59" ca="1" si="222">K62*AVERAGE(J67:K67)*12/1000</f>
        <v>47469.543735079926</v>
      </c>
      <c r="L59" s="339">
        <f t="shared" ca="1" si="222"/>
        <v>46729.423230394779</v>
      </c>
      <c r="M59" s="339">
        <f t="shared" ca="1" si="222"/>
        <v>45837.825972158404</v>
      </c>
      <c r="N59" s="339">
        <f t="shared" ca="1" si="222"/>
        <v>44817.515843884044</v>
      </c>
      <c r="O59" s="339">
        <f t="shared" ca="1" si="222"/>
        <v>43689.280116508671</v>
      </c>
      <c r="P59" s="339">
        <f t="shared" ca="1" si="222"/>
        <v>42472.029148422283</v>
      </c>
      <c r="Q59" s="247"/>
      <c r="R59" s="247"/>
      <c r="S59" s="247"/>
      <c r="T59" s="247"/>
      <c r="U59" s="247"/>
      <c r="V59" s="247"/>
      <c r="W59" s="247"/>
      <c r="X59" s="247"/>
      <c r="Y59" s="247"/>
      <c r="Z59" s="247"/>
      <c r="AA59" s="247"/>
      <c r="AB59" s="247"/>
      <c r="AC59" s="247"/>
      <c r="AD59" s="339">
        <f t="shared" ref="AD59:BE59" si="223">AD62*AVERAGE(AC67:AD67)*3/1000</f>
        <v>12941.353754999998</v>
      </c>
      <c r="AE59" s="339">
        <f t="shared" si="223"/>
        <v>13069.239075</v>
      </c>
      <c r="AF59" s="339">
        <f t="shared" si="223"/>
        <v>13085.142345</v>
      </c>
      <c r="AG59" s="339">
        <f t="shared" si="223"/>
        <v>13190.95572</v>
      </c>
      <c r="AH59" s="339">
        <f t="shared" si="223"/>
        <v>13412.063279999998</v>
      </c>
      <c r="AI59" s="339">
        <f t="shared" si="223"/>
        <v>13544.625255000003</v>
      </c>
      <c r="AJ59" s="339">
        <f t="shared" si="223"/>
        <v>13634.591399999999</v>
      </c>
      <c r="AK59" s="339">
        <f t="shared" si="223"/>
        <v>13669.582680000001</v>
      </c>
      <c r="AL59" s="339">
        <f t="shared" si="223"/>
        <v>13773.603690000002</v>
      </c>
      <c r="AM59" s="339">
        <f t="shared" si="223"/>
        <v>14086.237859999999</v>
      </c>
      <c r="AN59" s="339">
        <f t="shared" si="223"/>
        <v>14230.683000000001</v>
      </c>
      <c r="AO59" s="339">
        <f t="shared" si="223"/>
        <v>14398.28175</v>
      </c>
      <c r="AP59" s="339">
        <f t="shared" si="223"/>
        <v>14046.395895</v>
      </c>
      <c r="AQ59" s="339">
        <f t="shared" si="223"/>
        <v>13232.925720000001</v>
      </c>
      <c r="AR59" s="339">
        <f t="shared" si="223"/>
        <v>13476.228660000001</v>
      </c>
      <c r="AS59" s="339">
        <f>AS62*AVERAGE(AR67:AS67)*3/1000</f>
        <v>13223.439375</v>
      </c>
      <c r="AT59" s="339">
        <f t="shared" si="223"/>
        <v>13002.693375000001</v>
      </c>
      <c r="AU59" s="339">
        <f t="shared" si="223"/>
        <v>13249.640160000003</v>
      </c>
      <c r="AV59" s="339">
        <f t="shared" si="223"/>
        <v>13111.116899999999</v>
      </c>
      <c r="AW59" s="339">
        <f t="shared" si="223"/>
        <v>12820.305120000001</v>
      </c>
      <c r="AX59" s="339">
        <f t="shared" si="223"/>
        <v>12738.929370000002</v>
      </c>
      <c r="AY59" s="339">
        <f t="shared" si="223"/>
        <v>12733.773015000001</v>
      </c>
      <c r="AZ59" s="339">
        <f t="shared" si="223"/>
        <v>12684.779414999999</v>
      </c>
      <c r="BA59" s="339">
        <f t="shared" si="223"/>
        <v>12473.420835000001</v>
      </c>
      <c r="BB59" s="339">
        <f t="shared" si="223"/>
        <v>12279.473460000001</v>
      </c>
      <c r="BC59" s="339">
        <f t="shared" si="223"/>
        <v>12253.87875</v>
      </c>
      <c r="BD59" s="339">
        <f t="shared" si="223"/>
        <v>12249.816000000001</v>
      </c>
      <c r="BE59" s="339">
        <f t="shared" si="223"/>
        <v>12047.3982</v>
      </c>
      <c r="BF59" s="339">
        <f t="shared" ref="BF59" ca="1" si="224">BF62*AVERAGE(BE67:BF67)*3/1000</f>
        <v>12070.666935261328</v>
      </c>
      <c r="BG59" s="339">
        <f t="shared" ref="BG59" ca="1" si="225">BG62*AVERAGE(BF67:BG67)*3/1000</f>
        <v>12072.817724497183</v>
      </c>
      <c r="BH59" s="339">
        <f t="shared" ref="BH59" ca="1" si="226">BH62*AVERAGE(BG67:BH67)*3/1000</f>
        <v>12098.839290337717</v>
      </c>
      <c r="BI59" s="339">
        <f t="shared" ref="BI59" ca="1" si="227">BI62*AVERAGE(BH67:BI67)*3/1000</f>
        <v>12151.535136363918</v>
      </c>
      <c r="BK59" s="152"/>
    </row>
    <row r="60" spans="2:63" s="271" customFormat="1">
      <c r="B60" s="282" t="s">
        <v>252</v>
      </c>
      <c r="C60" s="275"/>
      <c r="D60" s="282"/>
      <c r="E60" s="302">
        <f t="shared" ref="E60:J60" si="228">+E59/D59-1</f>
        <v>-4.4430336103597257E-2</v>
      </c>
      <c r="F60" s="302">
        <f t="shared" si="228"/>
        <v>-3.3258015880628711E-2</v>
      </c>
      <c r="G60" s="302">
        <f t="shared" si="228"/>
        <v>-2.9757400621795993E-2</v>
      </c>
      <c r="H60" s="302">
        <f t="shared" si="228"/>
        <v>-3.5558051136846069E-2</v>
      </c>
      <c r="I60" s="302">
        <f t="shared" ca="1" si="228"/>
        <v>-8.9433188194683044E-3</v>
      </c>
      <c r="J60" s="302">
        <f t="shared" ca="1" si="228"/>
        <v>-7.4494201358125123E-3</v>
      </c>
      <c r="K60" s="302">
        <f t="shared" ref="K60" ca="1" si="229">+K59/J59-1</f>
        <v>-1.1737868148567365E-2</v>
      </c>
      <c r="L60" s="302">
        <f t="shared" ref="L60" ca="1" si="230">+L59/K59-1</f>
        <v>-1.5591481325703094E-2</v>
      </c>
      <c r="M60" s="302">
        <f t="shared" ref="M60" ca="1" si="231">+M59/L59-1</f>
        <v>-1.9079997068237819E-2</v>
      </c>
      <c r="N60" s="302">
        <f t="shared" ref="N60" ca="1" si="232">+N59/M59-1</f>
        <v>-2.2259130022747819E-2</v>
      </c>
      <c r="O60" s="302">
        <f t="shared" ref="O60" ca="1" si="233">+O59/N59-1</f>
        <v>-2.5173990707236804E-2</v>
      </c>
      <c r="P60" s="302">
        <f t="shared" ref="P60" ca="1" si="234">+P59/O59-1</f>
        <v>-2.786154784057493E-2</v>
      </c>
      <c r="Q60" s="275"/>
      <c r="R60" s="275"/>
      <c r="S60" s="275"/>
      <c r="T60" s="275"/>
      <c r="U60" s="275"/>
      <c r="V60" s="275"/>
      <c r="W60" s="275"/>
      <c r="X60" s="275"/>
      <c r="Y60" s="275"/>
      <c r="Z60" s="275"/>
      <c r="AA60" s="275"/>
      <c r="AB60" s="275"/>
      <c r="AC60" s="275"/>
      <c r="AD60" s="275"/>
      <c r="AE60" s="275"/>
      <c r="AF60" s="275"/>
      <c r="AG60" s="275"/>
      <c r="AH60" s="283">
        <f t="shared" ref="AH60:BE60" si="235">+AH59/AD59-1</f>
        <v>3.63725104738859E-2</v>
      </c>
      <c r="AI60" s="283">
        <f t="shared" si="235"/>
        <v>3.6374434446559745E-2</v>
      </c>
      <c r="AJ60" s="283">
        <f t="shared" si="235"/>
        <v>4.1990300182706886E-2</v>
      </c>
      <c r="AK60" s="283">
        <f t="shared" si="235"/>
        <v>3.628447931746992E-2</v>
      </c>
      <c r="AL60" s="283">
        <f t="shared" si="235"/>
        <v>2.6956360289406733E-2</v>
      </c>
      <c r="AM60" s="283">
        <f t="shared" si="235"/>
        <v>3.9987271320043316E-2</v>
      </c>
      <c r="AN60" s="283">
        <f t="shared" si="235"/>
        <v>4.3719065904681331E-2</v>
      </c>
      <c r="AO60" s="283">
        <f t="shared" si="235"/>
        <v>5.3308069972476835E-2</v>
      </c>
      <c r="AP60" s="283">
        <f t="shared" si="235"/>
        <v>1.9805434448360915E-2</v>
      </c>
      <c r="AQ60" s="283">
        <f t="shared" si="235"/>
        <v>-6.0577717661797204E-2</v>
      </c>
      <c r="AR60" s="283">
        <f t="shared" si="235"/>
        <v>-5.3016031626872739E-2</v>
      </c>
      <c r="AS60" s="283">
        <f t="shared" si="235"/>
        <v>-8.1596012315844568E-2</v>
      </c>
      <c r="AT60" s="283">
        <f t="shared" si="235"/>
        <v>-7.4303937309037282E-2</v>
      </c>
      <c r="AU60" s="283">
        <f t="shared" si="235"/>
        <v>1.2630948252614349E-3</v>
      </c>
      <c r="AV60" s="283">
        <f t="shared" si="235"/>
        <v>-2.7093022032471326E-2</v>
      </c>
      <c r="AW60" s="283">
        <f t="shared" si="235"/>
        <v>-3.048633895975339E-2</v>
      </c>
      <c r="AX60" s="283">
        <f t="shared" si="235"/>
        <v>-2.0285336075611227E-2</v>
      </c>
      <c r="AY60" s="283">
        <f t="shared" si="235"/>
        <v>-3.8934426804841049E-2</v>
      </c>
      <c r="AZ60" s="283">
        <f t="shared" si="235"/>
        <v>-3.2517251447891526E-2</v>
      </c>
      <c r="BA60" s="283">
        <f t="shared" si="235"/>
        <v>-2.7057412577400464E-2</v>
      </c>
      <c r="BB60" s="283">
        <f t="shared" si="235"/>
        <v>-3.6067074135917032E-2</v>
      </c>
      <c r="BC60" s="283">
        <f t="shared" si="235"/>
        <v>-3.7686729960923593E-2</v>
      </c>
      <c r="BD60" s="283">
        <f t="shared" si="235"/>
        <v>-3.429018359480851E-2</v>
      </c>
      <c r="BE60" s="283">
        <f t="shared" si="235"/>
        <v>-3.4154434508021692E-2</v>
      </c>
      <c r="BF60" s="283">
        <f t="shared" ref="BF60" ca="1" si="236">+BF59/BB59-1</f>
        <v>-1.7004517776666339E-2</v>
      </c>
      <c r="BG60" s="283">
        <f t="shared" ref="BG60" ca="1" si="237">+BG59/BC59-1</f>
        <v>-1.4775813372791657E-2</v>
      </c>
      <c r="BH60" s="283">
        <f t="shared" ref="BH60" ca="1" si="238">+BH59/BD59-1</f>
        <v>-1.2324814483930524E-2</v>
      </c>
      <c r="BI60" s="283">
        <f t="shared" ref="BI60" ca="1" si="239">+BI59/BE59-1</f>
        <v>8.6439357805836448E-3</v>
      </c>
    </row>
    <row r="61" spans="2:63">
      <c r="C61" s="274"/>
      <c r="Q61" s="274"/>
      <c r="R61" s="274"/>
      <c r="S61" s="274"/>
      <c r="T61" s="274"/>
      <c r="U61" s="274"/>
      <c r="V61" s="274"/>
      <c r="W61" s="274"/>
      <c r="X61" s="274"/>
      <c r="Y61" s="274"/>
      <c r="Z61" s="274"/>
      <c r="AA61" s="274"/>
      <c r="AB61" s="274"/>
      <c r="AC61" s="274"/>
      <c r="AD61" s="274"/>
      <c r="AE61" s="274"/>
      <c r="AF61" s="274"/>
      <c r="AG61" s="274"/>
      <c r="AH61" s="274"/>
      <c r="AI61" s="274"/>
      <c r="AJ61" s="274"/>
      <c r="AK61" s="274"/>
      <c r="AP61" s="284"/>
      <c r="AQ61" s="284"/>
      <c r="AR61" s="284"/>
      <c r="AS61" s="284"/>
      <c r="AT61" s="284"/>
      <c r="AU61" s="284"/>
      <c r="AV61" s="284"/>
      <c r="AW61" s="284"/>
      <c r="AX61" s="284"/>
      <c r="AY61" s="284"/>
      <c r="AZ61" s="284"/>
      <c r="BA61" s="284"/>
      <c r="BB61" s="284"/>
      <c r="BC61" s="284"/>
      <c r="BD61" s="284"/>
      <c r="BE61" s="284"/>
      <c r="BF61" s="284"/>
      <c r="BG61" s="284"/>
      <c r="BH61" s="284"/>
      <c r="BI61" s="284"/>
    </row>
    <row r="62" spans="2:63" s="253" customFormat="1" ht="15.75">
      <c r="B62" s="301" t="s">
        <v>40</v>
      </c>
      <c r="C62" s="247"/>
      <c r="D62" s="301">
        <f>+D59/AVERAGE(AK67,D67)/12*1000</f>
        <v>65.77567366472212</v>
      </c>
      <c r="E62" s="301">
        <f>+E59/AVERAGE(D67:E67)/12*1000</f>
        <v>60.620035813433248</v>
      </c>
      <c r="F62" s="301">
        <f>+F59/AVERAGE(E67:F67)/12*1000</f>
        <v>56.891529632052347</v>
      </c>
      <c r="G62" s="301">
        <f>+G59/AVERAGE(F67:G67)/12*1000</f>
        <v>54.481197849413775</v>
      </c>
      <c r="H62" s="301">
        <f>+H59/AVERAGE(G67:H67)/12*1000</f>
        <v>52.284031241568051</v>
      </c>
      <c r="I62" s="301">
        <f ca="1">+I59/AVERAGE(H67:I67)/12*1000</f>
        <v>51.531794992072115</v>
      </c>
      <c r="J62" s="253">
        <f ca="1">+I62*(1+J63)</f>
        <v>50.738849743026968</v>
      </c>
      <c r="K62" s="253">
        <f t="shared" ref="K62:P62" ca="1" si="240">+J62*(1+K63)</f>
        <v>49.907367085467072</v>
      </c>
      <c r="L62" s="253">
        <f t="shared" ca="1" si="240"/>
        <v>49.039602978896795</v>
      </c>
      <c r="M62" s="253">
        <f t="shared" ca="1" si="240"/>
        <v>48.13788751360147</v>
      </c>
      <c r="N62" s="253">
        <f t="shared" ca="1" si="240"/>
        <v>47.204614449599177</v>
      </c>
      <c r="O62" s="253">
        <f t="shared" ca="1" si="240"/>
        <v>46.242230598213254</v>
      </c>
      <c r="P62" s="253">
        <f t="shared" ca="1" si="240"/>
        <v>45.253225112397679</v>
      </c>
      <c r="Q62" s="247"/>
      <c r="R62" s="247"/>
      <c r="S62" s="247"/>
      <c r="T62" s="247"/>
      <c r="U62" s="247"/>
      <c r="V62" s="247"/>
      <c r="W62" s="247"/>
      <c r="X62" s="247"/>
      <c r="Y62" s="247"/>
      <c r="Z62" s="247"/>
      <c r="AA62" s="247"/>
      <c r="AB62" s="247"/>
      <c r="AC62" s="247"/>
      <c r="AD62" s="264">
        <v>63.39</v>
      </c>
      <c r="AE62" s="264">
        <v>63.87</v>
      </c>
      <c r="AF62" s="264">
        <v>63.69</v>
      </c>
      <c r="AG62" s="264">
        <v>63.76</v>
      </c>
      <c r="AH62" s="264">
        <v>64.459999999999994</v>
      </c>
      <c r="AI62" s="264">
        <v>64.930000000000007</v>
      </c>
      <c r="AJ62" s="264">
        <v>65.2</v>
      </c>
      <c r="AK62" s="264">
        <v>64.98</v>
      </c>
      <c r="AL62" s="264">
        <v>65.010000000000005</v>
      </c>
      <c r="AM62" s="264">
        <v>66.12</v>
      </c>
      <c r="AN62" s="264">
        <v>66.2</v>
      </c>
      <c r="AO62" s="264">
        <v>66.349999999999994</v>
      </c>
      <c r="AP62" s="264">
        <v>64.17</v>
      </c>
      <c r="AQ62" s="264">
        <v>59.76</v>
      </c>
      <c r="AR62" s="264">
        <v>60.12</v>
      </c>
      <c r="AS62" s="264">
        <v>58.43</v>
      </c>
      <c r="AT62" s="264">
        <v>57.05</v>
      </c>
      <c r="AU62" s="264">
        <v>57.84</v>
      </c>
      <c r="AV62" s="264">
        <v>57.05</v>
      </c>
      <c r="AW62" s="264">
        <v>55.58</v>
      </c>
      <c r="AX62" s="264">
        <v>55.06</v>
      </c>
      <c r="AY62" s="264">
        <v>54.97</v>
      </c>
      <c r="AZ62" s="264">
        <v>54.67</v>
      </c>
      <c r="BA62" s="264">
        <v>53.59</v>
      </c>
      <c r="BB62" s="264">
        <v>52.77</v>
      </c>
      <c r="BC62" s="264">
        <v>52.79</v>
      </c>
      <c r="BD62" s="264">
        <v>52.75</v>
      </c>
      <c r="BE62" s="264">
        <v>51.72</v>
      </c>
      <c r="BF62" s="253">
        <f t="shared" ref="BF62" si="241">+BE62+BF64</f>
        <v>51.71</v>
      </c>
      <c r="BG62" s="253">
        <f t="shared" ref="BG62" si="242">+BF62+BG64</f>
        <v>51.7</v>
      </c>
      <c r="BH62" s="253">
        <f t="shared" ref="BH62" si="243">+BG62+BH64</f>
        <v>51.690000000000005</v>
      </c>
      <c r="BI62" s="253">
        <f t="shared" ref="BI62" si="244">+BH62+BI64</f>
        <v>51.680000000000007</v>
      </c>
      <c r="BK62"/>
    </row>
    <row r="63" spans="2:63" s="271" customFormat="1">
      <c r="B63" s="282" t="s">
        <v>252</v>
      </c>
      <c r="C63" s="275"/>
      <c r="D63" s="282"/>
      <c r="E63" s="302">
        <f>+E62/D62-1</f>
        <v>-7.8382136799824642E-2</v>
      </c>
      <c r="F63" s="302">
        <f>+F62/E62-1</f>
        <v>-6.1506169228535357E-2</v>
      </c>
      <c r="G63" s="302">
        <f>+G62/F62-1</f>
        <v>-4.2367146712831705E-2</v>
      </c>
      <c r="H63" s="302">
        <f>+H62/G62-1</f>
        <v>-4.032889684104779E-2</v>
      </c>
      <c r="I63" s="302">
        <f ca="1">+I62/H62-1</f>
        <v>-1.4387495218575963E-2</v>
      </c>
      <c r="J63" s="210">
        <f ca="1">+I63-0.001</f>
        <v>-1.5387495218575964E-2</v>
      </c>
      <c r="K63" s="210">
        <f t="shared" ref="K63:P63" ca="1" si="245">+J63-0.001</f>
        <v>-1.6387495218575965E-2</v>
      </c>
      <c r="L63" s="210">
        <f t="shared" ca="1" si="245"/>
        <v>-1.7387495218575966E-2</v>
      </c>
      <c r="M63" s="210">
        <f t="shared" ca="1" si="245"/>
        <v>-1.8387495218575967E-2</v>
      </c>
      <c r="N63" s="210">
        <f t="shared" ca="1" si="245"/>
        <v>-1.9387495218575967E-2</v>
      </c>
      <c r="O63" s="210">
        <f t="shared" ca="1" si="245"/>
        <v>-2.0387495218575968E-2</v>
      </c>
      <c r="P63" s="210">
        <f t="shared" ca="1" si="245"/>
        <v>-2.1387495218575969E-2</v>
      </c>
      <c r="Q63" s="275"/>
      <c r="R63" s="182"/>
      <c r="S63" s="182"/>
      <c r="T63" s="182"/>
      <c r="U63" s="182"/>
      <c r="V63" s="182"/>
      <c r="W63" s="182"/>
      <c r="X63" s="182"/>
      <c r="Y63" s="182"/>
      <c r="Z63" s="182"/>
      <c r="AA63" s="182"/>
      <c r="AB63" s="182"/>
      <c r="AC63" s="182"/>
      <c r="AD63" s="182"/>
      <c r="AE63" s="182"/>
      <c r="AF63" s="182"/>
      <c r="AG63" s="182"/>
      <c r="AH63" s="179">
        <f>+AH62/AD62-1</f>
        <v>1.6879634011673694E-2</v>
      </c>
      <c r="AI63" s="179">
        <f t="shared" ref="AI63:AU63" si="246">+AI62/AE62-1</f>
        <v>1.6596211053703014E-2</v>
      </c>
      <c r="AJ63" s="179">
        <f t="shared" si="246"/>
        <v>2.3708588475428005E-2</v>
      </c>
      <c r="AK63" s="179">
        <f t="shared" si="246"/>
        <v>1.9134253450439287E-2</v>
      </c>
      <c r="AL63" s="179">
        <f t="shared" si="246"/>
        <v>8.5324232081913642E-3</v>
      </c>
      <c r="AM63" s="179">
        <f t="shared" si="246"/>
        <v>1.8327429539503948E-2</v>
      </c>
      <c r="AN63" s="179">
        <f t="shared" si="246"/>
        <v>1.5337423312883347E-2</v>
      </c>
      <c r="AO63" s="179">
        <f t="shared" si="246"/>
        <v>2.108341028008609E-2</v>
      </c>
      <c r="AP63" s="283">
        <f t="shared" si="246"/>
        <v>-1.2921089063221092E-2</v>
      </c>
      <c r="AQ63" s="283">
        <f t="shared" si="246"/>
        <v>-9.6188747731397517E-2</v>
      </c>
      <c r="AR63" s="283">
        <f t="shared" si="246"/>
        <v>-9.1842900302114838E-2</v>
      </c>
      <c r="AS63" s="283">
        <f t="shared" si="246"/>
        <v>-0.11936699321778443</v>
      </c>
      <c r="AT63" s="283">
        <f t="shared" si="246"/>
        <v>-0.11095527505064684</v>
      </c>
      <c r="AU63" s="283">
        <f t="shared" si="246"/>
        <v>-3.2128514056224855E-2</v>
      </c>
      <c r="AV63" s="283">
        <f t="shared" ref="AV63:BE63" si="247">+AV62/AR62-1</f>
        <v>-5.1064537591483661E-2</v>
      </c>
      <c r="AW63" s="283">
        <f t="shared" si="247"/>
        <v>-4.8776313537566396E-2</v>
      </c>
      <c r="AX63" s="283">
        <f t="shared" si="247"/>
        <v>-3.4881682734443364E-2</v>
      </c>
      <c r="AY63" s="283">
        <f t="shared" si="247"/>
        <v>-4.9619640387275288E-2</v>
      </c>
      <c r="AZ63" s="283">
        <f t="shared" si="247"/>
        <v>-4.1717791411042815E-2</v>
      </c>
      <c r="BA63" s="283">
        <f t="shared" si="247"/>
        <v>-3.5804246131701967E-2</v>
      </c>
      <c r="BB63" s="283">
        <f t="shared" si="247"/>
        <v>-4.1590991645477637E-2</v>
      </c>
      <c r="BC63" s="283">
        <f t="shared" si="247"/>
        <v>-3.965799527014735E-2</v>
      </c>
      <c r="BD63" s="283">
        <f t="shared" si="247"/>
        <v>-3.511980976769713E-2</v>
      </c>
      <c r="BE63" s="283">
        <f t="shared" si="247"/>
        <v>-3.4894569882440885E-2</v>
      </c>
      <c r="BF63" s="283">
        <f t="shared" ref="BF63" si="248">+BF62/BB62-1</f>
        <v>-2.0087170740951343E-2</v>
      </c>
      <c r="BG63" s="283">
        <f t="shared" ref="BG63" si="249">+BG62/BC62-1</f>
        <v>-2.0647849971585419E-2</v>
      </c>
      <c r="BH63" s="283">
        <f t="shared" ref="BH63" si="250">+BH62/BD62-1</f>
        <v>-2.0094786729857761E-2</v>
      </c>
      <c r="BI63" s="283">
        <f t="shared" ref="BI63" si="251">+BI62/BE62-1</f>
        <v>-7.7339520494956737E-4</v>
      </c>
    </row>
    <row r="64" spans="2:63" s="290" customFormat="1">
      <c r="B64" s="298" t="s">
        <v>342</v>
      </c>
      <c r="C64" s="303"/>
      <c r="D64" s="304"/>
      <c r="E64" s="304"/>
      <c r="F64" s="304"/>
      <c r="G64" s="304"/>
      <c r="H64" s="304"/>
      <c r="I64" s="304"/>
      <c r="J64" s="305"/>
      <c r="K64" s="305"/>
      <c r="L64" s="305"/>
      <c r="M64" s="305"/>
      <c r="N64" s="305"/>
      <c r="O64" s="305"/>
      <c r="P64" s="305"/>
      <c r="Q64" s="303"/>
      <c r="R64" s="303"/>
      <c r="S64" s="303"/>
      <c r="T64" s="303"/>
      <c r="U64" s="303"/>
      <c r="V64" s="303"/>
      <c r="W64" s="303"/>
      <c r="X64" s="303"/>
      <c r="Y64" s="303"/>
      <c r="Z64" s="303"/>
      <c r="AA64" s="303"/>
      <c r="AB64" s="303"/>
      <c r="AC64" s="303"/>
      <c r="AD64" s="303"/>
      <c r="AE64" s="303">
        <f>+AE62-AD62</f>
        <v>0.47999999999999687</v>
      </c>
      <c r="AF64" s="303">
        <f t="shared" ref="AF64:BE64" si="252">+AF62-AE62</f>
        <v>-0.17999999999999972</v>
      </c>
      <c r="AG64" s="303">
        <f t="shared" si="252"/>
        <v>7.0000000000000284E-2</v>
      </c>
      <c r="AH64" s="303">
        <f t="shared" si="252"/>
        <v>0.69999999999999574</v>
      </c>
      <c r="AI64" s="303">
        <f t="shared" si="252"/>
        <v>0.47000000000001307</v>
      </c>
      <c r="AJ64" s="303">
        <f t="shared" si="252"/>
        <v>0.26999999999999602</v>
      </c>
      <c r="AK64" s="303">
        <f t="shared" si="252"/>
        <v>-0.21999999999999886</v>
      </c>
      <c r="AL64" s="303">
        <f t="shared" si="252"/>
        <v>3.0000000000001137E-2</v>
      </c>
      <c r="AM64" s="303">
        <f t="shared" si="252"/>
        <v>1.1099999999999994</v>
      </c>
      <c r="AN64" s="303">
        <f t="shared" si="252"/>
        <v>7.9999999999998295E-2</v>
      </c>
      <c r="AO64" s="303">
        <f t="shared" si="252"/>
        <v>0.14999999999999147</v>
      </c>
      <c r="AP64" s="303">
        <f t="shared" si="252"/>
        <v>-2.1799999999999926</v>
      </c>
      <c r="AQ64" s="303">
        <f t="shared" si="252"/>
        <v>-4.4100000000000037</v>
      </c>
      <c r="AR64" s="303">
        <f t="shared" si="252"/>
        <v>0.35999999999999943</v>
      </c>
      <c r="AS64" s="303">
        <f t="shared" si="252"/>
        <v>-1.6899999999999977</v>
      </c>
      <c r="AT64" s="303">
        <f t="shared" si="252"/>
        <v>-1.3800000000000026</v>
      </c>
      <c r="AU64" s="303">
        <f t="shared" si="252"/>
        <v>0.79000000000000625</v>
      </c>
      <c r="AV64" s="303">
        <f t="shared" si="252"/>
        <v>-0.79000000000000625</v>
      </c>
      <c r="AW64" s="303">
        <f t="shared" si="252"/>
        <v>-1.4699999999999989</v>
      </c>
      <c r="AX64" s="303">
        <f t="shared" si="252"/>
        <v>-0.51999999999999602</v>
      </c>
      <c r="AY64" s="303">
        <f t="shared" si="252"/>
        <v>-9.0000000000003411E-2</v>
      </c>
      <c r="AZ64" s="303">
        <f t="shared" si="252"/>
        <v>-0.29999999999999716</v>
      </c>
      <c r="BA64" s="303">
        <f t="shared" si="252"/>
        <v>-1.0799999999999983</v>
      </c>
      <c r="BB64" s="303">
        <f t="shared" si="252"/>
        <v>-0.82000000000000028</v>
      </c>
      <c r="BC64" s="303">
        <f t="shared" si="252"/>
        <v>1.9999999999996021E-2</v>
      </c>
      <c r="BD64" s="303">
        <f t="shared" si="252"/>
        <v>-3.9999999999999147E-2</v>
      </c>
      <c r="BE64" s="303">
        <f t="shared" si="252"/>
        <v>-1.0300000000000011</v>
      </c>
      <c r="BF64" s="215">
        <v>-0.01</v>
      </c>
      <c r="BG64" s="215">
        <v>-0.01</v>
      </c>
      <c r="BH64" s="215">
        <v>-0.01</v>
      </c>
      <c r="BI64" s="215">
        <v>-0.01</v>
      </c>
    </row>
    <row r="65" spans="2:63" s="271" customFormat="1">
      <c r="B65" s="298" t="s">
        <v>343</v>
      </c>
      <c r="C65" s="275"/>
      <c r="D65" s="282"/>
      <c r="E65" s="303">
        <f t="shared" ref="E65:J65" si="253">+E62-D62</f>
        <v>-5.1556378512888728</v>
      </c>
      <c r="F65" s="303">
        <f t="shared" si="253"/>
        <v>-3.7285061813809008</v>
      </c>
      <c r="G65" s="303">
        <f t="shared" si="253"/>
        <v>-2.410331782638572</v>
      </c>
      <c r="H65" s="303">
        <f t="shared" si="253"/>
        <v>-2.1971666078457233</v>
      </c>
      <c r="I65" s="303">
        <f t="shared" ca="1" si="253"/>
        <v>-0.7522362494959367</v>
      </c>
      <c r="J65" s="303">
        <f t="shared" ca="1" si="253"/>
        <v>-0.79294524904514674</v>
      </c>
      <c r="K65" s="303">
        <f t="shared" ref="K65" ca="1" si="254">+K62-J62</f>
        <v>-0.8314826575598957</v>
      </c>
      <c r="L65" s="303">
        <f t="shared" ref="L65" ca="1" si="255">+L62-K62</f>
        <v>-0.86776410657027725</v>
      </c>
      <c r="M65" s="303">
        <f t="shared" ref="M65" ca="1" si="256">+M62-L62</f>
        <v>-0.9017154652953252</v>
      </c>
      <c r="N65" s="303">
        <f t="shared" ref="N65" ca="1" si="257">+N62-M62</f>
        <v>-0.93327306400229304</v>
      </c>
      <c r="O65" s="303">
        <f t="shared" ref="O65" ca="1" si="258">+O62-N62</f>
        <v>-0.96238385138592264</v>
      </c>
      <c r="P65" s="303">
        <f t="shared" ref="P65" ca="1" si="259">+P62-O62</f>
        <v>-0.98900548581557501</v>
      </c>
      <c r="Q65" s="275"/>
      <c r="R65" s="275"/>
      <c r="S65" s="275"/>
      <c r="T65" s="275"/>
      <c r="U65" s="275"/>
      <c r="V65" s="275"/>
      <c r="W65" s="275"/>
      <c r="X65" s="275"/>
      <c r="Y65" s="275"/>
      <c r="Z65" s="275"/>
      <c r="AA65" s="275"/>
      <c r="AB65" s="275"/>
      <c r="AC65" s="275"/>
      <c r="AD65" s="275"/>
      <c r="AE65" s="275"/>
      <c r="AF65" s="275"/>
      <c r="AG65" s="275"/>
      <c r="AH65" s="303">
        <f t="shared" ref="AH65:BE65" si="260">+AH62-AD62</f>
        <v>1.0699999999999932</v>
      </c>
      <c r="AI65" s="303">
        <f t="shared" si="260"/>
        <v>1.0600000000000094</v>
      </c>
      <c r="AJ65" s="303">
        <f t="shared" si="260"/>
        <v>1.5100000000000051</v>
      </c>
      <c r="AK65" s="303">
        <f t="shared" si="260"/>
        <v>1.220000000000006</v>
      </c>
      <c r="AL65" s="303">
        <f t="shared" si="260"/>
        <v>0.55000000000001137</v>
      </c>
      <c r="AM65" s="303">
        <f t="shared" si="260"/>
        <v>1.1899999999999977</v>
      </c>
      <c r="AN65" s="303">
        <f t="shared" si="260"/>
        <v>1</v>
      </c>
      <c r="AO65" s="303">
        <f t="shared" si="260"/>
        <v>1.3699999999999903</v>
      </c>
      <c r="AP65" s="303">
        <f t="shared" si="260"/>
        <v>-0.84000000000000341</v>
      </c>
      <c r="AQ65" s="303">
        <f t="shared" si="260"/>
        <v>-6.3600000000000065</v>
      </c>
      <c r="AR65" s="303">
        <f t="shared" si="260"/>
        <v>-6.0800000000000054</v>
      </c>
      <c r="AS65" s="303">
        <f t="shared" si="260"/>
        <v>-7.9199999999999946</v>
      </c>
      <c r="AT65" s="303">
        <f t="shared" si="260"/>
        <v>-7.1200000000000045</v>
      </c>
      <c r="AU65" s="303">
        <f t="shared" si="260"/>
        <v>-1.9199999999999946</v>
      </c>
      <c r="AV65" s="303">
        <f t="shared" si="260"/>
        <v>-3.0700000000000003</v>
      </c>
      <c r="AW65" s="303">
        <f t="shared" si="260"/>
        <v>-2.8500000000000014</v>
      </c>
      <c r="AX65" s="303">
        <f t="shared" si="260"/>
        <v>-1.9899999999999949</v>
      </c>
      <c r="AY65" s="303">
        <f t="shared" si="260"/>
        <v>-2.8700000000000045</v>
      </c>
      <c r="AZ65" s="303">
        <f t="shared" si="260"/>
        <v>-2.3799999999999955</v>
      </c>
      <c r="BA65" s="303">
        <f t="shared" si="260"/>
        <v>-1.9899999999999949</v>
      </c>
      <c r="BB65" s="303">
        <f t="shared" si="260"/>
        <v>-2.2899999999999991</v>
      </c>
      <c r="BC65" s="303">
        <f t="shared" si="260"/>
        <v>-2.1799999999999997</v>
      </c>
      <c r="BD65" s="303">
        <f t="shared" si="260"/>
        <v>-1.9200000000000017</v>
      </c>
      <c r="BE65" s="303">
        <f t="shared" si="260"/>
        <v>-1.8700000000000045</v>
      </c>
      <c r="BF65" s="303">
        <f t="shared" ref="BF65" si="261">+BF62-BB62</f>
        <v>-1.0600000000000023</v>
      </c>
      <c r="BG65" s="303">
        <f t="shared" ref="BG65" si="262">+BG62-BC62</f>
        <v>-1.0899999999999963</v>
      </c>
      <c r="BH65" s="303">
        <f t="shared" ref="BH65" si="263">+BH62-BD62</f>
        <v>-1.0599999999999952</v>
      </c>
      <c r="BI65" s="303">
        <f t="shared" ref="BI65" si="264">+BI62-BE62</f>
        <v>-3.9999999999992042E-2</v>
      </c>
    </row>
    <row r="66" spans="2:63">
      <c r="C66" s="274"/>
      <c r="Q66" s="274"/>
      <c r="R66" s="274"/>
      <c r="S66" s="274"/>
      <c r="T66" s="274"/>
      <c r="U66" s="274"/>
      <c r="V66" s="274"/>
      <c r="W66" s="274"/>
      <c r="X66" s="274"/>
      <c r="Y66" s="274"/>
      <c r="Z66" s="274"/>
      <c r="AA66" s="274"/>
      <c r="AB66" s="274"/>
      <c r="AC66" s="274"/>
      <c r="AD66" s="274"/>
      <c r="AE66" s="274"/>
      <c r="AF66" s="274"/>
      <c r="AG66" s="274"/>
      <c r="AH66" s="274"/>
      <c r="AI66" s="274"/>
      <c r="AJ66" s="274"/>
      <c r="AK66" s="274"/>
    </row>
    <row r="67" spans="2:63">
      <c r="B67" s="235" t="s">
        <v>2</v>
      </c>
      <c r="C67" s="274"/>
      <c r="D67" s="236">
        <f>+AO67</f>
        <v>72638</v>
      </c>
      <c r="E67" s="236">
        <f>+AS67</f>
        <v>75770</v>
      </c>
      <c r="F67" s="236">
        <f>+AW67</f>
        <v>77105</v>
      </c>
      <c r="G67" s="236">
        <f>+BA67</f>
        <v>77783</v>
      </c>
      <c r="H67" s="236">
        <f>+BE67</f>
        <v>77875</v>
      </c>
      <c r="I67" s="236">
        <f ca="1">+BI67</f>
        <v>78642.799978004754</v>
      </c>
      <c r="J67" s="274">
        <f ca="1">+I67+J78-J83</f>
        <v>79136.86702076286</v>
      </c>
      <c r="K67" s="274">
        <f t="shared" ref="K67:P67" ca="1" si="265">+J67+K78-K83</f>
        <v>79388.639022555537</v>
      </c>
      <c r="L67" s="274">
        <f t="shared" ca="1" si="265"/>
        <v>79426.619094793161</v>
      </c>
      <c r="M67" s="274">
        <f t="shared" ca="1" si="265"/>
        <v>79276.599027684759</v>
      </c>
      <c r="N67" s="274">
        <f t="shared" ca="1" si="265"/>
        <v>78961.871110780645</v>
      </c>
      <c r="O67" s="274">
        <f t="shared" ca="1" si="265"/>
        <v>78503.428289506657</v>
      </c>
      <c r="P67" s="274">
        <f t="shared" ca="1" si="265"/>
        <v>77920.152729424008</v>
      </c>
      <c r="Q67" s="274"/>
      <c r="R67" s="274">
        <f t="shared" ref="R67:AV67" si="266">+R35</f>
        <v>55717</v>
      </c>
      <c r="S67" s="274">
        <f t="shared" si="266"/>
        <v>56718</v>
      </c>
      <c r="T67" s="274">
        <f t="shared" si="266"/>
        <v>58355</v>
      </c>
      <c r="U67" s="274">
        <f t="shared" si="266"/>
        <v>59653</v>
      </c>
      <c r="V67" s="274">
        <f t="shared" si="266"/>
        <v>60535</v>
      </c>
      <c r="W67" s="274">
        <f t="shared" si="266"/>
        <v>61647</v>
      </c>
      <c r="X67" s="274">
        <f t="shared" si="266"/>
        <v>62961</v>
      </c>
      <c r="Y67" s="274">
        <f t="shared" si="266"/>
        <v>64627</v>
      </c>
      <c r="Z67" s="274">
        <f t="shared" si="266"/>
        <v>65108</v>
      </c>
      <c r="AA67" s="274">
        <f t="shared" si="266"/>
        <v>66970</v>
      </c>
      <c r="AB67" s="274">
        <f t="shared" si="266"/>
        <v>67688</v>
      </c>
      <c r="AC67" s="274">
        <f t="shared" si="266"/>
        <v>68041</v>
      </c>
      <c r="AD67" s="274">
        <f t="shared" si="266"/>
        <v>68062</v>
      </c>
      <c r="AE67" s="274">
        <f t="shared" si="266"/>
        <v>68353</v>
      </c>
      <c r="AF67" s="274">
        <f t="shared" si="266"/>
        <v>68614</v>
      </c>
      <c r="AG67" s="274">
        <f t="shared" si="266"/>
        <v>69309</v>
      </c>
      <c r="AH67" s="274">
        <f t="shared" si="266"/>
        <v>69403</v>
      </c>
      <c r="AI67" s="274">
        <f t="shared" si="266"/>
        <v>69666</v>
      </c>
      <c r="AJ67" s="274">
        <f t="shared" si="266"/>
        <v>69747</v>
      </c>
      <c r="AK67" s="274">
        <f t="shared" si="266"/>
        <v>70497</v>
      </c>
      <c r="AL67" s="274">
        <f t="shared" si="266"/>
        <v>70749</v>
      </c>
      <c r="AM67" s="274">
        <f t="shared" si="266"/>
        <v>71278</v>
      </c>
      <c r="AN67" s="274">
        <f t="shared" si="266"/>
        <v>72032</v>
      </c>
      <c r="AO67" s="274">
        <f t="shared" si="266"/>
        <v>72638</v>
      </c>
      <c r="AP67" s="274">
        <f t="shared" si="266"/>
        <v>73291</v>
      </c>
      <c r="AQ67" s="274">
        <f t="shared" si="266"/>
        <v>74332</v>
      </c>
      <c r="AR67" s="274">
        <f t="shared" si="266"/>
        <v>75105</v>
      </c>
      <c r="AS67" s="274">
        <f t="shared" si="266"/>
        <v>75770</v>
      </c>
      <c r="AT67" s="274">
        <f t="shared" si="266"/>
        <v>76175</v>
      </c>
      <c r="AU67" s="274">
        <f t="shared" si="266"/>
        <v>76541</v>
      </c>
      <c r="AV67" s="274">
        <f t="shared" si="266"/>
        <v>76671</v>
      </c>
      <c r="AW67" s="274">
        <f t="shared" ref="AW67:BB67" si="267">+AW35</f>
        <v>77105</v>
      </c>
      <c r="AX67" s="274">
        <f t="shared" si="267"/>
        <v>77138</v>
      </c>
      <c r="AY67" s="274">
        <f t="shared" si="267"/>
        <v>77295</v>
      </c>
      <c r="AZ67" s="274">
        <f t="shared" si="267"/>
        <v>77388</v>
      </c>
      <c r="BA67" s="274">
        <f t="shared" si="267"/>
        <v>77783</v>
      </c>
      <c r="BB67" s="274">
        <f t="shared" si="267"/>
        <v>77349</v>
      </c>
      <c r="BC67" s="274">
        <f t="shared" ref="BC67:BD67" si="268">+BC35</f>
        <v>77401</v>
      </c>
      <c r="BD67" s="274">
        <f t="shared" si="268"/>
        <v>77415</v>
      </c>
      <c r="BE67" s="274">
        <f t="shared" ref="BE67" si="269">+BE35</f>
        <v>77875</v>
      </c>
      <c r="BF67" s="274">
        <f ca="1">+BE67+BF78-BF83</f>
        <v>77745.021082464082</v>
      </c>
      <c r="BG67" s="274">
        <f t="shared" ref="BG67" ca="1" si="270">+BF67+BG78-BG83</f>
        <v>77932.834810471875</v>
      </c>
      <c r="BH67" s="274">
        <f t="shared" ref="BH67" ca="1" si="271">+BG67+BH78-BH83</f>
        <v>78110.749252695925</v>
      </c>
      <c r="BI67" s="274">
        <f t="shared" ref="BI67" ca="1" si="272">+BH67+BI78-BI83</f>
        <v>78642.799978004754</v>
      </c>
    </row>
    <row r="68" spans="2:63" s="240" customFormat="1" ht="15.75">
      <c r="B68" s="296" t="s">
        <v>117</v>
      </c>
      <c r="C68" s="247"/>
      <c r="D68" s="252">
        <f>SUM(AL68:AO68)</f>
        <v>1776</v>
      </c>
      <c r="E68" s="247">
        <f>+SUM(AP68:AS68)</f>
        <v>3290</v>
      </c>
      <c r="F68" s="306">
        <f>SUM(AT68:AW68)</f>
        <v>1666</v>
      </c>
      <c r="G68" s="306">
        <f>SUM(AX68:BA68)</f>
        <v>1118</v>
      </c>
      <c r="H68" s="306">
        <f>SUM(BB68:BE68)</f>
        <v>594</v>
      </c>
      <c r="I68" s="306">
        <f ca="1">SUM(BF68:BI68)</f>
        <v>767.79997800475394</v>
      </c>
      <c r="J68" s="247">
        <f ca="1">+J67-I67</f>
        <v>494.06704275810625</v>
      </c>
      <c r="K68" s="247">
        <f t="shared" ref="K68:P68" ca="1" si="273">+K67-J67</f>
        <v>251.77200179267675</v>
      </c>
      <c r="L68" s="247">
        <f t="shared" ca="1" si="273"/>
        <v>37.980072237623972</v>
      </c>
      <c r="M68" s="247">
        <f t="shared" ca="1" si="273"/>
        <v>-150.02006710840215</v>
      </c>
      <c r="N68" s="247">
        <f t="shared" ca="1" si="273"/>
        <v>-314.72791690411395</v>
      </c>
      <c r="O68" s="247">
        <f t="shared" ca="1" si="273"/>
        <v>-458.44282127398765</v>
      </c>
      <c r="P68" s="247">
        <f t="shared" ca="1" si="273"/>
        <v>-583.27556008264946</v>
      </c>
      <c r="Q68" s="247"/>
      <c r="R68" s="247">
        <f t="shared" ref="R68:AV68" si="274">+R41</f>
        <v>741</v>
      </c>
      <c r="S68" s="247">
        <f t="shared" si="274"/>
        <v>867</v>
      </c>
      <c r="T68" s="247">
        <f t="shared" si="274"/>
        <v>1639</v>
      </c>
      <c r="U68" s="247">
        <f t="shared" si="274"/>
        <v>1276</v>
      </c>
      <c r="V68" s="247">
        <f t="shared" si="274"/>
        <v>897</v>
      </c>
      <c r="W68" s="247">
        <f t="shared" si="274"/>
        <v>1128</v>
      </c>
      <c r="X68" s="247">
        <f t="shared" si="274"/>
        <v>1333</v>
      </c>
      <c r="Y68" s="247">
        <f t="shared" si="274"/>
        <v>841</v>
      </c>
      <c r="Z68" s="247">
        <f t="shared" si="274"/>
        <v>512</v>
      </c>
      <c r="AA68" s="247">
        <f t="shared" si="274"/>
        <v>496</v>
      </c>
      <c r="AB68" s="247">
        <f t="shared" si="274"/>
        <v>745</v>
      </c>
      <c r="AC68" s="247">
        <f t="shared" si="274"/>
        <v>400</v>
      </c>
      <c r="AD68" s="247">
        <f t="shared" si="274"/>
        <v>62</v>
      </c>
      <c r="AE68" s="247">
        <f t="shared" si="274"/>
        <v>331</v>
      </c>
      <c r="AF68" s="247">
        <f t="shared" si="274"/>
        <v>319</v>
      </c>
      <c r="AG68" s="247">
        <f t="shared" si="274"/>
        <v>717</v>
      </c>
      <c r="AH68" s="247">
        <f t="shared" si="274"/>
        <v>187</v>
      </c>
      <c r="AI68" s="247">
        <f t="shared" si="274"/>
        <v>320</v>
      </c>
      <c r="AJ68" s="247">
        <f t="shared" si="274"/>
        <v>151</v>
      </c>
      <c r="AK68" s="247">
        <f t="shared" si="274"/>
        <v>780</v>
      </c>
      <c r="AL68" s="247">
        <f t="shared" si="274"/>
        <v>296</v>
      </c>
      <c r="AM68" s="247">
        <f t="shared" si="274"/>
        <v>551</v>
      </c>
      <c r="AN68" s="247">
        <f t="shared" si="274"/>
        <v>363</v>
      </c>
      <c r="AO68" s="247">
        <f t="shared" si="274"/>
        <v>566</v>
      </c>
      <c r="AP68" s="247">
        <f t="shared" si="274"/>
        <v>625</v>
      </c>
      <c r="AQ68" s="247">
        <f t="shared" si="274"/>
        <v>1026</v>
      </c>
      <c r="AR68" s="247">
        <f t="shared" si="274"/>
        <v>785</v>
      </c>
      <c r="AS68" s="247">
        <f t="shared" si="274"/>
        <v>854</v>
      </c>
      <c r="AT68" s="247">
        <f t="shared" si="274"/>
        <v>441</v>
      </c>
      <c r="AU68" s="247">
        <f t="shared" si="274"/>
        <v>410</v>
      </c>
      <c r="AV68" s="247">
        <f t="shared" si="274"/>
        <v>289</v>
      </c>
      <c r="AW68" s="247">
        <f t="shared" ref="AW68:BB68" si="275">+AW41</f>
        <v>526</v>
      </c>
      <c r="AX68" s="247">
        <f t="shared" si="275"/>
        <v>129</v>
      </c>
      <c r="AY68" s="247">
        <f t="shared" si="275"/>
        <v>257</v>
      </c>
      <c r="AZ68" s="247">
        <f t="shared" si="275"/>
        <v>212</v>
      </c>
      <c r="BA68" s="247">
        <f t="shared" si="275"/>
        <v>520</v>
      </c>
      <c r="BB68" s="247">
        <f t="shared" si="275"/>
        <v>-191</v>
      </c>
      <c r="BC68" s="247">
        <f t="shared" ref="BC68:BD68" si="276">+BC41</f>
        <v>127</v>
      </c>
      <c r="BD68" s="247">
        <f t="shared" si="276"/>
        <v>117</v>
      </c>
      <c r="BE68" s="247">
        <f t="shared" ref="BE68" si="277">+BE41</f>
        <v>541</v>
      </c>
      <c r="BF68" s="247">
        <f t="shared" ref="BF68" ca="1" si="278">+BF67-BE67</f>
        <v>-129.9789175359183</v>
      </c>
      <c r="BG68" s="247">
        <f t="shared" ref="BG68" ca="1" si="279">+BG67-BF67</f>
        <v>187.81372800779354</v>
      </c>
      <c r="BH68" s="247">
        <f t="shared" ref="BH68" ca="1" si="280">+BH67-BG67</f>
        <v>177.91444222404971</v>
      </c>
      <c r="BI68" s="247">
        <f t="shared" ref="BI68" ca="1" si="281">+BI67-BH67</f>
        <v>532.05072530882899</v>
      </c>
      <c r="BK68" s="152"/>
    </row>
    <row r="69" spans="2:63">
      <c r="C69" s="274"/>
      <c r="Q69" s="274"/>
      <c r="R69" s="274"/>
      <c r="S69" s="274"/>
      <c r="T69" s="274"/>
      <c r="U69" s="274"/>
      <c r="V69" s="274"/>
      <c r="W69" s="274"/>
      <c r="X69" s="274"/>
      <c r="Y69" s="274"/>
      <c r="Z69" s="274"/>
      <c r="AA69" s="274"/>
      <c r="AB69" s="274"/>
      <c r="AC69" s="274"/>
      <c r="AD69" s="274"/>
      <c r="AE69" s="274"/>
      <c r="AF69" s="274"/>
      <c r="AG69" s="274"/>
      <c r="AH69" s="274"/>
      <c r="AI69" s="274"/>
      <c r="AJ69" s="274"/>
      <c r="AK69" s="274"/>
    </row>
    <row r="70" spans="2:63">
      <c r="B70" s="235" t="s">
        <v>268</v>
      </c>
      <c r="C70" s="274"/>
      <c r="D70" s="236">
        <f>+AO70</f>
        <v>67719</v>
      </c>
      <c r="E70" s="236">
        <f>+AS70</f>
        <v>68243</v>
      </c>
      <c r="F70" s="236">
        <f>+AW70</f>
        <v>66407</v>
      </c>
      <c r="G70" s="236">
        <f>+BA70</f>
        <v>65193</v>
      </c>
      <c r="H70" s="236">
        <f>+BE70</f>
        <v>64623</v>
      </c>
      <c r="I70" s="236">
        <f>+BI70</f>
        <v>64690.200000000004</v>
      </c>
      <c r="J70" s="236">
        <f>+I70+J71</f>
        <v>64832.4</v>
      </c>
      <c r="K70" s="236">
        <f t="shared" ref="K70:P70" si="282">+J70+K71</f>
        <v>65049.599999999999</v>
      </c>
      <c r="L70" s="236">
        <f t="shared" si="282"/>
        <v>65341.799999999996</v>
      </c>
      <c r="M70" s="236">
        <f t="shared" si="282"/>
        <v>65709</v>
      </c>
      <c r="N70" s="236">
        <f t="shared" si="282"/>
        <v>66151.199999999997</v>
      </c>
      <c r="O70" s="236">
        <f t="shared" si="282"/>
        <v>66668.399999999994</v>
      </c>
      <c r="P70" s="236">
        <f t="shared" si="282"/>
        <v>67260.599999999991</v>
      </c>
      <c r="Q70" s="274"/>
      <c r="R70" s="274"/>
      <c r="S70" s="274"/>
      <c r="T70" s="274"/>
      <c r="U70" s="274"/>
      <c r="V70" s="274"/>
      <c r="W70" s="274"/>
      <c r="X70" s="274"/>
      <c r="Y70" s="274"/>
      <c r="Z70" s="274"/>
      <c r="AA70" s="274"/>
      <c r="AB70" s="274"/>
      <c r="AC70" s="274"/>
      <c r="AD70" s="274"/>
      <c r="AE70" s="274"/>
      <c r="AF70" s="274"/>
      <c r="AG70" s="274"/>
      <c r="AH70" s="274"/>
      <c r="AI70" s="274"/>
      <c r="AJ70" s="274"/>
      <c r="AK70" s="274"/>
      <c r="AM70" s="261">
        <v>67517</v>
      </c>
      <c r="AN70" s="261">
        <v>67757</v>
      </c>
      <c r="AO70" s="261">
        <v>67719</v>
      </c>
      <c r="AP70" s="261">
        <v>67780</v>
      </c>
      <c r="AQ70" s="261">
        <v>68335</v>
      </c>
      <c r="AR70" s="261">
        <v>68593</v>
      </c>
      <c r="AS70" s="261">
        <v>68243</v>
      </c>
      <c r="AT70" s="261">
        <v>67916</v>
      </c>
      <c r="AU70" s="261">
        <v>67594</v>
      </c>
      <c r="AV70" s="261">
        <v>66749</v>
      </c>
      <c r="AW70" s="261">
        <v>66407</v>
      </c>
      <c r="AX70" s="261">
        <v>65960</v>
      </c>
      <c r="AY70" s="261">
        <v>65694</v>
      </c>
      <c r="AZ70" s="261">
        <v>65340</v>
      </c>
      <c r="BA70" s="261">
        <v>65193</v>
      </c>
      <c r="BB70" s="261">
        <v>64710</v>
      </c>
      <c r="BC70" s="261">
        <v>64578</v>
      </c>
      <c r="BD70" s="261">
        <v>64337</v>
      </c>
      <c r="BE70" s="261">
        <v>64623</v>
      </c>
      <c r="BF70" s="236">
        <f t="shared" ref="BF70" si="283">+BE70+BF71</f>
        <v>64553</v>
      </c>
      <c r="BG70" s="236">
        <f t="shared" ref="BG70" si="284">+BF70+BG71</f>
        <v>64493</v>
      </c>
      <c r="BH70" s="236">
        <f t="shared" ref="BH70" si="285">+BG70+BH71</f>
        <v>64410.55</v>
      </c>
      <c r="BI70" s="236">
        <f t="shared" ref="BI70" si="286">+BH70+BI71</f>
        <v>64690.200000000004</v>
      </c>
    </row>
    <row r="71" spans="2:63">
      <c r="B71" s="307" t="s">
        <v>312</v>
      </c>
      <c r="C71" s="274"/>
      <c r="E71" s="308">
        <f>+SUM(AP71:AS71)</f>
        <v>524</v>
      </c>
      <c r="F71" s="295">
        <f>SUM(AT71:AW71)</f>
        <v>-1536</v>
      </c>
      <c r="G71" s="295">
        <f>SUM(AX71:BA71)</f>
        <v>-1214</v>
      </c>
      <c r="H71" s="295">
        <f>SUM(BB71:BE71)</f>
        <v>-570</v>
      </c>
      <c r="I71" s="295">
        <f>SUM(BF71:BI71)</f>
        <v>67.199999999999989</v>
      </c>
      <c r="J71" s="295">
        <f>+J72</f>
        <v>142.19999999999999</v>
      </c>
      <c r="K71" s="295">
        <f t="shared" ref="K71:P71" si="287">+K72</f>
        <v>217.2</v>
      </c>
      <c r="L71" s="295">
        <f t="shared" si="287"/>
        <v>292.2</v>
      </c>
      <c r="M71" s="295">
        <f t="shared" si="287"/>
        <v>367.2</v>
      </c>
      <c r="N71" s="295">
        <f t="shared" si="287"/>
        <v>442.2</v>
      </c>
      <c r="O71" s="295">
        <f t="shared" si="287"/>
        <v>517.20000000000005</v>
      </c>
      <c r="P71" s="295">
        <f t="shared" si="287"/>
        <v>592.20000000000005</v>
      </c>
      <c r="Q71" s="274"/>
      <c r="R71" s="274"/>
      <c r="S71" s="274"/>
      <c r="T71" s="274"/>
      <c r="U71" s="274"/>
      <c r="V71" s="274"/>
      <c r="W71" s="274"/>
      <c r="X71" s="274"/>
      <c r="Y71" s="274"/>
      <c r="Z71" s="274"/>
      <c r="AA71" s="274"/>
      <c r="AB71" s="274"/>
      <c r="AC71" s="274"/>
      <c r="AD71" s="274"/>
      <c r="AE71" s="274"/>
      <c r="AF71" s="274"/>
      <c r="AG71" s="274"/>
      <c r="AH71" s="274"/>
      <c r="AI71" s="274"/>
      <c r="AJ71" s="274"/>
      <c r="AK71" s="274"/>
      <c r="AN71" s="262">
        <f t="shared" ref="AN71:AU71" si="288">+AN70-AM70</f>
        <v>240</v>
      </c>
      <c r="AO71" s="262">
        <f t="shared" si="288"/>
        <v>-38</v>
      </c>
      <c r="AP71" s="262">
        <f t="shared" si="288"/>
        <v>61</v>
      </c>
      <c r="AQ71" s="262">
        <f t="shared" si="288"/>
        <v>555</v>
      </c>
      <c r="AR71" s="262">
        <f t="shared" si="288"/>
        <v>258</v>
      </c>
      <c r="AS71" s="262">
        <f t="shared" si="288"/>
        <v>-350</v>
      </c>
      <c r="AT71" s="262">
        <f t="shared" si="288"/>
        <v>-327</v>
      </c>
      <c r="AU71" s="262">
        <f t="shared" si="288"/>
        <v>-322</v>
      </c>
      <c r="AV71" s="260">
        <f>+AV70-AU70+300</f>
        <v>-545</v>
      </c>
      <c r="AW71" s="262">
        <f t="shared" ref="AW71:BE71" si="289">+AW70-AV70</f>
        <v>-342</v>
      </c>
      <c r="AX71" s="262">
        <f t="shared" si="289"/>
        <v>-447</v>
      </c>
      <c r="AY71" s="262">
        <f t="shared" si="289"/>
        <v>-266</v>
      </c>
      <c r="AZ71" s="262">
        <f t="shared" si="289"/>
        <v>-354</v>
      </c>
      <c r="BA71" s="262">
        <f t="shared" si="289"/>
        <v>-147</v>
      </c>
      <c r="BB71" s="262">
        <f t="shared" si="289"/>
        <v>-483</v>
      </c>
      <c r="BC71" s="262">
        <f t="shared" si="289"/>
        <v>-132</v>
      </c>
      <c r="BD71" s="262">
        <f t="shared" si="289"/>
        <v>-241</v>
      </c>
      <c r="BE71" s="262">
        <f t="shared" si="289"/>
        <v>286</v>
      </c>
      <c r="BF71" s="262">
        <f t="shared" ref="BF71:BI71" si="290">+BF72</f>
        <v>-70</v>
      </c>
      <c r="BG71" s="262">
        <f t="shared" si="290"/>
        <v>-60</v>
      </c>
      <c r="BH71" s="262">
        <f t="shared" si="290"/>
        <v>-82.45</v>
      </c>
      <c r="BI71" s="262">
        <f t="shared" si="290"/>
        <v>279.64999999999998</v>
      </c>
    </row>
    <row r="72" spans="2:63">
      <c r="B72" s="439" t="s">
        <v>448</v>
      </c>
      <c r="C72" s="274"/>
      <c r="E72" s="308">
        <f>+SUM(AP72:AS72)</f>
        <v>760</v>
      </c>
      <c r="F72" s="295">
        <f>SUM(AT72:AW72)</f>
        <v>-1199</v>
      </c>
      <c r="G72" s="295">
        <f>SUM(AX72:BA72)</f>
        <v>-878</v>
      </c>
      <c r="H72" s="295">
        <f>SUM(BB72:BE72)</f>
        <v>-205</v>
      </c>
      <c r="I72" s="295">
        <f>SUM(BF72:BI72)</f>
        <v>67.199999999999989</v>
      </c>
      <c r="J72" s="211">
        <f>+I72+75</f>
        <v>142.19999999999999</v>
      </c>
      <c r="K72" s="211">
        <f t="shared" ref="K72:P72" si="291">+J72+75</f>
        <v>217.2</v>
      </c>
      <c r="L72" s="211">
        <f t="shared" si="291"/>
        <v>292.2</v>
      </c>
      <c r="M72" s="211">
        <f t="shared" si="291"/>
        <v>367.2</v>
      </c>
      <c r="N72" s="211">
        <f t="shared" si="291"/>
        <v>442.2</v>
      </c>
      <c r="O72" s="211">
        <f t="shared" si="291"/>
        <v>517.20000000000005</v>
      </c>
      <c r="P72" s="211">
        <f t="shared" si="291"/>
        <v>592.20000000000005</v>
      </c>
      <c r="Q72" s="274"/>
      <c r="R72" s="274"/>
      <c r="S72" s="274"/>
      <c r="T72" s="274"/>
      <c r="U72" s="274"/>
      <c r="V72" s="274"/>
      <c r="W72" s="274"/>
      <c r="X72" s="274"/>
      <c r="Y72" s="274"/>
      <c r="Z72" s="274"/>
      <c r="AA72" s="274"/>
      <c r="AB72" s="274"/>
      <c r="AC72" s="274"/>
      <c r="AD72" s="274"/>
      <c r="AE72" s="274"/>
      <c r="AF72" s="274"/>
      <c r="AG72" s="274"/>
      <c r="AH72" s="274"/>
      <c r="AI72" s="274"/>
      <c r="AJ72" s="262"/>
      <c r="AK72" s="262"/>
      <c r="AL72" s="262"/>
      <c r="AM72" s="262"/>
      <c r="AN72" s="262"/>
      <c r="AO72" s="262"/>
      <c r="AP72" s="261">
        <v>72</v>
      </c>
      <c r="AQ72" s="261">
        <v>560</v>
      </c>
      <c r="AR72" s="261">
        <v>279</v>
      </c>
      <c r="AS72" s="261">
        <v>-151</v>
      </c>
      <c r="AT72" s="261">
        <v>-284</v>
      </c>
      <c r="AU72" s="261">
        <v>-276</v>
      </c>
      <c r="AV72" s="261">
        <v>-383</v>
      </c>
      <c r="AW72" s="261">
        <v>-256</v>
      </c>
      <c r="AX72" s="261">
        <v>-363</v>
      </c>
      <c r="AY72" s="261">
        <v>-180</v>
      </c>
      <c r="AZ72" s="261">
        <v>-268</v>
      </c>
      <c r="BA72" s="261">
        <v>-67</v>
      </c>
      <c r="BB72" s="261">
        <v>-348</v>
      </c>
      <c r="BC72" s="261">
        <v>-89</v>
      </c>
      <c r="BD72" s="261">
        <v>-97</v>
      </c>
      <c r="BE72" s="261">
        <v>329</v>
      </c>
      <c r="BF72" s="211">
        <v>-70</v>
      </c>
      <c r="BG72" s="211">
        <v>-60</v>
      </c>
      <c r="BH72" s="211">
        <f t="shared" ref="BH72:BI72" si="292">+BD72*0.85</f>
        <v>-82.45</v>
      </c>
      <c r="BI72" s="211">
        <f t="shared" si="292"/>
        <v>279.64999999999998</v>
      </c>
    </row>
    <row r="73" spans="2:63">
      <c r="C73" s="274"/>
      <c r="Q73" s="274"/>
      <c r="R73" s="274"/>
      <c r="S73" s="274"/>
      <c r="T73" s="274"/>
      <c r="U73" s="274"/>
      <c r="V73" s="274"/>
      <c r="W73" s="274"/>
      <c r="X73" s="274"/>
      <c r="Y73" s="274"/>
      <c r="Z73" s="274"/>
      <c r="AA73" s="274"/>
      <c r="AB73" s="274"/>
      <c r="AC73" s="274"/>
      <c r="AD73" s="274"/>
      <c r="AE73" s="274"/>
      <c r="AF73" s="274"/>
      <c r="AG73" s="274"/>
      <c r="AH73" s="274"/>
      <c r="AI73" s="274"/>
      <c r="AJ73" s="274"/>
      <c r="AK73" s="274"/>
      <c r="AO73" s="261"/>
      <c r="AP73" s="261"/>
      <c r="AQ73" s="261"/>
      <c r="AR73" s="261"/>
      <c r="AS73" s="261"/>
      <c r="AT73" s="261"/>
      <c r="AU73" s="261"/>
      <c r="AV73" s="261"/>
      <c r="AW73" s="261"/>
      <c r="AX73" s="261"/>
      <c r="AY73" s="261"/>
      <c r="AZ73" s="261"/>
      <c r="BA73" s="261"/>
      <c r="BB73" s="261"/>
      <c r="BC73" s="261"/>
      <c r="BD73" s="261"/>
      <c r="BE73" s="261"/>
    </row>
    <row r="74" spans="2:63">
      <c r="B74" s="235" t="s">
        <v>313</v>
      </c>
      <c r="C74" s="274"/>
      <c r="D74" s="236">
        <f>+AO74</f>
        <v>2235</v>
      </c>
      <c r="E74" s="236">
        <f>+AS74</f>
        <v>4504</v>
      </c>
      <c r="F74" s="236">
        <f>+AW74</f>
        <v>7192</v>
      </c>
      <c r="G74" s="236">
        <f>+BA74</f>
        <v>8663</v>
      </c>
      <c r="H74" s="236">
        <f>+BE74</f>
        <v>8826</v>
      </c>
      <c r="I74" s="236">
        <f>+BI74</f>
        <v>8546</v>
      </c>
      <c r="J74" s="236">
        <f>+I74+J75</f>
        <v>8216</v>
      </c>
      <c r="K74" s="236">
        <f t="shared" ref="K74:P74" si="293">+J74+K75</f>
        <v>7836</v>
      </c>
      <c r="L74" s="236">
        <f t="shared" si="293"/>
        <v>7406</v>
      </c>
      <c r="M74" s="236">
        <f t="shared" si="293"/>
        <v>6926</v>
      </c>
      <c r="N74" s="236">
        <f t="shared" si="293"/>
        <v>6396</v>
      </c>
      <c r="O74" s="236">
        <f t="shared" si="293"/>
        <v>5816</v>
      </c>
      <c r="P74" s="236">
        <f t="shared" si="293"/>
        <v>5186</v>
      </c>
      <c r="Q74" s="274"/>
      <c r="R74" s="274"/>
      <c r="S74" s="274"/>
      <c r="T74" s="274"/>
      <c r="U74" s="274"/>
      <c r="V74" s="274"/>
      <c r="W74" s="274"/>
      <c r="X74" s="274"/>
      <c r="Y74" s="274"/>
      <c r="Z74" s="274"/>
      <c r="AA74" s="274"/>
      <c r="AB74" s="274"/>
      <c r="AC74" s="274"/>
      <c r="AD74" s="274"/>
      <c r="AE74" s="274"/>
      <c r="AF74" s="274"/>
      <c r="AG74" s="274"/>
      <c r="AH74" s="274"/>
      <c r="AI74" s="274"/>
      <c r="AJ74" s="274">
        <f>+AI74+AJ75</f>
        <v>140</v>
      </c>
      <c r="AK74" s="274">
        <f t="shared" ref="AK74:AU74" si="294">+AJ74+AK75</f>
        <v>540</v>
      </c>
      <c r="AL74" s="274">
        <f t="shared" si="294"/>
        <v>905</v>
      </c>
      <c r="AM74" s="274">
        <f t="shared" si="294"/>
        <v>1303</v>
      </c>
      <c r="AN74" s="274">
        <f t="shared" si="294"/>
        <v>1691</v>
      </c>
      <c r="AO74" s="274">
        <f t="shared" si="294"/>
        <v>2235</v>
      </c>
      <c r="AP74" s="274">
        <f t="shared" si="294"/>
        <v>2735</v>
      </c>
      <c r="AQ74" s="274">
        <f t="shared" si="294"/>
        <v>3101</v>
      </c>
      <c r="AR74" s="274">
        <f t="shared" si="294"/>
        <v>3535</v>
      </c>
      <c r="AS74" s="274">
        <f t="shared" si="294"/>
        <v>4504</v>
      </c>
      <c r="AT74" s="274">
        <f t="shared" si="294"/>
        <v>5215</v>
      </c>
      <c r="AU74" s="274">
        <f t="shared" si="294"/>
        <v>5874</v>
      </c>
      <c r="AV74" s="274">
        <f t="shared" ref="AV74:BE74" si="295">+AU74+AV75</f>
        <v>6496</v>
      </c>
      <c r="AW74" s="274">
        <f t="shared" si="295"/>
        <v>7192</v>
      </c>
      <c r="AX74" s="274">
        <f t="shared" si="295"/>
        <v>7536</v>
      </c>
      <c r="AY74" s="274">
        <f t="shared" si="295"/>
        <v>7855</v>
      </c>
      <c r="AZ74" s="274">
        <f t="shared" si="295"/>
        <v>8154</v>
      </c>
      <c r="BA74" s="274">
        <f t="shared" si="295"/>
        <v>8663</v>
      </c>
      <c r="BB74" s="274">
        <f t="shared" si="295"/>
        <v>8768</v>
      </c>
      <c r="BC74" s="274">
        <f t="shared" si="295"/>
        <v>8924</v>
      </c>
      <c r="BD74" s="274">
        <f t="shared" si="295"/>
        <v>9056</v>
      </c>
      <c r="BE74" s="274">
        <f t="shared" si="295"/>
        <v>8826</v>
      </c>
      <c r="BF74" s="236">
        <f t="shared" ref="BF74" si="296">+BE74+BF75</f>
        <v>8776</v>
      </c>
      <c r="BG74" s="236">
        <f t="shared" ref="BG74" si="297">+BF74+BG75</f>
        <v>8716</v>
      </c>
      <c r="BH74" s="236">
        <f t="shared" ref="BH74" si="298">+BG74+BH75</f>
        <v>8646</v>
      </c>
      <c r="BI74" s="236">
        <f t="shared" ref="BI74" si="299">+BH74+BI75</f>
        <v>8546</v>
      </c>
    </row>
    <row r="75" spans="2:63" s="236" customFormat="1">
      <c r="B75" s="307" t="s">
        <v>117</v>
      </c>
      <c r="C75" s="274"/>
      <c r="E75" s="308">
        <f>+SUM(AP75:AS75)</f>
        <v>2269</v>
      </c>
      <c r="F75" s="295">
        <f>SUM(AT75:AW75)</f>
        <v>2688</v>
      </c>
      <c r="G75" s="295">
        <f>SUM(AX75:BA75)</f>
        <v>1471</v>
      </c>
      <c r="H75" s="295">
        <f>SUM(BB75:BE75)</f>
        <v>163</v>
      </c>
      <c r="I75" s="295">
        <f>SUM(BF75:BI75)</f>
        <v>-280</v>
      </c>
      <c r="J75" s="211">
        <f t="shared" ref="J75:P75" si="300">+I75-50</f>
        <v>-330</v>
      </c>
      <c r="K75" s="211">
        <f t="shared" si="300"/>
        <v>-380</v>
      </c>
      <c r="L75" s="211">
        <f t="shared" si="300"/>
        <v>-430</v>
      </c>
      <c r="M75" s="211">
        <f t="shared" si="300"/>
        <v>-480</v>
      </c>
      <c r="N75" s="211">
        <f t="shared" si="300"/>
        <v>-530</v>
      </c>
      <c r="O75" s="211">
        <f t="shared" si="300"/>
        <v>-580</v>
      </c>
      <c r="P75" s="211">
        <f t="shared" si="300"/>
        <v>-630</v>
      </c>
      <c r="Q75" s="274"/>
      <c r="R75" s="168"/>
      <c r="S75" s="168"/>
      <c r="T75" s="168"/>
      <c r="U75" s="168"/>
      <c r="V75" s="168"/>
      <c r="W75" s="168"/>
      <c r="X75" s="168"/>
      <c r="Y75" s="168"/>
      <c r="Z75" s="168"/>
      <c r="AA75" s="168"/>
      <c r="AB75" s="168"/>
      <c r="AC75" s="168"/>
      <c r="AD75" s="168"/>
      <c r="AE75" s="168"/>
      <c r="AF75" s="168"/>
      <c r="AG75" s="168"/>
      <c r="AH75" s="168"/>
      <c r="AI75" s="168"/>
      <c r="AJ75" s="165">
        <v>140</v>
      </c>
      <c r="AK75" s="165">
        <v>400</v>
      </c>
      <c r="AL75" s="155">
        <v>365</v>
      </c>
      <c r="AM75" s="155">
        <v>398</v>
      </c>
      <c r="AN75" s="155">
        <v>388</v>
      </c>
      <c r="AO75" s="155">
        <v>544</v>
      </c>
      <c r="AP75" s="261">
        <v>500</v>
      </c>
      <c r="AQ75" s="261">
        <v>366</v>
      </c>
      <c r="AR75" s="261">
        <v>434</v>
      </c>
      <c r="AS75" s="261">
        <v>969</v>
      </c>
      <c r="AT75" s="261">
        <v>711</v>
      </c>
      <c r="AU75" s="261">
        <v>659</v>
      </c>
      <c r="AV75" s="261">
        <v>622</v>
      </c>
      <c r="AW75" s="261">
        <v>696</v>
      </c>
      <c r="AX75" s="261">
        <v>344</v>
      </c>
      <c r="AY75" s="261">
        <v>319</v>
      </c>
      <c r="AZ75" s="261">
        <v>299</v>
      </c>
      <c r="BA75" s="261">
        <v>509</v>
      </c>
      <c r="BB75" s="261">
        <v>105</v>
      </c>
      <c r="BC75" s="261">
        <v>156</v>
      </c>
      <c r="BD75" s="261">
        <v>132</v>
      </c>
      <c r="BE75" s="261">
        <v>-230</v>
      </c>
      <c r="BF75" s="211">
        <v>-50</v>
      </c>
      <c r="BG75" s="211">
        <f>+BF75-10</f>
        <v>-60</v>
      </c>
      <c r="BH75" s="211">
        <f t="shared" ref="BH75" si="301">+BG75-10</f>
        <v>-70</v>
      </c>
      <c r="BI75" s="211">
        <v>-100</v>
      </c>
    </row>
    <row r="76" spans="2:63" s="271" customFormat="1">
      <c r="B76" s="282" t="s">
        <v>42</v>
      </c>
      <c r="C76" s="275"/>
      <c r="D76" s="283">
        <f t="shared" ref="D76:J76" si="302">+D74/D67</f>
        <v>3.0769018970786641E-2</v>
      </c>
      <c r="E76" s="283">
        <f t="shared" si="302"/>
        <v>5.9443051339580312E-2</v>
      </c>
      <c r="F76" s="283">
        <f t="shared" si="302"/>
        <v>9.3275403670319695E-2</v>
      </c>
      <c r="G76" s="283">
        <f>+G74/G67</f>
        <v>0.11137395060617358</v>
      </c>
      <c r="H76" s="283">
        <f>+H74/H67</f>
        <v>0.11333547351524879</v>
      </c>
      <c r="I76" s="283">
        <f ca="1">+I74/I67</f>
        <v>0.10866856218738641</v>
      </c>
      <c r="J76" s="283">
        <f t="shared" ca="1" si="302"/>
        <v>0.10382013225067903</v>
      </c>
      <c r="K76" s="283">
        <f t="shared" ref="K76:P76" ca="1" si="303">+K74/K67</f>
        <v>9.870429946246681E-2</v>
      </c>
      <c r="L76" s="283">
        <f t="shared" ca="1" si="303"/>
        <v>9.3243299090462015E-2</v>
      </c>
      <c r="M76" s="283">
        <f t="shared" ca="1" si="303"/>
        <v>8.7364999065882243E-2</v>
      </c>
      <c r="N76" s="283">
        <f t="shared" ca="1" si="303"/>
        <v>8.1001120034587884E-2</v>
      </c>
      <c r="O76" s="283">
        <f t="shared" ca="1" si="303"/>
        <v>7.408593645810764E-2</v>
      </c>
      <c r="P76" s="283">
        <f t="shared" ca="1" si="303"/>
        <v>6.6555311024713584E-2</v>
      </c>
      <c r="Q76" s="275"/>
      <c r="R76" s="182"/>
      <c r="S76" s="182"/>
      <c r="T76" s="182"/>
      <c r="U76" s="182"/>
      <c r="V76" s="182"/>
      <c r="W76" s="182"/>
      <c r="X76" s="182"/>
      <c r="Y76" s="182"/>
      <c r="Z76" s="182"/>
      <c r="AA76" s="182"/>
      <c r="AB76" s="182"/>
      <c r="AC76" s="182"/>
      <c r="AD76" s="182"/>
      <c r="AE76" s="182"/>
      <c r="AF76" s="182"/>
      <c r="AG76" s="182"/>
      <c r="AH76" s="179"/>
      <c r="AI76" s="179"/>
      <c r="AJ76" s="179">
        <f>+AJ74/AJ67</f>
        <v>2.0072547923208166E-3</v>
      </c>
      <c r="AK76" s="179">
        <f t="shared" ref="AK76:AV76" si="304">+AK74/AK67</f>
        <v>7.6599004212945234E-3</v>
      </c>
      <c r="AL76" s="179">
        <f t="shared" si="304"/>
        <v>1.279170023604574E-2</v>
      </c>
      <c r="AM76" s="179">
        <f t="shared" si="304"/>
        <v>1.8280535368556918E-2</v>
      </c>
      <c r="AN76" s="179">
        <f t="shared" si="304"/>
        <v>2.3475677476677032E-2</v>
      </c>
      <c r="AO76" s="179">
        <f t="shared" si="304"/>
        <v>3.0769018970786641E-2</v>
      </c>
      <c r="AP76" s="283">
        <f t="shared" si="304"/>
        <v>3.7316996629872701E-2</v>
      </c>
      <c r="AQ76" s="283">
        <f t="shared" si="304"/>
        <v>4.1718237098423289E-2</v>
      </c>
      <c r="AR76" s="283">
        <f t="shared" si="304"/>
        <v>4.7067438918846946E-2</v>
      </c>
      <c r="AS76" s="283">
        <f t="shared" si="304"/>
        <v>5.9443051339580312E-2</v>
      </c>
      <c r="AT76" s="283">
        <f t="shared" si="304"/>
        <v>6.8460781096160161E-2</v>
      </c>
      <c r="AU76" s="283">
        <f t="shared" si="304"/>
        <v>7.674318339190761E-2</v>
      </c>
      <c r="AV76" s="283">
        <f t="shared" si="304"/>
        <v>8.4725645941751124E-2</v>
      </c>
      <c r="AW76" s="283">
        <f t="shared" ref="AW76:BB76" si="305">+AW74/AW67</f>
        <v>9.3275403670319695E-2</v>
      </c>
      <c r="AX76" s="283">
        <f t="shared" si="305"/>
        <v>9.7695040058077734E-2</v>
      </c>
      <c r="AY76" s="283">
        <f t="shared" si="305"/>
        <v>0.10162364965392329</v>
      </c>
      <c r="AZ76" s="283">
        <f t="shared" si="305"/>
        <v>0.10536517289502248</v>
      </c>
      <c r="BA76" s="283">
        <f t="shared" si="305"/>
        <v>0.11137395060617358</v>
      </c>
      <c r="BB76" s="283">
        <f t="shared" si="305"/>
        <v>0.11335634591268148</v>
      </c>
      <c r="BC76" s="283">
        <f t="shared" ref="BC76:BD76" si="306">+BC74/BC67</f>
        <v>0.11529566801462514</v>
      </c>
      <c r="BD76" s="283">
        <f t="shared" si="306"/>
        <v>0.11697991345346509</v>
      </c>
      <c r="BE76" s="283">
        <f t="shared" ref="BE76" si="307">+BE74/BE67</f>
        <v>0.11333547351524879</v>
      </c>
      <c r="BF76" s="283">
        <f t="shared" ref="BF76:BI76" ca="1" si="308">+BF74/BF67</f>
        <v>0.11288182674349402</v>
      </c>
      <c r="BG76" s="283">
        <f t="shared" ca="1" si="308"/>
        <v>0.11183989420116444</v>
      </c>
      <c r="BH76" s="283">
        <f t="shared" ca="1" si="308"/>
        <v>0.11068899073070396</v>
      </c>
      <c r="BI76" s="283">
        <f t="shared" ca="1" si="308"/>
        <v>0.10866856218738641</v>
      </c>
    </row>
    <row r="77" spans="2:63">
      <c r="C77" s="274"/>
      <c r="Q77" s="274"/>
      <c r="R77" s="168"/>
      <c r="S77" s="168"/>
      <c r="T77" s="168"/>
      <c r="U77" s="168"/>
      <c r="V77" s="168"/>
      <c r="W77" s="168"/>
      <c r="X77" s="168"/>
      <c r="Y77" s="168"/>
      <c r="Z77" s="168"/>
      <c r="AA77" s="168"/>
      <c r="AB77" s="168"/>
      <c r="AC77" s="168"/>
      <c r="AD77" s="168"/>
      <c r="AE77" s="168"/>
      <c r="AF77" s="168"/>
      <c r="AG77" s="168"/>
      <c r="AH77" s="168"/>
      <c r="AI77" s="168"/>
      <c r="AJ77" s="168"/>
      <c r="AK77" s="168"/>
      <c r="AL77" s="161"/>
      <c r="AM77" s="161"/>
      <c r="AN77" s="161"/>
      <c r="AO77" s="155"/>
      <c r="AP77" s="261"/>
      <c r="AQ77" s="261"/>
      <c r="AR77" s="261"/>
      <c r="AS77" s="261"/>
      <c r="AT77" s="261"/>
      <c r="AU77" s="261"/>
      <c r="AV77" s="261"/>
      <c r="AW77" s="261"/>
      <c r="AX77" s="261"/>
      <c r="AY77" s="261"/>
      <c r="AZ77" s="261"/>
      <c r="BA77" s="261"/>
      <c r="BB77" s="261"/>
      <c r="BC77" s="261"/>
      <c r="BD77" s="261"/>
      <c r="BE77" s="261"/>
      <c r="BF77" s="236"/>
      <c r="BG77" s="236"/>
      <c r="BH77" s="236"/>
      <c r="BI77" s="236"/>
    </row>
    <row r="78" spans="2:63" s="252" customFormat="1" ht="15.75">
      <c r="B78" s="247" t="s">
        <v>37</v>
      </c>
      <c r="C78" s="247"/>
      <c r="D78" s="252">
        <f>SUM(AL78:AO78)</f>
        <v>10861.331700000001</v>
      </c>
      <c r="E78" s="247">
        <f>+SUM(AP78:AS78)</f>
        <v>12516.649100000001</v>
      </c>
      <c r="F78" s="306">
        <f>SUM(AT78:AW78)</f>
        <v>11692.129899999998</v>
      </c>
      <c r="G78" s="306">
        <f>SUM(AX78:BA78)</f>
        <v>11046.2423</v>
      </c>
      <c r="H78" s="306">
        <f>SUM(BB78:BE78)</f>
        <v>10638.348900000001</v>
      </c>
      <c r="I78" s="306">
        <f>SUM(BF78:BI78)</f>
        <v>10574.77709125</v>
      </c>
      <c r="J78" s="247">
        <f>+I78+J81</f>
        <v>10474.77709125</v>
      </c>
      <c r="K78" s="247">
        <f t="shared" ref="K78:P78" si="309">+J78+K81</f>
        <v>10374.77709125</v>
      </c>
      <c r="L78" s="247">
        <f t="shared" si="309"/>
        <v>10274.77709125</v>
      </c>
      <c r="M78" s="247">
        <f t="shared" si="309"/>
        <v>10174.77709125</v>
      </c>
      <c r="N78" s="247">
        <f t="shared" si="309"/>
        <v>10074.77709125</v>
      </c>
      <c r="O78" s="247">
        <f t="shared" si="309"/>
        <v>9974.77709125</v>
      </c>
      <c r="P78" s="247">
        <f t="shared" si="309"/>
        <v>9874.77709125</v>
      </c>
      <c r="Q78" s="247"/>
      <c r="R78" s="173">
        <f>+R68+R83</f>
        <v>2780.2422000000001</v>
      </c>
      <c r="S78" s="173">
        <f>+S68+S83</f>
        <v>2705.3122499999999</v>
      </c>
      <c r="T78" s="173">
        <f t="shared" ref="T78:AV78" si="310">+T68+T83</f>
        <v>3727.5749500000002</v>
      </c>
      <c r="U78" s="173">
        <f t="shared" si="310"/>
        <v>3364.7416000000003</v>
      </c>
      <c r="V78" s="173">
        <f t="shared" si="310"/>
        <v>2970.2429999999999</v>
      </c>
      <c r="W78" s="173">
        <f t="shared" si="310"/>
        <v>3089.0210999999999</v>
      </c>
      <c r="X78" s="173">
        <f t="shared" si="310"/>
        <v>3463.7968000000001</v>
      </c>
      <c r="Y78" s="173">
        <f t="shared" si="310"/>
        <v>3041.893</v>
      </c>
      <c r="Z78" s="173">
        <f t="shared" si="310"/>
        <v>2594.2467499999998</v>
      </c>
      <c r="AA78" s="173">
        <f t="shared" si="310"/>
        <v>2496.9816999999998</v>
      </c>
      <c r="AB78" s="173">
        <f t="shared" si="310"/>
        <v>3047.6518000000001</v>
      </c>
      <c r="AC78" s="173">
        <f t="shared" si="310"/>
        <v>2741.3252499999999</v>
      </c>
      <c r="AD78" s="173">
        <f t="shared" si="310"/>
        <v>2471.0230999999999</v>
      </c>
      <c r="AE78" s="173">
        <f t="shared" si="310"/>
        <v>2684.1587500000001</v>
      </c>
      <c r="AF78" s="173">
        <f t="shared" si="310"/>
        <v>2681.68075</v>
      </c>
      <c r="AG78" s="173">
        <f t="shared" si="310"/>
        <v>3220.3024499999997</v>
      </c>
      <c r="AH78" s="173">
        <f t="shared" si="310"/>
        <v>2475.7479999999996</v>
      </c>
      <c r="AI78" s="173">
        <f t="shared" si="310"/>
        <v>2343.4539500000001</v>
      </c>
      <c r="AJ78" s="173">
        <f t="shared" si="310"/>
        <v>2409.4906000000001</v>
      </c>
      <c r="AK78" s="173">
        <f t="shared" si="310"/>
        <v>3283.3554000000004</v>
      </c>
      <c r="AL78" s="173">
        <f t="shared" si="310"/>
        <v>2499.4376000000002</v>
      </c>
      <c r="AM78" s="173">
        <f t="shared" si="310"/>
        <v>2724.0131000000001</v>
      </c>
      <c r="AN78" s="173">
        <f t="shared" si="310"/>
        <v>2663.1255000000001</v>
      </c>
      <c r="AO78" s="173">
        <f t="shared" si="310"/>
        <v>2974.7555000000002</v>
      </c>
      <c r="AP78" s="312">
        <f t="shared" si="310"/>
        <v>2967.1604499999999</v>
      </c>
      <c r="AQ78" s="312">
        <f t="shared" si="310"/>
        <v>2930.3366999999998</v>
      </c>
      <c r="AR78" s="312">
        <f t="shared" si="310"/>
        <v>3004.1394500000001</v>
      </c>
      <c r="AS78" s="312">
        <f t="shared" si="310"/>
        <v>3615.0125000000003</v>
      </c>
      <c r="AT78" s="312">
        <f t="shared" si="310"/>
        <v>2765.7585000000004</v>
      </c>
      <c r="AU78" s="312">
        <f t="shared" si="310"/>
        <v>2723.6473999999998</v>
      </c>
      <c r="AV78" s="312">
        <f t="shared" si="310"/>
        <v>2954.8887999999997</v>
      </c>
      <c r="AW78" s="312">
        <f t="shared" ref="AW78:BB78" si="311">+AW68+AW83</f>
        <v>3247.8352</v>
      </c>
      <c r="AX78" s="312">
        <f t="shared" si="311"/>
        <v>2674.0095000000001</v>
      </c>
      <c r="AY78" s="312">
        <f t="shared" si="311"/>
        <v>2504.0001499999998</v>
      </c>
      <c r="AZ78" s="312">
        <f t="shared" si="311"/>
        <v>2648.2572500000001</v>
      </c>
      <c r="BA78" s="312">
        <f t="shared" si="311"/>
        <v>3219.9753999999998</v>
      </c>
      <c r="BB78" s="312">
        <f t="shared" si="311"/>
        <v>2415.2175999999999</v>
      </c>
      <c r="BC78" s="312">
        <f t="shared" ref="BC78:BD78" si="312">+BC68+BC83</f>
        <v>2471.4624999999996</v>
      </c>
      <c r="BD78" s="312">
        <f t="shared" si="312"/>
        <v>2601.7968000000001</v>
      </c>
      <c r="BE78" s="312">
        <f t="shared" ref="BE78" si="313">+BE68+BE83</f>
        <v>3149.8720000000003</v>
      </c>
      <c r="BF78" s="252">
        <f t="shared" ref="BF78" si="314">+BB78*(1+BF79)</f>
        <v>2391.0654239999999</v>
      </c>
      <c r="BG78" s="252">
        <f t="shared" ref="BG78" si="315">+BC78*(1+BG79)</f>
        <v>2452.9265312499997</v>
      </c>
      <c r="BH78" s="252">
        <f t="shared" ref="BH78" si="316">+BD78*(1+BH79)</f>
        <v>2588.787816</v>
      </c>
      <c r="BI78" s="252">
        <f t="shared" ref="BI78" si="317">+BE78*(1+BI79)</f>
        <v>3141.9973200000004</v>
      </c>
      <c r="BK78" s="152"/>
    </row>
    <row r="79" spans="2:63" s="271" customFormat="1">
      <c r="B79" s="282" t="s">
        <v>252</v>
      </c>
      <c r="C79" s="247"/>
      <c r="D79" s="282"/>
      <c r="E79" s="302">
        <f t="shared" ref="E79:J79" si="318">+E78/D78-1</f>
        <v>0.15240464481901417</v>
      </c>
      <c r="F79" s="302">
        <f t="shared" si="318"/>
        <v>-6.5873796845515309E-2</v>
      </c>
      <c r="G79" s="302">
        <f t="shared" si="318"/>
        <v>-5.5241226835839208E-2</v>
      </c>
      <c r="H79" s="302">
        <f t="shared" si="318"/>
        <v>-3.6925987039049368E-2</v>
      </c>
      <c r="I79" s="302">
        <f t="shared" si="318"/>
        <v>-5.9757213593549796E-3</v>
      </c>
      <c r="J79" s="302">
        <f t="shared" si="318"/>
        <v>-9.4564641067227395E-3</v>
      </c>
      <c r="K79" s="302">
        <f t="shared" ref="K79" si="319">+K78/J78-1</f>
        <v>-9.5467425348396695E-3</v>
      </c>
      <c r="L79" s="302">
        <f t="shared" ref="L79" si="320">+L78/K78-1</f>
        <v>-9.6387613073960487E-3</v>
      </c>
      <c r="M79" s="302">
        <f t="shared" ref="M79" si="321">+M78/L78-1</f>
        <v>-9.7325712384709329E-3</v>
      </c>
      <c r="N79" s="302">
        <f t="shared" ref="N79" si="322">+N78/M78-1</f>
        <v>-9.8282251397917575E-3</v>
      </c>
      <c r="O79" s="302">
        <f t="shared" ref="O79" si="323">+O78/N78-1</f>
        <v>-9.9257779198758112E-3</v>
      </c>
      <c r="P79" s="302">
        <f t="shared" ref="P79" si="324">+P78/O78-1</f>
        <v>-1.0025286689135271E-2</v>
      </c>
      <c r="Q79" s="247"/>
      <c r="R79" s="167"/>
      <c r="S79" s="167"/>
      <c r="T79" s="167"/>
      <c r="U79" s="167"/>
      <c r="V79" s="167"/>
      <c r="W79" s="179">
        <f t="shared" ref="W79:AM79" si="325">+W78/S78-1</f>
        <v>0.1418353278812825</v>
      </c>
      <c r="X79" s="179">
        <f t="shared" si="325"/>
        <v>-7.0764009721655641E-2</v>
      </c>
      <c r="Y79" s="179">
        <f t="shared" si="325"/>
        <v>-9.5950488441668202E-2</v>
      </c>
      <c r="Z79" s="179">
        <f t="shared" si="325"/>
        <v>-0.12658770679705333</v>
      </c>
      <c r="AA79" s="179">
        <f t="shared" si="325"/>
        <v>-0.19165922822605519</v>
      </c>
      <c r="AB79" s="179">
        <f t="shared" si="325"/>
        <v>-0.12014128542413338</v>
      </c>
      <c r="AC79" s="179">
        <f t="shared" si="325"/>
        <v>-9.8809442015218907E-2</v>
      </c>
      <c r="AD79" s="179">
        <f t="shared" si="325"/>
        <v>-4.7498816371264629E-2</v>
      </c>
      <c r="AE79" s="179">
        <f t="shared" si="325"/>
        <v>7.4961322303643829E-2</v>
      </c>
      <c r="AF79" s="179">
        <f t="shared" si="325"/>
        <v>-0.12008296026468646</v>
      </c>
      <c r="AG79" s="179">
        <f t="shared" si="325"/>
        <v>0.17472468836012789</v>
      </c>
      <c r="AH79" s="179">
        <f t="shared" si="325"/>
        <v>1.912122958300122E-3</v>
      </c>
      <c r="AI79" s="179">
        <f t="shared" si="325"/>
        <v>-0.12693168762838636</v>
      </c>
      <c r="AJ79" s="179">
        <f t="shared" si="325"/>
        <v>-0.10149983363977977</v>
      </c>
      <c r="AK79" s="179">
        <f t="shared" si="325"/>
        <v>1.9579822385937806E-2</v>
      </c>
      <c r="AL79" s="179">
        <f t="shared" si="325"/>
        <v>9.5686636927507784E-3</v>
      </c>
      <c r="AM79" s="179">
        <f t="shared" si="325"/>
        <v>0.16239241654396497</v>
      </c>
      <c r="AN79" s="179">
        <f t="shared" ref="AN79:BE79" si="326">+AN78/AJ78-1</f>
        <v>0.10526494687300292</v>
      </c>
      <c r="AO79" s="179">
        <f t="shared" si="326"/>
        <v>-9.3989185575219847E-2</v>
      </c>
      <c r="AP79" s="283">
        <f t="shared" si="326"/>
        <v>0.1871312370430851</v>
      </c>
      <c r="AQ79" s="283">
        <f t="shared" si="326"/>
        <v>7.5742513866765115E-2</v>
      </c>
      <c r="AR79" s="283">
        <f t="shared" si="326"/>
        <v>0.12805027401074409</v>
      </c>
      <c r="AS79" s="283">
        <f t="shared" si="326"/>
        <v>0.21523012563553534</v>
      </c>
      <c r="AT79" s="283">
        <f t="shared" si="326"/>
        <v>-6.787700004561581E-2</v>
      </c>
      <c r="AU79" s="283">
        <f t="shared" si="326"/>
        <v>-7.0534317779932909E-2</v>
      </c>
      <c r="AV79" s="283">
        <f t="shared" si="326"/>
        <v>-1.6394262257033554E-2</v>
      </c>
      <c r="AW79" s="283">
        <f t="shared" si="326"/>
        <v>-0.10157013288335803</v>
      </c>
      <c r="AX79" s="283">
        <f t="shared" si="326"/>
        <v>-3.3173178352339905E-2</v>
      </c>
      <c r="AY79" s="283">
        <f t="shared" si="326"/>
        <v>-8.0644524691411923E-2</v>
      </c>
      <c r="AZ79" s="283">
        <f t="shared" si="326"/>
        <v>-0.10377092701424151</v>
      </c>
      <c r="BA79" s="283">
        <f t="shared" si="326"/>
        <v>-8.577959866929219E-3</v>
      </c>
      <c r="BB79" s="283">
        <f t="shared" si="326"/>
        <v>-9.6780471423156933E-2</v>
      </c>
      <c r="BC79" s="283">
        <f t="shared" si="326"/>
        <v>-1.2994268390918551E-2</v>
      </c>
      <c r="BD79" s="283">
        <f t="shared" si="326"/>
        <v>-1.7543782802822538E-2</v>
      </c>
      <c r="BE79" s="283">
        <f t="shared" si="326"/>
        <v>-2.1771408564177031E-2</v>
      </c>
      <c r="BF79" s="210">
        <v>-0.01</v>
      </c>
      <c r="BG79" s="210">
        <v>-7.4999999999999997E-3</v>
      </c>
      <c r="BH79" s="210">
        <v>-5.0000000000000001E-3</v>
      </c>
      <c r="BI79" s="210">
        <v>-2.5000000000000001E-3</v>
      </c>
    </row>
    <row r="80" spans="2:63" s="288" customFormat="1" ht="15.75">
      <c r="B80" s="298" t="s">
        <v>342</v>
      </c>
      <c r="C80" s="298"/>
      <c r="D80" s="298"/>
      <c r="E80" s="309"/>
      <c r="F80" s="309"/>
      <c r="G80" s="309"/>
      <c r="H80" s="309"/>
      <c r="I80" s="309"/>
      <c r="J80" s="298"/>
      <c r="K80" s="298"/>
      <c r="L80" s="298"/>
      <c r="M80" s="298"/>
      <c r="N80" s="298"/>
      <c r="O80" s="298"/>
      <c r="P80" s="298"/>
      <c r="Q80" s="298"/>
      <c r="R80" s="206"/>
      <c r="S80" s="206">
        <f t="shared" ref="S80:AU80" si="327">+S78-R78</f>
        <v>-74.92995000000019</v>
      </c>
      <c r="T80" s="206">
        <f t="shared" si="327"/>
        <v>1022.2627000000002</v>
      </c>
      <c r="U80" s="206">
        <f t="shared" si="327"/>
        <v>-362.83334999999988</v>
      </c>
      <c r="V80" s="206">
        <f t="shared" si="327"/>
        <v>-394.49860000000035</v>
      </c>
      <c r="W80" s="206">
        <f t="shared" si="327"/>
        <v>118.77809999999999</v>
      </c>
      <c r="X80" s="206">
        <f t="shared" si="327"/>
        <v>374.77570000000014</v>
      </c>
      <c r="Y80" s="206">
        <f t="shared" si="327"/>
        <v>-421.90380000000005</v>
      </c>
      <c r="Z80" s="206">
        <f t="shared" si="327"/>
        <v>-447.64625000000024</v>
      </c>
      <c r="AA80" s="206">
        <f t="shared" si="327"/>
        <v>-97.265049999999974</v>
      </c>
      <c r="AB80" s="206">
        <f t="shared" si="327"/>
        <v>550.67010000000028</v>
      </c>
      <c r="AC80" s="206">
        <f t="shared" si="327"/>
        <v>-306.32655000000022</v>
      </c>
      <c r="AD80" s="206">
        <f t="shared" si="327"/>
        <v>-270.30214999999998</v>
      </c>
      <c r="AE80" s="206">
        <f t="shared" si="327"/>
        <v>213.13565000000017</v>
      </c>
      <c r="AF80" s="206">
        <f t="shared" si="327"/>
        <v>-2.4780000000000655</v>
      </c>
      <c r="AG80" s="206">
        <f t="shared" si="327"/>
        <v>538.62169999999969</v>
      </c>
      <c r="AH80" s="206">
        <f t="shared" si="327"/>
        <v>-744.55445000000009</v>
      </c>
      <c r="AI80" s="206">
        <f t="shared" si="327"/>
        <v>-132.29404999999952</v>
      </c>
      <c r="AJ80" s="206">
        <f t="shared" si="327"/>
        <v>66.036650000000009</v>
      </c>
      <c r="AK80" s="206">
        <f t="shared" si="327"/>
        <v>873.86480000000029</v>
      </c>
      <c r="AL80" s="206">
        <f t="shared" si="327"/>
        <v>-783.91780000000017</v>
      </c>
      <c r="AM80" s="206">
        <f t="shared" si="327"/>
        <v>224.57549999999992</v>
      </c>
      <c r="AN80" s="206">
        <f t="shared" si="327"/>
        <v>-60.88760000000002</v>
      </c>
      <c r="AO80" s="206">
        <f t="shared" si="327"/>
        <v>311.63000000000011</v>
      </c>
      <c r="AP80" s="311">
        <f t="shared" si="327"/>
        <v>-7.5950500000003558</v>
      </c>
      <c r="AQ80" s="311">
        <f t="shared" si="327"/>
        <v>-36.823750000000018</v>
      </c>
      <c r="AR80" s="311">
        <f t="shared" si="327"/>
        <v>73.802750000000287</v>
      </c>
      <c r="AS80" s="311">
        <f t="shared" si="327"/>
        <v>610.87305000000015</v>
      </c>
      <c r="AT80" s="311">
        <f t="shared" si="327"/>
        <v>-849.25399999999991</v>
      </c>
      <c r="AU80" s="311">
        <f t="shared" si="327"/>
        <v>-42.111100000000533</v>
      </c>
      <c r="AV80" s="311">
        <f t="shared" ref="AV80:BE80" si="328">+AV78-AU78</f>
        <v>231.24139999999989</v>
      </c>
      <c r="AW80" s="311">
        <f t="shared" si="328"/>
        <v>292.94640000000027</v>
      </c>
      <c r="AX80" s="311">
        <f t="shared" si="328"/>
        <v>-573.82569999999987</v>
      </c>
      <c r="AY80" s="311">
        <f t="shared" si="328"/>
        <v>-170.00935000000027</v>
      </c>
      <c r="AZ80" s="311">
        <f t="shared" si="328"/>
        <v>144.25710000000026</v>
      </c>
      <c r="BA80" s="311">
        <f t="shared" si="328"/>
        <v>571.7181499999997</v>
      </c>
      <c r="BB80" s="311">
        <f t="shared" si="328"/>
        <v>-804.75779999999986</v>
      </c>
      <c r="BC80" s="311">
        <f t="shared" si="328"/>
        <v>56.244899999999689</v>
      </c>
      <c r="BD80" s="311">
        <f t="shared" si="328"/>
        <v>130.33430000000044</v>
      </c>
      <c r="BE80" s="311">
        <f t="shared" si="328"/>
        <v>548.07520000000022</v>
      </c>
      <c r="BF80" s="311">
        <f t="shared" ref="BF80" si="329">+BF78-BE78</f>
        <v>-758.8065760000004</v>
      </c>
      <c r="BG80" s="311">
        <f t="shared" ref="BG80" si="330">+BG78-BF78</f>
        <v>61.861107249999804</v>
      </c>
      <c r="BH80" s="311">
        <f t="shared" ref="BH80" si="331">+BH78-BG78</f>
        <v>135.86128475000032</v>
      </c>
      <c r="BI80" s="311">
        <f t="shared" ref="BI80" si="332">+BI78-BH78</f>
        <v>553.20950400000038</v>
      </c>
      <c r="BK80" s="152"/>
    </row>
    <row r="81" spans="2:63" s="288" customFormat="1">
      <c r="B81" s="298" t="s">
        <v>343</v>
      </c>
      <c r="C81" s="298"/>
      <c r="D81" s="298"/>
      <c r="E81" s="309">
        <f>+E78-D78</f>
        <v>1655.3173999999999</v>
      </c>
      <c r="F81" s="309">
        <f>+F78-E78</f>
        <v>-824.51920000000246</v>
      </c>
      <c r="G81" s="309">
        <f>+G78-F78</f>
        <v>-645.8875999999982</v>
      </c>
      <c r="H81" s="309">
        <f>+H78-G78</f>
        <v>-407.89339999999902</v>
      </c>
      <c r="I81" s="309">
        <f>+I78-H78</f>
        <v>-63.571808750000855</v>
      </c>
      <c r="J81" s="217">
        <v>-100</v>
      </c>
      <c r="K81" s="217">
        <v>-100</v>
      </c>
      <c r="L81" s="217">
        <v>-100</v>
      </c>
      <c r="M81" s="217">
        <v>-100</v>
      </c>
      <c r="N81" s="217">
        <v>-100</v>
      </c>
      <c r="O81" s="217">
        <v>-100</v>
      </c>
      <c r="P81" s="217">
        <v>-100</v>
      </c>
      <c r="Q81" s="298"/>
      <c r="R81" s="206"/>
      <c r="S81" s="206"/>
      <c r="T81" s="206"/>
      <c r="U81" s="206"/>
      <c r="V81" s="206">
        <f>+V78-R78</f>
        <v>190.0007999999998</v>
      </c>
      <c r="W81" s="206">
        <f>+W78-S78</f>
        <v>383.70884999999998</v>
      </c>
      <c r="X81" s="206">
        <f t="shared" ref="X81:AK81" si="333">+X78-T78</f>
        <v>-263.7781500000001</v>
      </c>
      <c r="Y81" s="206">
        <f t="shared" si="333"/>
        <v>-322.84860000000026</v>
      </c>
      <c r="Z81" s="206">
        <f t="shared" si="333"/>
        <v>-375.99625000000015</v>
      </c>
      <c r="AA81" s="206">
        <f t="shared" si="333"/>
        <v>-592.03940000000011</v>
      </c>
      <c r="AB81" s="206">
        <f t="shared" si="333"/>
        <v>-416.14499999999998</v>
      </c>
      <c r="AC81" s="206">
        <f t="shared" si="333"/>
        <v>-300.56775000000016</v>
      </c>
      <c r="AD81" s="206">
        <f t="shared" si="333"/>
        <v>-123.22364999999991</v>
      </c>
      <c r="AE81" s="206">
        <f t="shared" si="333"/>
        <v>187.17705000000024</v>
      </c>
      <c r="AF81" s="206">
        <f t="shared" si="333"/>
        <v>-365.9710500000001</v>
      </c>
      <c r="AG81" s="206">
        <f t="shared" si="333"/>
        <v>478.97719999999981</v>
      </c>
      <c r="AH81" s="206">
        <f t="shared" si="333"/>
        <v>4.7248999999997068</v>
      </c>
      <c r="AI81" s="206">
        <f t="shared" si="333"/>
        <v>-340.70479999999998</v>
      </c>
      <c r="AJ81" s="206">
        <f t="shared" si="333"/>
        <v>-272.1901499999999</v>
      </c>
      <c r="AK81" s="206">
        <f t="shared" si="333"/>
        <v>63.052950000000692</v>
      </c>
      <c r="AL81" s="206">
        <f t="shared" ref="AL81:BE81" si="334">+AL78-AH78</f>
        <v>23.68960000000061</v>
      </c>
      <c r="AM81" s="206">
        <f t="shared" si="334"/>
        <v>380.55915000000005</v>
      </c>
      <c r="AN81" s="206">
        <f t="shared" si="334"/>
        <v>253.63490000000002</v>
      </c>
      <c r="AO81" s="206">
        <f t="shared" si="334"/>
        <v>-308.59990000000016</v>
      </c>
      <c r="AP81" s="311">
        <f t="shared" si="334"/>
        <v>467.72284999999965</v>
      </c>
      <c r="AQ81" s="311">
        <f t="shared" si="334"/>
        <v>206.32359999999971</v>
      </c>
      <c r="AR81" s="311">
        <f t="shared" si="334"/>
        <v>341.01395000000002</v>
      </c>
      <c r="AS81" s="311">
        <f t="shared" si="334"/>
        <v>640.25700000000006</v>
      </c>
      <c r="AT81" s="311">
        <f t="shared" si="334"/>
        <v>-201.40194999999949</v>
      </c>
      <c r="AU81" s="311">
        <f t="shared" si="334"/>
        <v>-206.6893</v>
      </c>
      <c r="AV81" s="311">
        <f t="shared" si="334"/>
        <v>-49.250650000000405</v>
      </c>
      <c r="AW81" s="311">
        <f t="shared" si="334"/>
        <v>-367.17730000000029</v>
      </c>
      <c r="AX81" s="311">
        <f t="shared" si="334"/>
        <v>-91.749000000000251</v>
      </c>
      <c r="AY81" s="311">
        <f t="shared" si="334"/>
        <v>-219.64724999999999</v>
      </c>
      <c r="AZ81" s="311">
        <f t="shared" si="334"/>
        <v>-306.63154999999961</v>
      </c>
      <c r="BA81" s="311">
        <f t="shared" si="334"/>
        <v>-27.859800000000178</v>
      </c>
      <c r="BB81" s="311">
        <f t="shared" si="334"/>
        <v>-258.79190000000017</v>
      </c>
      <c r="BC81" s="311">
        <f t="shared" si="334"/>
        <v>-32.537650000000212</v>
      </c>
      <c r="BD81" s="311">
        <f t="shared" si="334"/>
        <v>-46.460450000000037</v>
      </c>
      <c r="BE81" s="311">
        <f t="shared" si="334"/>
        <v>-70.10339999999951</v>
      </c>
      <c r="BF81" s="311">
        <f t="shared" ref="BF81" si="335">+BF78-BB78</f>
        <v>-24.152176000000054</v>
      </c>
      <c r="BG81" s="311">
        <f t="shared" ref="BG81" si="336">+BG78-BC78</f>
        <v>-18.535968749999938</v>
      </c>
      <c r="BH81" s="311">
        <f t="shared" ref="BH81" si="337">+BH78-BD78</f>
        <v>-13.008984000000055</v>
      </c>
      <c r="BI81" s="311">
        <f t="shared" ref="BI81" si="338">+BI78-BE78</f>
        <v>-7.8746799999998984</v>
      </c>
    </row>
    <row r="82" spans="2:63" s="271" customFormat="1">
      <c r="B82" s="282"/>
      <c r="C82" s="247"/>
      <c r="D82" s="282"/>
      <c r="E82" s="282"/>
      <c r="F82" s="302"/>
      <c r="G82" s="302"/>
      <c r="H82" s="302"/>
      <c r="I82" s="302"/>
      <c r="J82" s="302"/>
      <c r="K82" s="302"/>
      <c r="L82" s="302"/>
      <c r="M82" s="302"/>
      <c r="N82" s="302"/>
      <c r="O82" s="302"/>
      <c r="P82" s="302"/>
      <c r="Q82" s="247"/>
      <c r="R82" s="167"/>
      <c r="S82" s="167"/>
      <c r="T82" s="167"/>
      <c r="U82" s="167"/>
      <c r="V82" s="167"/>
      <c r="W82" s="179"/>
      <c r="X82" s="179"/>
      <c r="Y82" s="179"/>
      <c r="Z82" s="179"/>
      <c r="AA82" s="179"/>
      <c r="AB82" s="179"/>
      <c r="AC82" s="179"/>
      <c r="AD82" s="179"/>
      <c r="AE82" s="179"/>
      <c r="AF82" s="179"/>
      <c r="AG82" s="179"/>
      <c r="AH82" s="179"/>
      <c r="AI82" s="179"/>
      <c r="AJ82" s="179"/>
      <c r="AK82" s="179"/>
      <c r="AL82" s="179"/>
      <c r="AM82" s="179"/>
      <c r="AN82" s="179"/>
      <c r="AO82" s="179"/>
      <c r="AP82" s="283"/>
      <c r="AQ82" s="283"/>
      <c r="AR82" s="283"/>
      <c r="AS82" s="283"/>
      <c r="AT82" s="283"/>
      <c r="AU82" s="283"/>
      <c r="AV82" s="283"/>
      <c r="AW82" s="283"/>
      <c r="AX82" s="283"/>
      <c r="AY82" s="283"/>
      <c r="AZ82" s="283"/>
      <c r="BA82" s="283"/>
      <c r="BB82" s="283"/>
      <c r="BC82" s="283"/>
      <c r="BD82" s="283"/>
      <c r="BE82" s="283"/>
      <c r="BF82" s="283"/>
      <c r="BG82" s="283"/>
      <c r="BH82" s="283"/>
      <c r="BI82" s="283"/>
    </row>
    <row r="83" spans="2:63" s="252" customFormat="1" ht="15.75">
      <c r="B83" s="247" t="s">
        <v>38</v>
      </c>
      <c r="C83" s="247"/>
      <c r="D83" s="252">
        <f>SUM(AL83:AO83)</f>
        <v>9085.3317000000006</v>
      </c>
      <c r="E83" s="247">
        <f>+SUM(AP83:AS83)</f>
        <v>9226.6491000000005</v>
      </c>
      <c r="F83" s="306">
        <f>SUM(AT83:AW83)</f>
        <v>10026.1299</v>
      </c>
      <c r="G83" s="306">
        <f>SUM(AX83:BA83)</f>
        <v>9928.2422999999999</v>
      </c>
      <c r="H83" s="306">
        <f>SUM(BB83:BE83)</f>
        <v>10044.348900000001</v>
      </c>
      <c r="I83" s="306">
        <f ca="1">SUM(BF83:BI83)</f>
        <v>9806.9771132452443</v>
      </c>
      <c r="J83" s="312">
        <f ca="1">AVERAGE(I67:J67)*J84*12</f>
        <v>9980.7100484918883</v>
      </c>
      <c r="K83" s="312">
        <f t="shared" ref="K83:P83" ca="1" si="339">AVERAGE(J67:K67)*K84*12</f>
        <v>10123.005089457314</v>
      </c>
      <c r="L83" s="312">
        <f t="shared" ca="1" si="339"/>
        <v>10236.797019012374</v>
      </c>
      <c r="M83" s="312">
        <f t="shared" ca="1" si="339"/>
        <v>10324.797158358399</v>
      </c>
      <c r="N83" s="312">
        <f t="shared" ca="1" si="339"/>
        <v>10389.505008154114</v>
      </c>
      <c r="O83" s="312">
        <f t="shared" ca="1" si="339"/>
        <v>10433.219912523989</v>
      </c>
      <c r="P83" s="312">
        <f t="shared" ca="1" si="339"/>
        <v>10458.052651332644</v>
      </c>
      <c r="Q83" s="247"/>
      <c r="R83" s="173">
        <f t="shared" ref="R83:BE83" si="340">AVERAGE(Q67:R67)*R84*3</f>
        <v>2039.2422000000001</v>
      </c>
      <c r="S83" s="173">
        <f t="shared" si="340"/>
        <v>1838.3122499999999</v>
      </c>
      <c r="T83" s="173">
        <f t="shared" si="340"/>
        <v>2088.5749500000002</v>
      </c>
      <c r="U83" s="173">
        <f t="shared" si="340"/>
        <v>2088.7416000000003</v>
      </c>
      <c r="V83" s="173">
        <f t="shared" si="340"/>
        <v>2073.2429999999999</v>
      </c>
      <c r="W83" s="173">
        <f t="shared" si="340"/>
        <v>1961.0210999999999</v>
      </c>
      <c r="X83" s="173">
        <f t="shared" si="340"/>
        <v>2130.7968000000001</v>
      </c>
      <c r="Y83" s="173">
        <f t="shared" si="340"/>
        <v>2200.893</v>
      </c>
      <c r="Z83" s="173">
        <f t="shared" si="340"/>
        <v>2082.2467499999998</v>
      </c>
      <c r="AA83" s="173">
        <f t="shared" si="340"/>
        <v>2000.9816999999998</v>
      </c>
      <c r="AB83" s="173">
        <f t="shared" si="340"/>
        <v>2302.6518000000001</v>
      </c>
      <c r="AC83" s="173">
        <f t="shared" si="340"/>
        <v>2341.3252499999999</v>
      </c>
      <c r="AD83" s="173">
        <f t="shared" si="340"/>
        <v>2409.0230999999999</v>
      </c>
      <c r="AE83" s="173">
        <f t="shared" si="340"/>
        <v>2353.1587500000001</v>
      </c>
      <c r="AF83" s="173">
        <f t="shared" si="340"/>
        <v>2362.68075</v>
      </c>
      <c r="AG83" s="173">
        <f t="shared" si="340"/>
        <v>2503.3024499999997</v>
      </c>
      <c r="AH83" s="173">
        <f t="shared" si="340"/>
        <v>2288.7479999999996</v>
      </c>
      <c r="AI83" s="173">
        <f t="shared" si="340"/>
        <v>2023.4539500000001</v>
      </c>
      <c r="AJ83" s="173">
        <f t="shared" si="340"/>
        <v>2258.4906000000001</v>
      </c>
      <c r="AK83" s="173">
        <f t="shared" si="340"/>
        <v>2503.3554000000004</v>
      </c>
      <c r="AL83" s="173">
        <f t="shared" si="340"/>
        <v>2203.4376000000002</v>
      </c>
      <c r="AM83" s="173">
        <f t="shared" si="340"/>
        <v>2173.0131000000001</v>
      </c>
      <c r="AN83" s="173">
        <f t="shared" si="340"/>
        <v>2300.1255000000001</v>
      </c>
      <c r="AO83" s="173">
        <f t="shared" si="340"/>
        <v>2408.7555000000002</v>
      </c>
      <c r="AP83" s="312">
        <f t="shared" si="340"/>
        <v>2342.1604499999999</v>
      </c>
      <c r="AQ83" s="312">
        <f t="shared" si="340"/>
        <v>1904.3367000000001</v>
      </c>
      <c r="AR83" s="312">
        <f t="shared" si="340"/>
        <v>2219.1394500000001</v>
      </c>
      <c r="AS83" s="312">
        <f t="shared" si="340"/>
        <v>2761.0125000000003</v>
      </c>
      <c r="AT83" s="312">
        <f t="shared" si="340"/>
        <v>2324.7585000000004</v>
      </c>
      <c r="AU83" s="312">
        <f t="shared" si="340"/>
        <v>2313.6473999999998</v>
      </c>
      <c r="AV83" s="312">
        <f t="shared" si="340"/>
        <v>2665.8887999999997</v>
      </c>
      <c r="AW83" s="312">
        <f t="shared" si="340"/>
        <v>2721.8352</v>
      </c>
      <c r="AX83" s="312">
        <f t="shared" si="340"/>
        <v>2545.0095000000001</v>
      </c>
      <c r="AY83" s="312">
        <f t="shared" si="340"/>
        <v>2247.0001499999998</v>
      </c>
      <c r="AZ83" s="312">
        <f t="shared" si="340"/>
        <v>2436.2572500000001</v>
      </c>
      <c r="BA83" s="312">
        <f t="shared" si="340"/>
        <v>2699.9753999999998</v>
      </c>
      <c r="BB83" s="312">
        <f t="shared" si="340"/>
        <v>2606.2175999999999</v>
      </c>
      <c r="BC83" s="312">
        <f t="shared" si="340"/>
        <v>2344.4624999999996</v>
      </c>
      <c r="BD83" s="312">
        <f t="shared" si="340"/>
        <v>2484.7968000000001</v>
      </c>
      <c r="BE83" s="312">
        <f t="shared" si="340"/>
        <v>2608.8720000000003</v>
      </c>
      <c r="BF83" s="312">
        <f t="shared" ref="BF83" ca="1" si="341">AVERAGE(BE67:BF67)*BF84*3</f>
        <v>2521.0443415359182</v>
      </c>
      <c r="BG83" s="312">
        <f t="shared" ref="BG83" ca="1" si="342">AVERAGE(BF67:BG67)*BG84*3</f>
        <v>2265.112803242218</v>
      </c>
      <c r="BH83" s="312">
        <f t="shared" ref="BH83" ca="1" si="343">AVERAGE(BG67:BH67)*BH84*3</f>
        <v>2410.8733737759426</v>
      </c>
      <c r="BI83" s="312">
        <f t="shared" ref="BI83" ca="1" si="344">AVERAGE(BH67:BI67)*BI84*3</f>
        <v>2609.9465946911664</v>
      </c>
      <c r="BK83" s="152"/>
    </row>
    <row r="84" spans="2:63" s="289" customFormat="1">
      <c r="B84" s="275" t="s">
        <v>301</v>
      </c>
      <c r="C84" s="282"/>
      <c r="D84" s="310">
        <f>D83/AVERAGE(AK67,D67)/12</f>
        <v>1.0578977538687253E-2</v>
      </c>
      <c r="E84" s="310">
        <f>E83/AVERAGE(D67:E67)/12</f>
        <v>1.0361805630424237E-2</v>
      </c>
      <c r="F84" s="310">
        <f>F83/AVERAGE(E67:F67)/12</f>
        <v>1.0930640392477514E-2</v>
      </c>
      <c r="G84" s="310">
        <f>G83/AVERAGE(F67:G67)/12</f>
        <v>1.0683248863695058E-2</v>
      </c>
      <c r="H84" s="310">
        <f>H83/AVERAGE(G67:H67)/12</f>
        <v>1.0754719641778772E-2</v>
      </c>
      <c r="I84" s="310">
        <f ca="1">I83/AVERAGE(H67:I67)/12</f>
        <v>1.0442877332613719E-2</v>
      </c>
      <c r="J84" s="310">
        <f ca="1">+I84+J86/10000</f>
        <v>1.0542877332613719E-2</v>
      </c>
      <c r="K84" s="310">
        <f t="shared" ref="K84:P84" ca="1" si="345">+J84+K86/10000</f>
        <v>1.0642877332613718E-2</v>
      </c>
      <c r="L84" s="310">
        <f t="shared" ca="1" si="345"/>
        <v>1.0742877332613717E-2</v>
      </c>
      <c r="M84" s="310">
        <f t="shared" ca="1" si="345"/>
        <v>1.0842877332613717E-2</v>
      </c>
      <c r="N84" s="310">
        <f t="shared" ca="1" si="345"/>
        <v>1.0942877332613716E-2</v>
      </c>
      <c r="O84" s="310">
        <f t="shared" ca="1" si="345"/>
        <v>1.1042877332613716E-2</v>
      </c>
      <c r="P84" s="310">
        <f t="shared" ca="1" si="345"/>
        <v>1.1142877332613715E-2</v>
      </c>
      <c r="Q84" s="282"/>
      <c r="R84" s="183">
        <v>1.2200000000000001E-2</v>
      </c>
      <c r="S84" s="183">
        <v>1.09E-2</v>
      </c>
      <c r="T84" s="183">
        <v>1.21E-2</v>
      </c>
      <c r="U84" s="183">
        <v>1.18E-2</v>
      </c>
      <c r="V84" s="183">
        <v>1.15E-2</v>
      </c>
      <c r="W84" s="183">
        <v>1.0699999999999999E-2</v>
      </c>
      <c r="X84" s="183">
        <v>1.14E-2</v>
      </c>
      <c r="Y84" s="183">
        <v>1.15E-2</v>
      </c>
      <c r="Z84" s="183">
        <v>1.0699999999999999E-2</v>
      </c>
      <c r="AA84" s="183">
        <v>1.01E-2</v>
      </c>
      <c r="AB84" s="183">
        <v>1.14E-2</v>
      </c>
      <c r="AC84" s="183">
        <v>1.15E-2</v>
      </c>
      <c r="AD84" s="183">
        <v>1.18E-2</v>
      </c>
      <c r="AE84" s="183">
        <v>1.15E-2</v>
      </c>
      <c r="AF84" s="183">
        <v>1.15E-2</v>
      </c>
      <c r="AG84" s="183">
        <v>1.21E-2</v>
      </c>
      <c r="AH84" s="183">
        <v>1.0999999999999999E-2</v>
      </c>
      <c r="AI84" s="183">
        <v>9.7000000000000003E-3</v>
      </c>
      <c r="AJ84" s="183">
        <v>1.0800000000000001E-2</v>
      </c>
      <c r="AK84" s="183">
        <v>1.1900000000000001E-2</v>
      </c>
      <c r="AL84" s="183">
        <v>1.04E-2</v>
      </c>
      <c r="AM84" s="183">
        <v>1.0200000000000001E-2</v>
      </c>
      <c r="AN84" s="183">
        <v>1.0699999999999999E-2</v>
      </c>
      <c r="AO84" s="183">
        <v>1.11E-2</v>
      </c>
      <c r="AP84" s="313">
        <v>1.0699999999999999E-2</v>
      </c>
      <c r="AQ84" s="313">
        <v>8.6E-3</v>
      </c>
      <c r="AR84" s="313">
        <v>9.9000000000000008E-3</v>
      </c>
      <c r="AS84" s="313">
        <v>1.2200000000000001E-2</v>
      </c>
      <c r="AT84" s="313">
        <v>1.0200000000000001E-2</v>
      </c>
      <c r="AU84" s="313">
        <v>1.01E-2</v>
      </c>
      <c r="AV84" s="313">
        <v>1.1599999999999999E-2</v>
      </c>
      <c r="AW84" s="313">
        <v>1.18E-2</v>
      </c>
      <c r="AX84" s="313">
        <v>1.0999999999999999E-2</v>
      </c>
      <c r="AY84" s="313">
        <v>9.7000000000000003E-3</v>
      </c>
      <c r="AZ84" s="313">
        <v>1.0500000000000001E-2</v>
      </c>
      <c r="BA84" s="313">
        <v>1.1599999999999999E-2</v>
      </c>
      <c r="BB84" s="313">
        <v>1.12E-2</v>
      </c>
      <c r="BC84" s="313">
        <v>1.01E-2</v>
      </c>
      <c r="BD84" s="313">
        <v>1.0699999999999999E-2</v>
      </c>
      <c r="BE84" s="313">
        <v>1.12E-2</v>
      </c>
      <c r="BF84" s="289">
        <f t="shared" ref="BF84" si="346">+BB84+BF86/10000</f>
        <v>1.0800000000000001E-2</v>
      </c>
      <c r="BG84" s="289">
        <f t="shared" ref="BG84" si="347">+BC84+BG86/10000</f>
        <v>9.7000000000000003E-3</v>
      </c>
      <c r="BH84" s="289">
        <f t="shared" ref="BH84" si="348">+BD84+BH86/10000</f>
        <v>1.03E-2</v>
      </c>
      <c r="BI84" s="289">
        <f t="shared" ref="BI84" si="349">+BE84+BI86/10000</f>
        <v>1.11E-2</v>
      </c>
    </row>
    <row r="85" spans="2:63" s="288" customFormat="1">
      <c r="B85" s="298" t="s">
        <v>341</v>
      </c>
      <c r="C85" s="298"/>
      <c r="D85" s="298"/>
      <c r="E85" s="309"/>
      <c r="F85" s="309"/>
      <c r="G85" s="309"/>
      <c r="H85" s="309"/>
      <c r="I85" s="309"/>
      <c r="J85" s="298"/>
      <c r="K85" s="298"/>
      <c r="L85" s="298"/>
      <c r="M85" s="298"/>
      <c r="N85" s="298"/>
      <c r="O85" s="298"/>
      <c r="P85" s="298"/>
      <c r="Q85" s="298"/>
      <c r="R85" s="206"/>
      <c r="S85" s="206">
        <f t="shared" ref="S85:AU85" si="350">+(S84-R84)*10000</f>
        <v>-13.000000000000009</v>
      </c>
      <c r="T85" s="206">
        <f t="shared" si="350"/>
        <v>11.999999999999996</v>
      </c>
      <c r="U85" s="206">
        <f t="shared" si="350"/>
        <v>-2.9999999999999991</v>
      </c>
      <c r="V85" s="206">
        <f t="shared" si="350"/>
        <v>-2.9999999999999991</v>
      </c>
      <c r="W85" s="206">
        <f t="shared" si="350"/>
        <v>-8.0000000000000036</v>
      </c>
      <c r="X85" s="206">
        <f t="shared" si="350"/>
        <v>7.0000000000000098</v>
      </c>
      <c r="Y85" s="206">
        <f t="shared" si="350"/>
        <v>0.999999999999994</v>
      </c>
      <c r="Z85" s="206">
        <f t="shared" si="350"/>
        <v>-8.0000000000000036</v>
      </c>
      <c r="AA85" s="206">
        <f t="shared" si="350"/>
        <v>-5.9999999999999982</v>
      </c>
      <c r="AB85" s="206">
        <f t="shared" si="350"/>
        <v>13.000000000000009</v>
      </c>
      <c r="AC85" s="206">
        <f t="shared" si="350"/>
        <v>0.999999999999994</v>
      </c>
      <c r="AD85" s="206">
        <f t="shared" si="350"/>
        <v>2.9999999999999991</v>
      </c>
      <c r="AE85" s="206">
        <f t="shared" si="350"/>
        <v>-2.9999999999999991</v>
      </c>
      <c r="AF85" s="206">
        <f t="shared" si="350"/>
        <v>0</v>
      </c>
      <c r="AG85" s="206">
        <f t="shared" si="350"/>
        <v>5.9999999999999982</v>
      </c>
      <c r="AH85" s="206">
        <f t="shared" si="350"/>
        <v>-11.000000000000004</v>
      </c>
      <c r="AI85" s="206">
        <f t="shared" si="350"/>
        <v>-12.999999999999991</v>
      </c>
      <c r="AJ85" s="206">
        <f t="shared" si="350"/>
        <v>11.000000000000004</v>
      </c>
      <c r="AK85" s="206">
        <f t="shared" si="350"/>
        <v>11.000000000000004</v>
      </c>
      <c r="AL85" s="206">
        <f t="shared" si="350"/>
        <v>-15.000000000000014</v>
      </c>
      <c r="AM85" s="206">
        <f t="shared" si="350"/>
        <v>-1.999999999999988</v>
      </c>
      <c r="AN85" s="206">
        <f t="shared" si="350"/>
        <v>4.9999999999999867</v>
      </c>
      <c r="AO85" s="206">
        <f t="shared" si="350"/>
        <v>4.0000000000000107</v>
      </c>
      <c r="AP85" s="311">
        <f t="shared" si="350"/>
        <v>-4.0000000000000107</v>
      </c>
      <c r="AQ85" s="311">
        <f t="shared" si="350"/>
        <v>-20.999999999999993</v>
      </c>
      <c r="AR85" s="311">
        <f t="shared" si="350"/>
        <v>13.000000000000009</v>
      </c>
      <c r="AS85" s="311">
        <f t="shared" si="350"/>
        <v>23</v>
      </c>
      <c r="AT85" s="311">
        <f t="shared" si="350"/>
        <v>-20</v>
      </c>
      <c r="AU85" s="311">
        <f t="shared" si="350"/>
        <v>-1.0000000000000113</v>
      </c>
      <c r="AV85" s="311">
        <f t="shared" ref="AV85:BE85" si="351">+(AV84-AU84)*10000</f>
        <v>14.999999999999996</v>
      </c>
      <c r="AW85" s="311">
        <f t="shared" si="351"/>
        <v>2.0000000000000053</v>
      </c>
      <c r="AX85" s="311">
        <f t="shared" si="351"/>
        <v>-8.0000000000000036</v>
      </c>
      <c r="AY85" s="311">
        <f t="shared" si="351"/>
        <v>-12.999999999999991</v>
      </c>
      <c r="AZ85" s="311">
        <f t="shared" si="351"/>
        <v>8.0000000000000036</v>
      </c>
      <c r="BA85" s="311">
        <f t="shared" si="351"/>
        <v>10.999999999999986</v>
      </c>
      <c r="BB85" s="311">
        <f t="shared" si="351"/>
        <v>-3.9999999999999933</v>
      </c>
      <c r="BC85" s="311">
        <f t="shared" si="351"/>
        <v>-11.000000000000004</v>
      </c>
      <c r="BD85" s="311">
        <f t="shared" si="351"/>
        <v>5.9999999999999982</v>
      </c>
      <c r="BE85" s="311">
        <f t="shared" si="351"/>
        <v>5.0000000000000044</v>
      </c>
      <c r="BF85" s="311">
        <f t="shared" ref="BF85" si="352">+(BF84-BE84)*10000</f>
        <v>-3.9999999999999933</v>
      </c>
      <c r="BG85" s="311">
        <f t="shared" ref="BG85" si="353">+(BG84-BF84)*10000</f>
        <v>-11.000000000000004</v>
      </c>
      <c r="BH85" s="311">
        <f t="shared" ref="BH85" si="354">+(BH84-BG84)*10000</f>
        <v>5.9999999999999982</v>
      </c>
      <c r="BI85" s="311">
        <f t="shared" ref="BI85" si="355">+(BI84-BH84)*10000</f>
        <v>8.0000000000000036</v>
      </c>
    </row>
    <row r="86" spans="2:63" s="288" customFormat="1">
      <c r="B86" s="298" t="s">
        <v>340</v>
      </c>
      <c r="C86" s="298"/>
      <c r="D86" s="298"/>
      <c r="E86" s="311"/>
      <c r="F86" s="311">
        <f>+(F84-E84)*10000</f>
        <v>5.6883476205327712</v>
      </c>
      <c r="G86" s="311">
        <f>+(G84-F84)*10000</f>
        <v>-2.4739152878245663</v>
      </c>
      <c r="H86" s="311">
        <f>+(H84-G84)*10000</f>
        <v>0.71470778083714337</v>
      </c>
      <c r="I86" s="311">
        <f ca="1">+(I84-H84)*10000</f>
        <v>-3.1184230916505262</v>
      </c>
      <c r="J86" s="216">
        <v>1</v>
      </c>
      <c r="K86" s="216">
        <v>1</v>
      </c>
      <c r="L86" s="216">
        <v>1</v>
      </c>
      <c r="M86" s="216">
        <v>1</v>
      </c>
      <c r="N86" s="216">
        <v>1</v>
      </c>
      <c r="O86" s="216">
        <v>1</v>
      </c>
      <c r="P86" s="216">
        <v>1</v>
      </c>
      <c r="Q86" s="298"/>
      <c r="R86" s="206"/>
      <c r="S86" s="206"/>
      <c r="T86" s="206"/>
      <c r="U86" s="206"/>
      <c r="V86" s="206">
        <f>+(V84-R84)*10000</f>
        <v>-7.0000000000000098</v>
      </c>
      <c r="W86" s="206">
        <f t="shared" ref="W86:BE86" si="356">+(W84-S84)*10000</f>
        <v>-2.0000000000000053</v>
      </c>
      <c r="X86" s="206">
        <f t="shared" si="356"/>
        <v>-6.999999999999992</v>
      </c>
      <c r="Y86" s="206">
        <f t="shared" si="356"/>
        <v>-2.9999999999999991</v>
      </c>
      <c r="Z86" s="206">
        <f t="shared" si="356"/>
        <v>-8.0000000000000036</v>
      </c>
      <c r="AA86" s="206">
        <f t="shared" si="356"/>
        <v>-5.9999999999999982</v>
      </c>
      <c r="AB86" s="206">
        <f t="shared" si="356"/>
        <v>0</v>
      </c>
      <c r="AC86" s="206">
        <f t="shared" si="356"/>
        <v>0</v>
      </c>
      <c r="AD86" s="206">
        <f t="shared" si="356"/>
        <v>11.000000000000004</v>
      </c>
      <c r="AE86" s="206">
        <f t="shared" si="356"/>
        <v>14.000000000000002</v>
      </c>
      <c r="AF86" s="206">
        <f t="shared" si="356"/>
        <v>0.999999999999994</v>
      </c>
      <c r="AG86" s="206">
        <f t="shared" si="356"/>
        <v>5.9999999999999982</v>
      </c>
      <c r="AH86" s="206">
        <f t="shared" si="356"/>
        <v>-8.0000000000000036</v>
      </c>
      <c r="AI86" s="206">
        <f t="shared" si="356"/>
        <v>-17.999999999999996</v>
      </c>
      <c r="AJ86" s="206">
        <f t="shared" si="356"/>
        <v>-6.999999999999992</v>
      </c>
      <c r="AK86" s="206">
        <f t="shared" si="356"/>
        <v>-1.999999999999988</v>
      </c>
      <c r="AL86" s="206">
        <f t="shared" si="356"/>
        <v>-5.9999999999999982</v>
      </c>
      <c r="AM86" s="206">
        <f t="shared" si="356"/>
        <v>5.0000000000000044</v>
      </c>
      <c r="AN86" s="206">
        <f t="shared" si="356"/>
        <v>-1.0000000000000113</v>
      </c>
      <c r="AO86" s="206">
        <f t="shared" si="356"/>
        <v>-8.0000000000000036</v>
      </c>
      <c r="AP86" s="311">
        <f t="shared" si="356"/>
        <v>2.9999999999999991</v>
      </c>
      <c r="AQ86" s="311">
        <f t="shared" si="356"/>
        <v>-16.000000000000007</v>
      </c>
      <c r="AR86" s="311">
        <f t="shared" si="356"/>
        <v>-7.9999999999999867</v>
      </c>
      <c r="AS86" s="311">
        <f t="shared" si="356"/>
        <v>11.000000000000004</v>
      </c>
      <c r="AT86" s="311">
        <f t="shared" si="356"/>
        <v>-4.9999999999999867</v>
      </c>
      <c r="AU86" s="311">
        <f t="shared" si="356"/>
        <v>14.999999999999996</v>
      </c>
      <c r="AV86" s="311">
        <f t="shared" si="356"/>
        <v>16.999999999999982</v>
      </c>
      <c r="AW86" s="311">
        <f t="shared" si="356"/>
        <v>-4.0000000000000107</v>
      </c>
      <c r="AX86" s="311">
        <f t="shared" si="356"/>
        <v>7.9999999999999867</v>
      </c>
      <c r="AY86" s="311">
        <f t="shared" si="356"/>
        <v>-3.9999999999999933</v>
      </c>
      <c r="AZ86" s="311">
        <f t="shared" si="356"/>
        <v>-10.999999999999986</v>
      </c>
      <c r="BA86" s="311">
        <f t="shared" si="356"/>
        <v>-2.0000000000000053</v>
      </c>
      <c r="BB86" s="311">
        <f t="shared" si="356"/>
        <v>2.0000000000000053</v>
      </c>
      <c r="BC86" s="311">
        <f t="shared" si="356"/>
        <v>3.9999999999999933</v>
      </c>
      <c r="BD86" s="311">
        <f t="shared" si="356"/>
        <v>1.999999999999988</v>
      </c>
      <c r="BE86" s="311">
        <f t="shared" si="356"/>
        <v>-3.9999999999999933</v>
      </c>
      <c r="BF86" s="209">
        <v>-4</v>
      </c>
      <c r="BG86" s="209">
        <v>-4</v>
      </c>
      <c r="BH86" s="209">
        <v>-4</v>
      </c>
      <c r="BI86" s="209">
        <v>-1</v>
      </c>
    </row>
    <row r="87" spans="2:63" s="289" customFormat="1" ht="15.75" thickBot="1">
      <c r="B87" s="275"/>
      <c r="C87" s="282"/>
      <c r="D87" s="275"/>
      <c r="E87" s="310"/>
      <c r="F87" s="310"/>
      <c r="G87" s="310"/>
      <c r="H87" s="310"/>
      <c r="I87" s="310"/>
      <c r="J87" s="275"/>
      <c r="K87" s="275"/>
      <c r="L87" s="275"/>
      <c r="M87" s="275"/>
      <c r="N87" s="275"/>
      <c r="O87" s="275"/>
      <c r="P87" s="275"/>
      <c r="Q87" s="282"/>
      <c r="R87" s="313"/>
      <c r="S87" s="313"/>
      <c r="T87" s="313"/>
      <c r="U87" s="313"/>
      <c r="V87" s="313"/>
      <c r="W87" s="313"/>
      <c r="X87" s="313"/>
      <c r="Y87" s="313"/>
      <c r="Z87" s="313"/>
      <c r="AA87" s="313"/>
      <c r="AB87" s="313"/>
      <c r="AC87" s="313"/>
      <c r="AD87" s="313"/>
      <c r="AE87" s="313"/>
      <c r="AF87" s="313"/>
      <c r="AG87" s="313"/>
      <c r="AH87" s="313"/>
      <c r="AI87" s="313"/>
      <c r="AJ87" s="313"/>
      <c r="AK87" s="313"/>
      <c r="AL87" s="313"/>
      <c r="AM87" s="313"/>
      <c r="AN87" s="313"/>
      <c r="AO87" s="313"/>
      <c r="AP87" s="313"/>
      <c r="AQ87" s="313"/>
      <c r="AR87" s="313"/>
      <c r="AS87" s="313"/>
      <c r="AT87" s="313"/>
      <c r="AU87" s="313"/>
      <c r="AV87" s="313"/>
      <c r="AW87" s="313"/>
      <c r="AX87" s="313"/>
      <c r="AY87" s="313"/>
      <c r="AZ87" s="313"/>
      <c r="BA87" s="313"/>
      <c r="BB87" s="313"/>
      <c r="BC87" s="313"/>
      <c r="BD87" s="313"/>
      <c r="BE87" s="313"/>
    </row>
    <row r="88" spans="2:63" s="251" customFormat="1" ht="15.75" collapsed="1" thickBot="1">
      <c r="B88" s="194" t="s">
        <v>344</v>
      </c>
      <c r="C88" s="163"/>
      <c r="D88" s="195">
        <f>+D6</f>
        <v>2013</v>
      </c>
      <c r="E88" s="196">
        <f t="shared" ref="E88:J88" si="357">+E6</f>
        <v>2014</v>
      </c>
      <c r="F88" s="196">
        <f t="shared" si="357"/>
        <v>2015</v>
      </c>
      <c r="G88" s="196">
        <f t="shared" si="357"/>
        <v>2016</v>
      </c>
      <c r="H88" s="196">
        <f t="shared" ref="H88:I88" si="358">+H6</f>
        <v>2017</v>
      </c>
      <c r="I88" s="196" t="str">
        <f t="shared" si="358"/>
        <v>2018E</v>
      </c>
      <c r="J88" s="196" t="str">
        <f t="shared" si="357"/>
        <v>2019E</v>
      </c>
      <c r="K88" s="196" t="str">
        <f t="shared" ref="K88:P88" si="359">+K6</f>
        <v>2020E</v>
      </c>
      <c r="L88" s="196" t="str">
        <f t="shared" si="359"/>
        <v>2021E</v>
      </c>
      <c r="M88" s="196" t="str">
        <f t="shared" si="359"/>
        <v>2022E</v>
      </c>
      <c r="N88" s="196" t="str">
        <f t="shared" si="359"/>
        <v>2023E</v>
      </c>
      <c r="O88" s="196" t="str">
        <f t="shared" si="359"/>
        <v>2024E</v>
      </c>
      <c r="P88" s="197" t="str">
        <f t="shared" si="359"/>
        <v>2025E</v>
      </c>
      <c r="Q88" s="318"/>
      <c r="R88" s="196" t="s">
        <v>228</v>
      </c>
      <c r="S88" s="196" t="s">
        <v>229</v>
      </c>
      <c r="T88" s="196" t="s">
        <v>230</v>
      </c>
      <c r="U88" s="196" t="s">
        <v>231</v>
      </c>
      <c r="V88" s="196" t="s">
        <v>232</v>
      </c>
      <c r="W88" s="196" t="s">
        <v>233</v>
      </c>
      <c r="X88" s="196" t="s">
        <v>234</v>
      </c>
      <c r="Y88" s="196" t="s">
        <v>235</v>
      </c>
      <c r="Z88" s="196" t="s">
        <v>236</v>
      </c>
      <c r="AA88" s="196" t="s">
        <v>237</v>
      </c>
      <c r="AB88" s="196" t="s">
        <v>238</v>
      </c>
      <c r="AC88" s="196" t="s">
        <v>239</v>
      </c>
      <c r="AD88" s="196" t="s">
        <v>240</v>
      </c>
      <c r="AE88" s="196" t="s">
        <v>241</v>
      </c>
      <c r="AF88" s="196" t="s">
        <v>242</v>
      </c>
      <c r="AG88" s="196" t="s">
        <v>243</v>
      </c>
      <c r="AH88" s="196" t="s">
        <v>244</v>
      </c>
      <c r="AI88" s="196" t="s">
        <v>245</v>
      </c>
      <c r="AJ88" s="196" t="s">
        <v>246</v>
      </c>
      <c r="AK88" s="196" t="s">
        <v>247</v>
      </c>
      <c r="AL88" s="196" t="s">
        <v>248</v>
      </c>
      <c r="AM88" s="196" t="s">
        <v>249</v>
      </c>
      <c r="AN88" s="196" t="s">
        <v>250</v>
      </c>
      <c r="AO88" s="196" t="s">
        <v>251</v>
      </c>
      <c r="AP88" s="196" t="s">
        <v>156</v>
      </c>
      <c r="AQ88" s="196" t="s">
        <v>157</v>
      </c>
      <c r="AR88" s="196" t="s">
        <v>158</v>
      </c>
      <c r="AS88" s="196" t="s">
        <v>159</v>
      </c>
      <c r="AT88" s="196" t="str">
        <f>+AT6</f>
        <v>1Q15</v>
      </c>
      <c r="AU88" s="196" t="str">
        <f t="shared" ref="AU88:AV88" si="360">+AU6</f>
        <v>2Q15</v>
      </c>
      <c r="AV88" s="196" t="str">
        <f t="shared" si="360"/>
        <v>3Q15</v>
      </c>
      <c r="AW88" s="196" t="str">
        <f t="shared" ref="AW88:BA88" si="361">+AW6</f>
        <v>4Q15</v>
      </c>
      <c r="AX88" s="196" t="str">
        <f t="shared" si="361"/>
        <v>1Q16</v>
      </c>
      <c r="AY88" s="196" t="str">
        <f t="shared" si="361"/>
        <v>2Q16</v>
      </c>
      <c r="AZ88" s="196" t="str">
        <f t="shared" si="361"/>
        <v>3Q16</v>
      </c>
      <c r="BA88" s="196" t="str">
        <f t="shared" si="361"/>
        <v>4Q16</v>
      </c>
      <c r="BB88" s="196" t="str">
        <f t="shared" ref="BB88:BC88" si="362">+BB6</f>
        <v>1Q17</v>
      </c>
      <c r="BC88" s="196" t="str">
        <f t="shared" si="362"/>
        <v>2Q17</v>
      </c>
      <c r="BD88" s="196" t="str">
        <f t="shared" ref="BD88:BE88" si="363">+BD6</f>
        <v>3Q17</v>
      </c>
      <c r="BE88" s="196" t="str">
        <f t="shared" si="363"/>
        <v>4Q17</v>
      </c>
      <c r="BF88" s="196" t="str">
        <f t="shared" ref="BF88:BI88" si="364">+BF6</f>
        <v>1Q18E</v>
      </c>
      <c r="BG88" s="196" t="str">
        <f t="shared" si="364"/>
        <v>2Q18E</v>
      </c>
      <c r="BH88" s="196" t="str">
        <f t="shared" si="364"/>
        <v>3Q18E</v>
      </c>
      <c r="BI88" s="197" t="str">
        <f t="shared" si="364"/>
        <v>4Q18E</v>
      </c>
    </row>
    <row r="89" spans="2:63" s="289" customFormat="1">
      <c r="B89" s="275"/>
      <c r="C89" s="282"/>
      <c r="D89" s="275"/>
      <c r="E89" s="310"/>
      <c r="F89" s="310"/>
      <c r="G89" s="310"/>
      <c r="H89" s="310"/>
      <c r="I89" s="310"/>
      <c r="J89" s="275"/>
      <c r="K89" s="275"/>
      <c r="L89" s="275"/>
      <c r="M89" s="275"/>
      <c r="N89" s="275"/>
      <c r="O89" s="275"/>
      <c r="P89" s="275"/>
      <c r="Q89" s="282"/>
      <c r="R89" s="313"/>
      <c r="S89" s="313"/>
      <c r="T89" s="313"/>
      <c r="U89" s="313"/>
      <c r="V89" s="313"/>
      <c r="W89" s="313"/>
      <c r="X89" s="313"/>
      <c r="Y89" s="313"/>
      <c r="Z89" s="313"/>
      <c r="AA89" s="313"/>
      <c r="AB89" s="313"/>
      <c r="AC89" s="313"/>
      <c r="AD89" s="313"/>
      <c r="AE89" s="313"/>
      <c r="AF89" s="313"/>
      <c r="AG89" s="313"/>
      <c r="AH89" s="313"/>
      <c r="AI89" s="313"/>
      <c r="AJ89" s="313"/>
      <c r="AK89" s="313"/>
      <c r="AL89" s="313"/>
      <c r="AM89" s="313"/>
      <c r="AN89" s="313"/>
      <c r="AO89" s="313"/>
      <c r="AP89" s="313"/>
      <c r="AQ89" s="313"/>
      <c r="AR89" s="313"/>
      <c r="AS89" s="313"/>
      <c r="AT89" s="313"/>
      <c r="AU89" s="313"/>
      <c r="AV89" s="313"/>
      <c r="AW89" s="313"/>
      <c r="AX89" s="313"/>
      <c r="AY89" s="313"/>
      <c r="AZ89" s="313"/>
      <c r="BA89" s="313"/>
      <c r="BB89" s="313"/>
      <c r="BC89" s="313"/>
      <c r="BD89" s="313"/>
      <c r="BE89" s="313"/>
    </row>
    <row r="90" spans="2:63" s="240" customFormat="1" ht="15.75">
      <c r="B90" s="240" t="s">
        <v>345</v>
      </c>
      <c r="C90" s="247"/>
      <c r="D90" s="252"/>
      <c r="E90" s="247">
        <f>+SUM(AP90:AS90)</f>
        <v>4205</v>
      </c>
      <c r="F90" s="306">
        <f>SUM(AT90:AW90)</f>
        <v>4662</v>
      </c>
      <c r="G90" s="306">
        <f>SUM(AX90:BA90)</f>
        <v>5004</v>
      </c>
      <c r="H90" s="306">
        <f>SUM(BB90:BE90)</f>
        <v>5004</v>
      </c>
      <c r="I90" s="306">
        <f>SUM(BF90:BI90)</f>
        <v>5105.1793894161665</v>
      </c>
      <c r="J90" s="339">
        <f>J93*AVERAGE(I98:J98)*12/1000</f>
        <v>5262.4904912390311</v>
      </c>
      <c r="K90" s="339">
        <f t="shared" ref="K90:P90" si="365">K93*AVERAGE(J98:K98)*12/1000</f>
        <v>5385.7877417638874</v>
      </c>
      <c r="L90" s="339">
        <f t="shared" si="365"/>
        <v>5475.5689122801459</v>
      </c>
      <c r="M90" s="339">
        <f t="shared" si="365"/>
        <v>5532.3268388828355</v>
      </c>
      <c r="N90" s="339">
        <f t="shared" si="365"/>
        <v>5556.5494634194019</v>
      </c>
      <c r="O90" s="339">
        <f t="shared" si="365"/>
        <v>5548.7198741302282</v>
      </c>
      <c r="P90" s="339">
        <f t="shared" si="365"/>
        <v>5509.3163459850048</v>
      </c>
      <c r="Q90" s="247"/>
      <c r="R90" s="247"/>
      <c r="S90" s="247"/>
      <c r="T90" s="247"/>
      <c r="U90" s="247"/>
      <c r="V90" s="247"/>
      <c r="W90" s="247"/>
      <c r="X90" s="247"/>
      <c r="Y90" s="247"/>
      <c r="Z90" s="247"/>
      <c r="AA90" s="247"/>
      <c r="AB90" s="247"/>
      <c r="AC90" s="247"/>
      <c r="AD90" s="339"/>
      <c r="AE90" s="339"/>
      <c r="AF90" s="339"/>
      <c r="AG90" s="339"/>
      <c r="AH90" s="339"/>
      <c r="AI90" s="339"/>
      <c r="AJ90" s="339"/>
      <c r="AK90" s="339"/>
      <c r="AL90" s="339"/>
      <c r="AM90" s="339"/>
      <c r="AN90" s="339"/>
      <c r="AO90" s="339">
        <f>+'Consumer Mobility'!AO9</f>
        <v>611</v>
      </c>
      <c r="AP90" s="339">
        <f>+'Consumer Mobility'!AP9</f>
        <v>732</v>
      </c>
      <c r="AQ90" s="339">
        <f>+'Consumer Mobility'!AQ9</f>
        <v>1211</v>
      </c>
      <c r="AR90" s="339">
        <f>+'Consumer Mobility'!AR9</f>
        <v>1163</v>
      </c>
      <c r="AS90" s="339">
        <f>+'Consumer Mobility'!AS9</f>
        <v>1099</v>
      </c>
      <c r="AT90" s="421">
        <f>+'Consumer Mobility'!AT9</f>
        <v>1095</v>
      </c>
      <c r="AU90" s="421">
        <f>+'Consumer Mobility'!AU9</f>
        <v>1118</v>
      </c>
      <c r="AV90" s="421">
        <f>+'Consumer Mobility'!AV9</f>
        <v>1198</v>
      </c>
      <c r="AW90" s="421">
        <f>+'Consumer Mobility'!AW9</f>
        <v>1251</v>
      </c>
      <c r="AX90" s="421">
        <f>+'Consumer Mobility'!AX9</f>
        <v>1251</v>
      </c>
      <c r="AY90" s="421">
        <f>+'Consumer Mobility'!AY9</f>
        <v>1251</v>
      </c>
      <c r="AZ90" s="421">
        <f>+'Consumer Mobility'!AZ9</f>
        <v>1251</v>
      </c>
      <c r="BA90" s="421">
        <f>+'Consumer Mobility'!BA9</f>
        <v>1251</v>
      </c>
      <c r="BB90" s="421">
        <f>+'Consumer Mobility'!BB9</f>
        <v>1251</v>
      </c>
      <c r="BC90" s="421">
        <f>+'Consumer Mobility'!BC9</f>
        <v>1251</v>
      </c>
      <c r="BD90" s="421">
        <f>+'Consumer Mobility'!BD9</f>
        <v>1251</v>
      </c>
      <c r="BE90" s="421">
        <f>+'Consumer Mobility'!BE9</f>
        <v>1251</v>
      </c>
      <c r="BF90" s="339">
        <f t="shared" ref="BF90" si="366">BF93*AVERAGE(BE98:BF98)*3/1000</f>
        <v>1262.0143187358472</v>
      </c>
      <c r="BG90" s="339">
        <f t="shared" ref="BG90" si="367">BG93*AVERAGE(BF98:BG98)*3/1000</f>
        <v>1271.6101637196025</v>
      </c>
      <c r="BH90" s="339">
        <f t="shared" ref="BH90" si="368">BH93*AVERAGE(BG98:BH98)*3/1000</f>
        <v>1282.8067367529782</v>
      </c>
      <c r="BI90" s="339">
        <f t="shared" ref="BI90" si="369">BI93*AVERAGE(BH98:BI98)*3/1000</f>
        <v>1288.7481702077384</v>
      </c>
      <c r="BK90" s="385"/>
    </row>
    <row r="91" spans="2:63" s="271" customFormat="1">
      <c r="B91" s="282" t="s">
        <v>252</v>
      </c>
      <c r="C91" s="275"/>
      <c r="D91" s="282"/>
      <c r="E91" s="302"/>
      <c r="F91" s="302">
        <f>+F90/E90-1</f>
        <v>0.10868014268727699</v>
      </c>
      <c r="G91" s="302">
        <f>+G90/F90-1</f>
        <v>7.3359073359073435E-2</v>
      </c>
      <c r="H91" s="302">
        <f>+H90/G90-1</f>
        <v>0</v>
      </c>
      <c r="I91" s="302">
        <f>+I90/H90-1</f>
        <v>2.021970212153601E-2</v>
      </c>
      <c r="J91" s="302">
        <f>+J90/I90-1</f>
        <v>3.081402039446357E-2</v>
      </c>
      <c r="K91" s="302">
        <f t="shared" ref="K91:P91" si="370">+K90/J90-1</f>
        <v>2.3429448609953996E-2</v>
      </c>
      <c r="L91" s="302">
        <f t="shared" si="370"/>
        <v>1.66700164991751E-2</v>
      </c>
      <c r="M91" s="302">
        <f t="shared" si="370"/>
        <v>1.036566747893497E-2</v>
      </c>
      <c r="N91" s="302">
        <f t="shared" si="370"/>
        <v>4.3783791597999944E-3</v>
      </c>
      <c r="O91" s="302">
        <f t="shared" si="370"/>
        <v>-1.4090739839028865E-3</v>
      </c>
      <c r="P91" s="302">
        <f t="shared" si="370"/>
        <v>-7.101372756071922E-3</v>
      </c>
      <c r="Q91" s="275"/>
      <c r="R91" s="275"/>
      <c r="S91" s="275"/>
      <c r="T91" s="275"/>
      <c r="U91" s="275"/>
      <c r="V91" s="275"/>
      <c r="W91" s="275"/>
      <c r="X91" s="275"/>
      <c r="Y91" s="275"/>
      <c r="Z91" s="275"/>
      <c r="AA91" s="275"/>
      <c r="AB91" s="275"/>
      <c r="AC91" s="275"/>
      <c r="AD91" s="275"/>
      <c r="AE91" s="275"/>
      <c r="AF91" s="275"/>
      <c r="AG91" s="275"/>
      <c r="AH91" s="283"/>
      <c r="AI91" s="283"/>
      <c r="AJ91" s="283"/>
      <c r="AK91" s="283"/>
      <c r="AL91" s="283"/>
      <c r="AM91" s="283"/>
      <c r="AN91" s="283"/>
      <c r="AO91" s="283"/>
      <c r="AP91" s="283"/>
      <c r="AQ91" s="283"/>
      <c r="AR91" s="283"/>
      <c r="AS91" s="283">
        <f t="shared" ref="AS91:BE91" si="371">+AS90/AO90-1</f>
        <v>0.79869067103109659</v>
      </c>
      <c r="AT91" s="283">
        <f t="shared" si="371"/>
        <v>0.49590163934426235</v>
      </c>
      <c r="AU91" s="283">
        <f t="shared" si="371"/>
        <v>-7.6796036333608542E-2</v>
      </c>
      <c r="AV91" s="283">
        <f t="shared" si="371"/>
        <v>3.009458297506451E-2</v>
      </c>
      <c r="AW91" s="283">
        <f t="shared" si="371"/>
        <v>0.13830755232029124</v>
      </c>
      <c r="AX91" s="283">
        <f t="shared" si="371"/>
        <v>0.14246575342465762</v>
      </c>
      <c r="AY91" s="283">
        <f t="shared" si="371"/>
        <v>0.11896243291592135</v>
      </c>
      <c r="AZ91" s="283">
        <f t="shared" si="371"/>
        <v>4.4240400667779678E-2</v>
      </c>
      <c r="BA91" s="283">
        <f t="shared" si="371"/>
        <v>0</v>
      </c>
      <c r="BB91" s="283">
        <f t="shared" si="371"/>
        <v>0</v>
      </c>
      <c r="BC91" s="283">
        <f t="shared" si="371"/>
        <v>0</v>
      </c>
      <c r="BD91" s="283">
        <f t="shared" si="371"/>
        <v>0</v>
      </c>
      <c r="BE91" s="283">
        <f t="shared" si="371"/>
        <v>0</v>
      </c>
      <c r="BF91" s="283">
        <f t="shared" ref="BF91" si="372">+BF90/BB90-1</f>
        <v>8.8044114595100531E-3</v>
      </c>
      <c r="BG91" s="283">
        <f t="shared" ref="BG91" si="373">+BG90/BC90-1</f>
        <v>1.6474951014870065E-2</v>
      </c>
      <c r="BH91" s="283">
        <f t="shared" ref="BH91" si="374">+BH90/BD90-1</f>
        <v>2.5425049362892249E-2</v>
      </c>
      <c r="BI91" s="283">
        <f t="shared" ref="BI91" si="375">+BI90/BE90-1</f>
        <v>3.0174396648871671E-2</v>
      </c>
    </row>
    <row r="92" spans="2:63" s="289" customFormat="1">
      <c r="B92" s="235"/>
      <c r="C92" s="282"/>
      <c r="D92" s="275"/>
      <c r="E92" s="310"/>
      <c r="F92" s="310"/>
      <c r="G92" s="310"/>
      <c r="H92" s="310"/>
      <c r="I92" s="310"/>
      <c r="J92" s="275"/>
      <c r="K92" s="275"/>
      <c r="L92" s="275"/>
      <c r="M92" s="275"/>
      <c r="N92" s="275"/>
      <c r="O92" s="275"/>
      <c r="P92" s="275"/>
      <c r="Q92" s="282"/>
      <c r="R92" s="313"/>
      <c r="S92" s="313"/>
      <c r="T92" s="313"/>
      <c r="U92" s="313"/>
      <c r="V92" s="313"/>
      <c r="W92" s="313"/>
      <c r="X92" s="313"/>
      <c r="Y92" s="313"/>
      <c r="Z92" s="313"/>
      <c r="AA92" s="313"/>
      <c r="AB92" s="313"/>
      <c r="AC92" s="313"/>
      <c r="AD92" s="313"/>
      <c r="AE92" s="313"/>
      <c r="AF92" s="313"/>
      <c r="AG92" s="313"/>
      <c r="AH92" s="313"/>
      <c r="AI92" s="313"/>
      <c r="AJ92" s="313"/>
      <c r="AK92" s="313"/>
      <c r="AL92" s="313"/>
      <c r="AM92" s="313"/>
      <c r="AN92" s="313"/>
      <c r="AO92" s="313"/>
      <c r="AP92" s="313"/>
      <c r="AQ92" s="313"/>
      <c r="AR92" s="313"/>
      <c r="AS92" s="313"/>
      <c r="AT92" s="313"/>
      <c r="AU92" s="313"/>
      <c r="AV92" s="313"/>
      <c r="AW92" s="313"/>
      <c r="AX92" s="313"/>
      <c r="AY92" s="313"/>
      <c r="AZ92" s="313"/>
      <c r="BA92" s="313"/>
      <c r="BB92" s="313"/>
      <c r="BC92" s="313"/>
      <c r="BD92" s="313"/>
      <c r="BE92" s="313"/>
    </row>
    <row r="93" spans="2:63" s="289" customFormat="1" ht="15.75">
      <c r="B93" s="301" t="s">
        <v>299</v>
      </c>
      <c r="C93" s="282"/>
      <c r="D93" s="253"/>
      <c r="E93" s="253">
        <f>E90/AVERAGE(E98)/12*1000</f>
        <v>35.164743268105035</v>
      </c>
      <c r="F93" s="253">
        <f>F90/AVERAGE(E98:F98)/12*1000</f>
        <v>36.117696276669918</v>
      </c>
      <c r="G93" s="253">
        <f>G90/AVERAGE(F98:G98)/12*1000</f>
        <v>33.248285759846915</v>
      </c>
      <c r="H93" s="253">
        <f>H90/AVERAGE(G98:H98)/12*1000</f>
        <v>28.887118561878701</v>
      </c>
      <c r="I93" s="253">
        <f>I90/AVERAGE(H98:I98)/12*1000</f>
        <v>27.198901370372443</v>
      </c>
      <c r="J93" s="253">
        <f>+I93*(1+J94)</f>
        <v>27.062906863520581</v>
      </c>
      <c r="K93" s="253">
        <f t="shared" ref="K93:P93" si="376">+J93*(1+K94)</f>
        <v>26.927592329202977</v>
      </c>
      <c r="L93" s="253">
        <f t="shared" si="376"/>
        <v>26.792954367556963</v>
      </c>
      <c r="M93" s="253">
        <f t="shared" si="376"/>
        <v>26.658989595719177</v>
      </c>
      <c r="N93" s="253">
        <f t="shared" si="376"/>
        <v>26.525694647740583</v>
      </c>
      <c r="O93" s="253">
        <f t="shared" si="376"/>
        <v>26.393066174501879</v>
      </c>
      <c r="P93" s="253">
        <f t="shared" si="376"/>
        <v>26.261100843629368</v>
      </c>
      <c r="Q93" s="282"/>
      <c r="R93" s="313"/>
      <c r="S93" s="313"/>
      <c r="T93" s="313"/>
      <c r="U93" s="313"/>
      <c r="V93" s="313"/>
      <c r="W93" s="313"/>
      <c r="X93" s="313"/>
      <c r="Y93" s="313"/>
      <c r="Z93" s="313"/>
      <c r="AA93" s="313"/>
      <c r="AB93" s="313"/>
      <c r="AC93" s="313"/>
      <c r="AD93" s="313"/>
      <c r="AE93" s="313"/>
      <c r="AF93" s="313"/>
      <c r="AG93" s="313"/>
      <c r="AH93" s="313"/>
      <c r="AI93" s="313"/>
      <c r="AJ93" s="313"/>
      <c r="AK93" s="313"/>
      <c r="AL93" s="313"/>
      <c r="AM93" s="313"/>
      <c r="AN93" s="313"/>
      <c r="AO93" s="253">
        <f t="shared" ref="AO93:BE93" si="377">+AO90/AVERAGE(AN98:AO98)/3*1000</f>
        <v>35.288342140980106</v>
      </c>
      <c r="AP93" s="253">
        <f t="shared" si="377"/>
        <v>30.071481390189795</v>
      </c>
      <c r="AQ93" s="253">
        <f t="shared" si="377"/>
        <v>39.395565965614274</v>
      </c>
      <c r="AR93" s="253">
        <f t="shared" si="377"/>
        <v>38.558451031098734</v>
      </c>
      <c r="AS93" s="253">
        <f t="shared" si="377"/>
        <v>36.649825754923043</v>
      </c>
      <c r="AT93" s="253">
        <f t="shared" si="377"/>
        <v>36.496350364963504</v>
      </c>
      <c r="AU93" s="253">
        <f t="shared" si="377"/>
        <v>36.402116402116398</v>
      </c>
      <c r="AV93" s="253">
        <f t="shared" si="377"/>
        <v>37.275584181212857</v>
      </c>
      <c r="AW93" s="253">
        <f t="shared" si="377"/>
        <v>37.007454739084132</v>
      </c>
      <c r="AX93" s="253">
        <f t="shared" si="377"/>
        <v>35.161684725325685</v>
      </c>
      <c r="AY93" s="253">
        <f t="shared" si="377"/>
        <v>33.623609095307209</v>
      </c>
      <c r="AZ93" s="253">
        <f t="shared" si="377"/>
        <v>32.491818606825618</v>
      </c>
      <c r="BA93" s="253">
        <f t="shared" si="377"/>
        <v>31.387603025855256</v>
      </c>
      <c r="BB93" s="253">
        <f t="shared" si="377"/>
        <v>30.46018991964938</v>
      </c>
      <c r="BC93" s="253">
        <f t="shared" si="377"/>
        <v>29.752773714815742</v>
      </c>
      <c r="BD93" s="253">
        <f t="shared" si="377"/>
        <v>28.441837465470787</v>
      </c>
      <c r="BE93" s="253">
        <f t="shared" si="377"/>
        <v>27.37028650191986</v>
      </c>
      <c r="BF93" s="253">
        <f t="shared" ref="BF93" si="378">+BE93+BF95</f>
        <v>27.270286501919859</v>
      </c>
      <c r="BG93" s="253">
        <f t="shared" ref="BG93" si="379">+BF93+BG95</f>
        <v>27.170286501919858</v>
      </c>
      <c r="BH93" s="253">
        <f t="shared" ref="BH93" si="380">+BG93+BH95</f>
        <v>27.070286501919856</v>
      </c>
      <c r="BI93" s="253">
        <f t="shared" ref="BI93" si="381">+BH93+BI95</f>
        <v>26.970286501919855</v>
      </c>
      <c r="BK93"/>
    </row>
    <row r="94" spans="2:63" s="289" customFormat="1">
      <c r="B94" s="282" t="s">
        <v>252</v>
      </c>
      <c r="C94" s="282"/>
      <c r="D94" s="275"/>
      <c r="E94" s="310"/>
      <c r="F94" s="315">
        <f>+F93/E93-1</f>
        <v>2.7099672000996167E-2</v>
      </c>
      <c r="G94" s="315">
        <f>+G93/F93-1</f>
        <v>-7.9446111259219077E-2</v>
      </c>
      <c r="H94" s="315">
        <f>+H93/G93-1</f>
        <v>-0.13116968584392652</v>
      </c>
      <c r="I94" s="315">
        <f>+I93/H93-1</f>
        <v>-5.8441868748174031E-2</v>
      </c>
      <c r="J94" s="210">
        <v>-5.0000000000000001E-3</v>
      </c>
      <c r="K94" s="210">
        <v>-5.0000000000000001E-3</v>
      </c>
      <c r="L94" s="210">
        <v>-5.0000000000000001E-3</v>
      </c>
      <c r="M94" s="210">
        <v>-5.0000000000000001E-3</v>
      </c>
      <c r="N94" s="210">
        <v>-5.0000000000000001E-3</v>
      </c>
      <c r="O94" s="210">
        <v>-5.0000000000000001E-3</v>
      </c>
      <c r="P94" s="210">
        <v>-5.0000000000000001E-3</v>
      </c>
      <c r="Q94" s="282"/>
      <c r="R94" s="183"/>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313"/>
      <c r="AQ94" s="313"/>
      <c r="AR94" s="313"/>
      <c r="AS94" s="314">
        <f t="shared" ref="AS94:BE94" si="382">+AS93/AO93-1</f>
        <v>3.8581682542741413E-2</v>
      </c>
      <c r="AT94" s="314">
        <f t="shared" si="382"/>
        <v>0.21365322484145022</v>
      </c>
      <c r="AU94" s="314">
        <f t="shared" si="382"/>
        <v>-7.5984428453462427E-2</v>
      </c>
      <c r="AV94" s="314">
        <f t="shared" si="382"/>
        <v>-3.3270705009679991E-2</v>
      </c>
      <c r="AW94" s="314">
        <f t="shared" si="382"/>
        <v>9.7579995755654458E-3</v>
      </c>
      <c r="AX94" s="314">
        <f t="shared" si="382"/>
        <v>-3.6569838526076204E-2</v>
      </c>
      <c r="AY94" s="314">
        <f t="shared" si="382"/>
        <v>-7.6328180376008303E-2</v>
      </c>
      <c r="AZ94" s="314">
        <f t="shared" si="382"/>
        <v>-0.12833509331822324</v>
      </c>
      <c r="BA94" s="314">
        <f t="shared" si="382"/>
        <v>-0.15185728802077447</v>
      </c>
      <c r="BB94" s="314">
        <f t="shared" si="382"/>
        <v>-0.1337107377647917</v>
      </c>
      <c r="BC94" s="314">
        <f t="shared" si="382"/>
        <v>-0.11512254289893331</v>
      </c>
      <c r="BD94" s="314">
        <f t="shared" si="382"/>
        <v>-0.12464618217781276</v>
      </c>
      <c r="BE94" s="314">
        <f t="shared" si="382"/>
        <v>-0.12799054839027268</v>
      </c>
      <c r="BF94" s="314">
        <f t="shared" ref="BF94" si="383">+BF93/BB93-1</f>
        <v>-0.104723687742727</v>
      </c>
      <c r="BG94" s="314">
        <f t="shared" ref="BG94" si="384">+BG93/BC93-1</f>
        <v>-8.6798200317367513E-2</v>
      </c>
      <c r="BH94" s="314">
        <f t="shared" ref="BH94" si="385">+BH93/BD93-1</f>
        <v>-4.8223008278421964E-2</v>
      </c>
      <c r="BI94" s="314">
        <f t="shared" ref="BI94" si="386">+BI93/BE93-1</f>
        <v>-1.4614388489208818E-2</v>
      </c>
    </row>
    <row r="95" spans="2:63" s="289" customFormat="1">
      <c r="B95" s="316" t="s">
        <v>342</v>
      </c>
      <c r="C95" s="282"/>
      <c r="D95" s="275"/>
      <c r="E95" s="310"/>
      <c r="F95" s="310"/>
      <c r="G95" s="310"/>
      <c r="H95" s="310"/>
      <c r="I95" s="310"/>
      <c r="J95" s="275"/>
      <c r="K95" s="275"/>
      <c r="L95" s="275"/>
      <c r="M95" s="275"/>
      <c r="N95" s="275"/>
      <c r="O95" s="275"/>
      <c r="P95" s="275"/>
      <c r="Q95" s="282"/>
      <c r="R95" s="183"/>
      <c r="S95" s="183"/>
      <c r="T95" s="183"/>
      <c r="U95" s="183"/>
      <c r="V95" s="183"/>
      <c r="W95" s="183"/>
      <c r="X95" s="183"/>
      <c r="Y95" s="183"/>
      <c r="Z95" s="183"/>
      <c r="AA95" s="183"/>
      <c r="AB95" s="183"/>
      <c r="AC95" s="183"/>
      <c r="AD95" s="183"/>
      <c r="AE95" s="183"/>
      <c r="AF95" s="183"/>
      <c r="AG95" s="183"/>
      <c r="AH95" s="183"/>
      <c r="AI95" s="183"/>
      <c r="AJ95" s="183"/>
      <c r="AK95" s="183"/>
      <c r="AL95" s="183"/>
      <c r="AM95" s="183"/>
      <c r="AN95" s="183"/>
      <c r="AO95" s="183"/>
      <c r="AP95" s="303">
        <f>+AP93-AO93</f>
        <v>-5.2168607507903104</v>
      </c>
      <c r="AQ95" s="303">
        <f t="shared" ref="AQ95:BE95" si="387">+AQ93-AP93</f>
        <v>9.3240845754244788</v>
      </c>
      <c r="AR95" s="303">
        <f t="shared" si="387"/>
        <v>-0.8371149345155402</v>
      </c>
      <c r="AS95" s="303">
        <f t="shared" si="387"/>
        <v>-1.908625276175691</v>
      </c>
      <c r="AT95" s="303">
        <f t="shared" si="387"/>
        <v>-0.15347538995953869</v>
      </c>
      <c r="AU95" s="303">
        <f t="shared" si="387"/>
        <v>-9.4233962847106056E-2</v>
      </c>
      <c r="AV95" s="303">
        <f t="shared" si="387"/>
        <v>0.87346777909645823</v>
      </c>
      <c r="AW95" s="303">
        <f t="shared" si="387"/>
        <v>-0.2681294421287248</v>
      </c>
      <c r="AX95" s="303">
        <f t="shared" si="387"/>
        <v>-1.8457700137584467</v>
      </c>
      <c r="AY95" s="303">
        <f t="shared" si="387"/>
        <v>-1.5380756300184757</v>
      </c>
      <c r="AZ95" s="303">
        <f t="shared" si="387"/>
        <v>-1.1317904884815917</v>
      </c>
      <c r="BA95" s="303">
        <f t="shared" si="387"/>
        <v>-1.1042155809703615</v>
      </c>
      <c r="BB95" s="303">
        <f t="shared" si="387"/>
        <v>-0.92741310620587569</v>
      </c>
      <c r="BC95" s="303">
        <f t="shared" si="387"/>
        <v>-0.70741620483363832</v>
      </c>
      <c r="BD95" s="303">
        <f t="shared" si="387"/>
        <v>-1.3109362493449552</v>
      </c>
      <c r="BE95" s="303">
        <f t="shared" si="387"/>
        <v>-1.0715509635509264</v>
      </c>
      <c r="BF95" s="213">
        <v>-0.1</v>
      </c>
      <c r="BG95" s="213">
        <v>-0.1</v>
      </c>
      <c r="BH95" s="213">
        <v>-0.1</v>
      </c>
      <c r="BI95" s="213">
        <v>-0.1</v>
      </c>
    </row>
    <row r="96" spans="2:63" s="289" customFormat="1">
      <c r="B96" s="316" t="s">
        <v>343</v>
      </c>
      <c r="C96" s="282"/>
      <c r="D96" s="275"/>
      <c r="E96" s="310"/>
      <c r="F96" s="303">
        <f>+F93-E93</f>
        <v>0.95295300856488296</v>
      </c>
      <c r="G96" s="303">
        <f>+G93-F93</f>
        <v>-2.8694105168230024</v>
      </c>
      <c r="H96" s="303">
        <f>+H93-G93</f>
        <v>-4.3611671979682143</v>
      </c>
      <c r="I96" s="303">
        <f>+I93-H93</f>
        <v>-1.6882171915062578</v>
      </c>
      <c r="J96" s="303">
        <f>+J93-I93</f>
        <v>-0.13599450685186198</v>
      </c>
      <c r="K96" s="303">
        <f t="shared" ref="K96:P96" si="388">+K93-J93</f>
        <v>-0.13531453431760454</v>
      </c>
      <c r="L96" s="303">
        <f t="shared" si="388"/>
        <v>-0.13463796164601405</v>
      </c>
      <c r="M96" s="303">
        <f t="shared" si="388"/>
        <v>-0.13396477183778543</v>
      </c>
      <c r="N96" s="303">
        <f t="shared" si="388"/>
        <v>-0.13329494797859454</v>
      </c>
      <c r="O96" s="303">
        <f t="shared" si="388"/>
        <v>-0.13262847323870375</v>
      </c>
      <c r="P96" s="303">
        <f t="shared" si="388"/>
        <v>-0.13196533087251083</v>
      </c>
      <c r="Q96" s="282"/>
      <c r="R96" s="183"/>
      <c r="S96" s="183"/>
      <c r="T96" s="183"/>
      <c r="U96" s="183"/>
      <c r="V96" s="183"/>
      <c r="W96" s="183"/>
      <c r="X96" s="183"/>
      <c r="Y96" s="183"/>
      <c r="Z96" s="183"/>
      <c r="AA96" s="183"/>
      <c r="AB96" s="183"/>
      <c r="AC96" s="183"/>
      <c r="AD96" s="183"/>
      <c r="AE96" s="183"/>
      <c r="AF96" s="183"/>
      <c r="AG96" s="183"/>
      <c r="AH96" s="183"/>
      <c r="AI96" s="183"/>
      <c r="AJ96" s="183"/>
      <c r="AK96" s="183"/>
      <c r="AL96" s="183"/>
      <c r="AM96" s="183"/>
      <c r="AN96" s="183"/>
      <c r="AO96" s="183"/>
      <c r="AP96" s="313"/>
      <c r="AQ96" s="313"/>
      <c r="AR96" s="313"/>
      <c r="AS96" s="303">
        <f t="shared" ref="AS96:BE96" si="389">+AS93-AO93</f>
        <v>1.3614836139429372</v>
      </c>
      <c r="AT96" s="303">
        <f t="shared" si="389"/>
        <v>6.4248689747737089</v>
      </c>
      <c r="AU96" s="303">
        <f t="shared" si="389"/>
        <v>-2.9934495634978759</v>
      </c>
      <c r="AV96" s="303">
        <f t="shared" si="389"/>
        <v>-1.2828668498858775</v>
      </c>
      <c r="AW96" s="303">
        <f t="shared" si="389"/>
        <v>0.35762898416108868</v>
      </c>
      <c r="AX96" s="303">
        <f t="shared" si="389"/>
        <v>-1.3346656396378194</v>
      </c>
      <c r="AY96" s="303">
        <f t="shared" si="389"/>
        <v>-2.778507306809189</v>
      </c>
      <c r="AZ96" s="303">
        <f t="shared" si="389"/>
        <v>-4.7837655743872389</v>
      </c>
      <c r="BA96" s="303">
        <f t="shared" si="389"/>
        <v>-5.6198517132288757</v>
      </c>
      <c r="BB96" s="303">
        <f t="shared" si="389"/>
        <v>-4.7014948056763046</v>
      </c>
      <c r="BC96" s="303">
        <f t="shared" si="389"/>
        <v>-3.8708353804914672</v>
      </c>
      <c r="BD96" s="303">
        <f t="shared" si="389"/>
        <v>-4.0499811413548308</v>
      </c>
      <c r="BE96" s="303">
        <f t="shared" si="389"/>
        <v>-4.0173165239353956</v>
      </c>
      <c r="BF96" s="303">
        <f t="shared" ref="BF96" si="390">+BF93-BB93</f>
        <v>-3.1899034177295214</v>
      </c>
      <c r="BG96" s="303">
        <f t="shared" ref="BG96" si="391">+BG93-BC93</f>
        <v>-2.5824872128958845</v>
      </c>
      <c r="BH96" s="303">
        <f t="shared" ref="BH96" si="392">+BH93-BD93</f>
        <v>-1.3715509635509306</v>
      </c>
      <c r="BI96" s="303">
        <f t="shared" ref="BI96" si="393">+BI93-BE93</f>
        <v>-0.40000000000000568</v>
      </c>
    </row>
    <row r="97" spans="2:63" s="289" customFormat="1">
      <c r="B97" s="235"/>
      <c r="C97" s="282"/>
      <c r="D97" s="275"/>
      <c r="E97" s="310"/>
      <c r="F97" s="310"/>
      <c r="G97" s="310"/>
      <c r="H97" s="310"/>
      <c r="I97" s="310"/>
      <c r="J97" s="275"/>
      <c r="K97" s="275"/>
      <c r="L97" s="275"/>
      <c r="M97" s="275"/>
      <c r="N97" s="275"/>
      <c r="O97" s="275"/>
      <c r="P97" s="275"/>
      <c r="Q97" s="282"/>
      <c r="R97" s="183"/>
      <c r="S97" s="183"/>
      <c r="T97" s="183"/>
      <c r="U97" s="183"/>
      <c r="V97" s="183"/>
      <c r="W97" s="183"/>
      <c r="X97" s="183"/>
      <c r="Y97" s="183"/>
      <c r="Z97" s="183"/>
      <c r="AA97" s="183"/>
      <c r="AB97" s="183"/>
      <c r="AC97" s="183"/>
      <c r="AD97" s="183"/>
      <c r="AE97" s="183"/>
      <c r="AF97" s="183"/>
      <c r="AG97" s="183"/>
      <c r="AH97" s="183"/>
      <c r="AI97" s="183"/>
      <c r="AJ97" s="183"/>
      <c r="AK97" s="183"/>
      <c r="AL97" s="183"/>
      <c r="AM97" s="183"/>
      <c r="AN97" s="183"/>
      <c r="AO97" s="183"/>
      <c r="AP97" s="313"/>
      <c r="AQ97" s="313"/>
      <c r="AR97" s="313"/>
      <c r="AS97" s="313"/>
      <c r="AT97" s="313"/>
      <c r="AU97" s="313"/>
      <c r="AV97" s="313"/>
      <c r="AW97" s="313"/>
      <c r="AX97" s="313"/>
      <c r="AY97" s="313"/>
      <c r="AZ97" s="313"/>
      <c r="BA97" s="313"/>
      <c r="BB97" s="313"/>
      <c r="BC97" s="313"/>
      <c r="BD97" s="313"/>
      <c r="BE97" s="313"/>
    </row>
    <row r="98" spans="2:63" s="289" customFormat="1">
      <c r="B98" s="235" t="s">
        <v>318</v>
      </c>
      <c r="C98" s="282"/>
      <c r="D98" s="236">
        <f>+AO98</f>
        <v>5817</v>
      </c>
      <c r="E98" s="236">
        <f>+AS98</f>
        <v>9965</v>
      </c>
      <c r="F98" s="236">
        <f>+AW98</f>
        <v>11548</v>
      </c>
      <c r="G98" s="236">
        <f>+BA98</f>
        <v>13536</v>
      </c>
      <c r="H98" s="236">
        <f>+BE98</f>
        <v>15335</v>
      </c>
      <c r="I98" s="236">
        <f>+BI98</f>
        <v>15948</v>
      </c>
      <c r="J98" s="236">
        <f>+I98+J99</f>
        <v>16461</v>
      </c>
      <c r="K98" s="236">
        <f t="shared" ref="K98:P98" si="394">+J98+K99</f>
        <v>16874</v>
      </c>
      <c r="L98" s="236">
        <f t="shared" si="394"/>
        <v>17187</v>
      </c>
      <c r="M98" s="236">
        <f t="shared" si="394"/>
        <v>17400</v>
      </c>
      <c r="N98" s="236">
        <f t="shared" si="394"/>
        <v>17513</v>
      </c>
      <c r="O98" s="236">
        <f t="shared" si="394"/>
        <v>17526</v>
      </c>
      <c r="P98" s="236">
        <f t="shared" si="394"/>
        <v>17439</v>
      </c>
      <c r="Q98" s="282"/>
      <c r="R98" s="168">
        <f t="shared" ref="R98:AV98" si="395">+R36</f>
        <v>6085</v>
      </c>
      <c r="S98" s="168">
        <f t="shared" si="395"/>
        <v>6139</v>
      </c>
      <c r="T98" s="168">
        <f t="shared" si="395"/>
        <v>6112</v>
      </c>
      <c r="U98" s="168">
        <f t="shared" si="395"/>
        <v>6106</v>
      </c>
      <c r="V98" s="168">
        <f t="shared" si="395"/>
        <v>5961</v>
      </c>
      <c r="W98" s="168">
        <f t="shared" si="395"/>
        <v>5558</v>
      </c>
      <c r="X98" s="168">
        <f t="shared" si="395"/>
        <v>5386</v>
      </c>
      <c r="Y98" s="168">
        <f t="shared" si="395"/>
        <v>5350</v>
      </c>
      <c r="Z98" s="168">
        <f t="shared" si="395"/>
        <v>5377</v>
      </c>
      <c r="AA98" s="168">
        <f t="shared" si="395"/>
        <v>5881</v>
      </c>
      <c r="AB98" s="168">
        <f t="shared" si="395"/>
        <v>6209</v>
      </c>
      <c r="AC98" s="168">
        <f t="shared" si="395"/>
        <v>6524</v>
      </c>
      <c r="AD98" s="168">
        <f t="shared" si="395"/>
        <v>6613</v>
      </c>
      <c r="AE98" s="168">
        <f t="shared" si="395"/>
        <v>6750</v>
      </c>
      <c r="AF98" s="168">
        <f t="shared" si="395"/>
        <v>7059</v>
      </c>
      <c r="AG98" s="168">
        <f t="shared" si="395"/>
        <v>7225</v>
      </c>
      <c r="AH98" s="168">
        <f t="shared" si="395"/>
        <v>7368</v>
      </c>
      <c r="AI98" s="168">
        <f t="shared" si="395"/>
        <v>7473</v>
      </c>
      <c r="AJ98" s="168">
        <f t="shared" si="395"/>
        <v>7545</v>
      </c>
      <c r="AK98" s="168">
        <f t="shared" si="395"/>
        <v>7328</v>
      </c>
      <c r="AL98" s="168">
        <f t="shared" si="395"/>
        <v>7104</v>
      </c>
      <c r="AM98" s="168">
        <f t="shared" si="395"/>
        <v>5267</v>
      </c>
      <c r="AN98" s="168">
        <f t="shared" si="395"/>
        <v>5726</v>
      </c>
      <c r="AO98" s="168">
        <f t="shared" si="395"/>
        <v>5817</v>
      </c>
      <c r="AP98" s="274">
        <f t="shared" si="395"/>
        <v>10411</v>
      </c>
      <c r="AQ98" s="274">
        <f t="shared" si="395"/>
        <v>10082</v>
      </c>
      <c r="AR98" s="274">
        <f t="shared" si="395"/>
        <v>10026</v>
      </c>
      <c r="AS98" s="274">
        <f t="shared" si="395"/>
        <v>9965</v>
      </c>
      <c r="AT98" s="274">
        <f t="shared" si="395"/>
        <v>10037</v>
      </c>
      <c r="AU98" s="274">
        <f t="shared" si="395"/>
        <v>10438</v>
      </c>
      <c r="AV98" s="274">
        <f t="shared" si="395"/>
        <v>10988</v>
      </c>
      <c r="AW98" s="274">
        <f t="shared" ref="AW98:BB98" si="396">+AW36</f>
        <v>11548</v>
      </c>
      <c r="AX98" s="274">
        <f t="shared" si="396"/>
        <v>12171</v>
      </c>
      <c r="AY98" s="274">
        <f t="shared" si="396"/>
        <v>12633</v>
      </c>
      <c r="AZ98" s="274">
        <f t="shared" si="396"/>
        <v>13035</v>
      </c>
      <c r="BA98" s="274">
        <f t="shared" si="396"/>
        <v>13536</v>
      </c>
      <c r="BB98" s="274">
        <f t="shared" si="396"/>
        <v>13844</v>
      </c>
      <c r="BC98" s="274">
        <f t="shared" ref="BC98:BD98" si="397">+BC36</f>
        <v>14187</v>
      </c>
      <c r="BD98" s="274">
        <f t="shared" si="397"/>
        <v>15136</v>
      </c>
      <c r="BE98" s="274">
        <f t="shared" ref="BE98" si="398">+BE36</f>
        <v>15335</v>
      </c>
      <c r="BF98" s="274">
        <f t="shared" ref="BF98" si="399">+BE98+BF99</f>
        <v>15517</v>
      </c>
      <c r="BG98" s="274">
        <f t="shared" ref="BG98" si="400">+BF98+BG99</f>
        <v>15684</v>
      </c>
      <c r="BH98" s="274">
        <f t="shared" ref="BH98" si="401">+BG98+BH99</f>
        <v>15908</v>
      </c>
      <c r="BI98" s="274">
        <f t="shared" ref="BI98" si="402">+BH98+BI99</f>
        <v>15948</v>
      </c>
    </row>
    <row r="99" spans="2:63" s="289" customFormat="1" ht="15.75">
      <c r="B99" s="296" t="s">
        <v>117</v>
      </c>
      <c r="C99" s="282"/>
      <c r="D99" s="252">
        <f>SUM(AL99:AO99)</f>
        <v>268</v>
      </c>
      <c r="E99" s="247">
        <f>+SUM(AP99:AS99)</f>
        <v>-311</v>
      </c>
      <c r="F99" s="306">
        <f>SUM(AT99:AW99)</f>
        <v>1364</v>
      </c>
      <c r="G99" s="306">
        <f>SUM(AX99:BA99)</f>
        <v>1575</v>
      </c>
      <c r="H99" s="306">
        <f>SUM(BB99:BE99)</f>
        <v>1013</v>
      </c>
      <c r="I99" s="306">
        <f>SUM(BF99:BI99)</f>
        <v>613</v>
      </c>
      <c r="J99" s="220">
        <f>+I99-100</f>
        <v>513</v>
      </c>
      <c r="K99" s="220">
        <f t="shared" ref="K99:P99" si="403">+J99-100</f>
        <v>413</v>
      </c>
      <c r="L99" s="220">
        <f t="shared" si="403"/>
        <v>313</v>
      </c>
      <c r="M99" s="220">
        <f t="shared" si="403"/>
        <v>213</v>
      </c>
      <c r="N99" s="220">
        <f t="shared" si="403"/>
        <v>113</v>
      </c>
      <c r="O99" s="220">
        <f t="shared" si="403"/>
        <v>13</v>
      </c>
      <c r="P99" s="220">
        <f t="shared" si="403"/>
        <v>-87</v>
      </c>
      <c r="Q99" s="282"/>
      <c r="R99" s="167">
        <f t="shared" ref="R99:AV99" si="404">+R42</f>
        <v>118</v>
      </c>
      <c r="S99" s="167">
        <f t="shared" si="404"/>
        <v>12</v>
      </c>
      <c r="T99" s="167">
        <f t="shared" si="404"/>
        <v>-36</v>
      </c>
      <c r="U99" s="167">
        <f t="shared" si="404"/>
        <v>-23</v>
      </c>
      <c r="V99" s="167">
        <f t="shared" si="404"/>
        <v>-155</v>
      </c>
      <c r="W99" s="167">
        <f t="shared" si="404"/>
        <v>-412</v>
      </c>
      <c r="X99" s="167">
        <f t="shared" si="404"/>
        <v>-176</v>
      </c>
      <c r="Y99" s="167">
        <f t="shared" si="404"/>
        <v>-58</v>
      </c>
      <c r="Z99" s="167">
        <f t="shared" si="404"/>
        <v>24</v>
      </c>
      <c r="AA99" s="167">
        <f t="shared" si="404"/>
        <v>300</v>
      </c>
      <c r="AB99" s="167">
        <f t="shared" si="404"/>
        <v>321</v>
      </c>
      <c r="AC99" s="167">
        <f t="shared" si="404"/>
        <v>307</v>
      </c>
      <c r="AD99" s="167">
        <f t="shared" si="404"/>
        <v>85</v>
      </c>
      <c r="AE99" s="167">
        <f t="shared" si="404"/>
        <v>137</v>
      </c>
      <c r="AF99" s="167">
        <f t="shared" si="404"/>
        <v>293</v>
      </c>
      <c r="AG99" s="167">
        <f t="shared" si="404"/>
        <v>159</v>
      </c>
      <c r="AH99" s="167">
        <f t="shared" si="404"/>
        <v>125</v>
      </c>
      <c r="AI99" s="167">
        <f t="shared" si="404"/>
        <v>92</v>
      </c>
      <c r="AJ99" s="167">
        <f t="shared" si="404"/>
        <v>77</v>
      </c>
      <c r="AK99" s="167">
        <f t="shared" si="404"/>
        <v>-166</v>
      </c>
      <c r="AL99" s="167">
        <f t="shared" si="404"/>
        <v>-184</v>
      </c>
      <c r="AM99" s="167">
        <f t="shared" si="404"/>
        <v>95</v>
      </c>
      <c r="AN99" s="167">
        <f t="shared" si="404"/>
        <v>284</v>
      </c>
      <c r="AO99" s="167">
        <f t="shared" si="404"/>
        <v>73</v>
      </c>
      <c r="AP99" s="247">
        <f t="shared" si="404"/>
        <v>88</v>
      </c>
      <c r="AQ99" s="247">
        <f t="shared" si="404"/>
        <v>-286</v>
      </c>
      <c r="AR99" s="247">
        <f t="shared" si="404"/>
        <v>-46</v>
      </c>
      <c r="AS99" s="247">
        <f t="shared" si="404"/>
        <v>-67</v>
      </c>
      <c r="AT99" s="247">
        <f t="shared" si="404"/>
        <v>98</v>
      </c>
      <c r="AU99" s="247">
        <f t="shared" si="404"/>
        <v>331</v>
      </c>
      <c r="AV99" s="247">
        <f t="shared" si="404"/>
        <v>466</v>
      </c>
      <c r="AW99" s="247">
        <f t="shared" ref="AW99:BA99" si="405">+AW42</f>
        <v>469</v>
      </c>
      <c r="AX99" s="247">
        <f t="shared" si="405"/>
        <v>500</v>
      </c>
      <c r="AY99" s="247">
        <f t="shared" si="405"/>
        <v>365</v>
      </c>
      <c r="AZ99" s="247">
        <f t="shared" si="405"/>
        <v>304</v>
      </c>
      <c r="BA99" s="247">
        <f t="shared" si="405"/>
        <v>406</v>
      </c>
      <c r="BB99" s="247">
        <f>+BB42</f>
        <v>282</v>
      </c>
      <c r="BC99" s="247">
        <f>+BC42</f>
        <v>267</v>
      </c>
      <c r="BD99" s="247">
        <f>+BD42</f>
        <v>324</v>
      </c>
      <c r="BE99" s="247">
        <f>+BE42</f>
        <v>140</v>
      </c>
      <c r="BF99" s="220">
        <f t="shared" ref="BF99" si="406">+BB99-100</f>
        <v>182</v>
      </c>
      <c r="BG99" s="220">
        <f t="shared" ref="BG99" si="407">+BC99-100</f>
        <v>167</v>
      </c>
      <c r="BH99" s="220">
        <f t="shared" ref="BH99" si="408">+BD99-100</f>
        <v>224</v>
      </c>
      <c r="BI99" s="220">
        <f t="shared" ref="BI99" si="409">+BE99-100</f>
        <v>40</v>
      </c>
      <c r="BK99" s="152"/>
    </row>
    <row r="100" spans="2:63" s="289" customFormat="1" ht="15.75" thickBot="1">
      <c r="B100" s="275"/>
      <c r="C100" s="282"/>
      <c r="D100" s="275"/>
      <c r="E100" s="310"/>
      <c r="F100" s="310"/>
      <c r="G100" s="310"/>
      <c r="H100" s="310"/>
      <c r="I100" s="310"/>
      <c r="J100" s="275"/>
      <c r="K100" s="275"/>
      <c r="L100" s="275"/>
      <c r="M100" s="275"/>
      <c r="N100" s="275"/>
      <c r="O100" s="275"/>
      <c r="P100" s="275"/>
      <c r="Q100" s="282"/>
      <c r="R100" s="183"/>
      <c r="S100" s="183"/>
      <c r="T100" s="183"/>
      <c r="U100" s="183"/>
      <c r="V100" s="183"/>
      <c r="W100" s="183"/>
      <c r="X100" s="183"/>
      <c r="Y100" s="183"/>
      <c r="Z100" s="183"/>
      <c r="AA100" s="183"/>
      <c r="AB100" s="183"/>
      <c r="AC100" s="183"/>
      <c r="AD100" s="183"/>
      <c r="AE100" s="183"/>
      <c r="AF100" s="183"/>
      <c r="AG100" s="183"/>
      <c r="AH100" s="183"/>
      <c r="AI100" s="183"/>
      <c r="AJ100" s="183"/>
      <c r="AK100" s="183"/>
      <c r="AL100" s="183"/>
      <c r="AM100" s="183"/>
      <c r="AN100" s="183"/>
      <c r="AO100" s="183"/>
      <c r="AP100" s="313"/>
      <c r="AQ100" s="313"/>
      <c r="AR100" s="313"/>
      <c r="AS100" s="313"/>
      <c r="AT100" s="313"/>
      <c r="AU100" s="313"/>
      <c r="AV100" s="313"/>
      <c r="AW100" s="313"/>
      <c r="AX100" s="313"/>
      <c r="AY100" s="313"/>
      <c r="AZ100" s="313"/>
      <c r="BA100" s="313"/>
      <c r="BB100" s="313"/>
      <c r="BC100" s="313"/>
      <c r="BD100" s="313"/>
      <c r="BE100" s="313"/>
    </row>
    <row r="101" spans="2:63" s="251" customFormat="1" ht="15.75" thickBot="1">
      <c r="B101" s="194" t="s">
        <v>315</v>
      </c>
      <c r="C101" s="163"/>
      <c r="D101" s="195">
        <f>+D6</f>
        <v>2013</v>
      </c>
      <c r="E101" s="196">
        <f t="shared" ref="E101:J101" si="410">+E6</f>
        <v>2014</v>
      </c>
      <c r="F101" s="196">
        <f t="shared" si="410"/>
        <v>2015</v>
      </c>
      <c r="G101" s="196">
        <f t="shared" si="410"/>
        <v>2016</v>
      </c>
      <c r="H101" s="196">
        <f t="shared" ref="H101:I101" si="411">+H6</f>
        <v>2017</v>
      </c>
      <c r="I101" s="196" t="str">
        <f t="shared" si="411"/>
        <v>2018E</v>
      </c>
      <c r="J101" s="196" t="str">
        <f t="shared" si="410"/>
        <v>2019E</v>
      </c>
      <c r="K101" s="196" t="str">
        <f t="shared" ref="K101:P101" si="412">+K6</f>
        <v>2020E</v>
      </c>
      <c r="L101" s="196" t="str">
        <f t="shared" si="412"/>
        <v>2021E</v>
      </c>
      <c r="M101" s="196" t="str">
        <f t="shared" si="412"/>
        <v>2022E</v>
      </c>
      <c r="N101" s="196" t="str">
        <f t="shared" si="412"/>
        <v>2023E</v>
      </c>
      <c r="O101" s="196" t="str">
        <f t="shared" si="412"/>
        <v>2024E</v>
      </c>
      <c r="P101" s="197" t="str">
        <f t="shared" si="412"/>
        <v>2025E</v>
      </c>
      <c r="Q101" s="318"/>
      <c r="R101" s="196" t="s">
        <v>228</v>
      </c>
      <c r="S101" s="196" t="s">
        <v>229</v>
      </c>
      <c r="T101" s="196" t="s">
        <v>230</v>
      </c>
      <c r="U101" s="196" t="s">
        <v>231</v>
      </c>
      <c r="V101" s="196" t="s">
        <v>232</v>
      </c>
      <c r="W101" s="196" t="s">
        <v>233</v>
      </c>
      <c r="X101" s="196" t="s">
        <v>234</v>
      </c>
      <c r="Y101" s="196" t="s">
        <v>235</v>
      </c>
      <c r="Z101" s="196" t="s">
        <v>236</v>
      </c>
      <c r="AA101" s="196" t="s">
        <v>237</v>
      </c>
      <c r="AB101" s="196" t="s">
        <v>238</v>
      </c>
      <c r="AC101" s="196" t="s">
        <v>239</v>
      </c>
      <c r="AD101" s="196" t="s">
        <v>240</v>
      </c>
      <c r="AE101" s="196" t="s">
        <v>241</v>
      </c>
      <c r="AF101" s="196" t="s">
        <v>242</v>
      </c>
      <c r="AG101" s="196" t="s">
        <v>243</v>
      </c>
      <c r="AH101" s="196" t="s">
        <v>244</v>
      </c>
      <c r="AI101" s="196" t="s">
        <v>245</v>
      </c>
      <c r="AJ101" s="196" t="s">
        <v>246</v>
      </c>
      <c r="AK101" s="196" t="s">
        <v>247</v>
      </c>
      <c r="AL101" s="196" t="s">
        <v>248</v>
      </c>
      <c r="AM101" s="196" t="s">
        <v>249</v>
      </c>
      <c r="AN101" s="196" t="s">
        <v>250</v>
      </c>
      <c r="AO101" s="196" t="s">
        <v>251</v>
      </c>
      <c r="AP101" s="196" t="s">
        <v>156</v>
      </c>
      <c r="AQ101" s="196" t="s">
        <v>157</v>
      </c>
      <c r="AR101" s="196" t="s">
        <v>158</v>
      </c>
      <c r="AS101" s="196" t="s">
        <v>159</v>
      </c>
      <c r="AT101" s="196" t="str">
        <f>+AT6</f>
        <v>1Q15</v>
      </c>
      <c r="AU101" s="196" t="str">
        <f t="shared" ref="AU101:AV101" si="413">+AU6</f>
        <v>2Q15</v>
      </c>
      <c r="AV101" s="196" t="str">
        <f t="shared" si="413"/>
        <v>3Q15</v>
      </c>
      <c r="AW101" s="196" t="str">
        <f t="shared" ref="AW101:BA101" si="414">+AW6</f>
        <v>4Q15</v>
      </c>
      <c r="AX101" s="196" t="str">
        <f t="shared" si="414"/>
        <v>1Q16</v>
      </c>
      <c r="AY101" s="196" t="str">
        <f t="shared" si="414"/>
        <v>2Q16</v>
      </c>
      <c r="AZ101" s="196" t="str">
        <f t="shared" si="414"/>
        <v>3Q16</v>
      </c>
      <c r="BA101" s="196" t="str">
        <f t="shared" si="414"/>
        <v>4Q16</v>
      </c>
      <c r="BB101" s="196" t="str">
        <f t="shared" ref="BB101:BC101" si="415">+BB6</f>
        <v>1Q17</v>
      </c>
      <c r="BC101" s="196" t="str">
        <f t="shared" si="415"/>
        <v>2Q17</v>
      </c>
      <c r="BD101" s="196" t="str">
        <f t="shared" ref="BD101:BE101" si="416">+BD6</f>
        <v>3Q17</v>
      </c>
      <c r="BE101" s="196" t="str">
        <f t="shared" si="416"/>
        <v>4Q17</v>
      </c>
      <c r="BF101" s="196" t="str">
        <f t="shared" ref="BF101:BI101" si="417">+BF6</f>
        <v>1Q18E</v>
      </c>
      <c r="BG101" s="196" t="str">
        <f t="shared" si="417"/>
        <v>2Q18E</v>
      </c>
      <c r="BH101" s="196" t="str">
        <f t="shared" si="417"/>
        <v>3Q18E</v>
      </c>
      <c r="BI101" s="197" t="str">
        <f t="shared" si="417"/>
        <v>4Q18E</v>
      </c>
    </row>
    <row r="102" spans="2:63" s="289" customFormat="1">
      <c r="B102" s="275"/>
      <c r="C102" s="282"/>
      <c r="D102" s="275"/>
      <c r="E102" s="310"/>
      <c r="F102" s="310"/>
      <c r="G102" s="310"/>
      <c r="H102" s="310"/>
      <c r="I102" s="310"/>
      <c r="J102" s="275"/>
      <c r="K102" s="275"/>
      <c r="L102" s="275"/>
      <c r="M102" s="275"/>
      <c r="N102" s="275"/>
      <c r="O102" s="275"/>
      <c r="P102" s="275"/>
      <c r="Q102" s="282"/>
      <c r="R102" s="313"/>
      <c r="S102" s="313"/>
      <c r="T102" s="313"/>
      <c r="U102" s="313"/>
      <c r="V102" s="313"/>
      <c r="W102" s="313"/>
      <c r="X102" s="313"/>
      <c r="Y102" s="313"/>
      <c r="Z102" s="313"/>
      <c r="AA102" s="313"/>
      <c r="AB102" s="313"/>
      <c r="AC102" s="313"/>
      <c r="AD102" s="313"/>
      <c r="AE102" s="313"/>
      <c r="AF102" s="313"/>
      <c r="AG102" s="313"/>
      <c r="AH102" s="313"/>
      <c r="AI102" s="313"/>
      <c r="AJ102" s="313"/>
      <c r="AK102" s="313"/>
      <c r="AL102" s="313"/>
      <c r="AM102" s="313"/>
      <c r="AN102" s="313"/>
      <c r="AO102" s="313"/>
      <c r="AP102" s="313"/>
      <c r="AQ102" s="313"/>
      <c r="AR102" s="313"/>
      <c r="AS102" s="313"/>
      <c r="AT102" s="313"/>
      <c r="AU102" s="313"/>
      <c r="AV102" s="313"/>
      <c r="AW102" s="313"/>
      <c r="AX102" s="313"/>
      <c r="AY102" s="313"/>
      <c r="AZ102" s="313"/>
      <c r="BA102" s="313"/>
      <c r="BB102" s="313"/>
      <c r="BC102" s="313"/>
      <c r="BD102" s="313"/>
      <c r="BE102" s="313"/>
    </row>
    <row r="103" spans="2:63" s="240" customFormat="1" ht="15.75">
      <c r="B103" s="240" t="s">
        <v>317</v>
      </c>
      <c r="C103" s="247"/>
      <c r="D103" s="252">
        <f>SUM(AL103:AO103)</f>
        <v>650.7182499999999</v>
      </c>
      <c r="E103" s="247">
        <f>+SUM(AP103:AS103)</f>
        <v>2848.0103499999987</v>
      </c>
      <c r="F103" s="306">
        <f>SUM(AT103:AW103)</f>
        <v>2991.2444449999966</v>
      </c>
      <c r="G103" s="306">
        <f>SUM(AX103:BA103)</f>
        <v>3751.0973649999978</v>
      </c>
      <c r="H103" s="306">
        <f>SUM(BB103:BE103)</f>
        <v>4120.4335899999987</v>
      </c>
      <c r="I103" s="306">
        <f>SUM(BF103:BI103)</f>
        <v>4093.5844082868957</v>
      </c>
      <c r="J103" s="306">
        <f>J106*AVERAGE(I115:J115)*12/1000</f>
        <v>4422.0104594561917</v>
      </c>
      <c r="K103" s="306">
        <f t="shared" ref="K103:P103" si="418">K106*AVERAGE(J115:K115)*12/1000</f>
        <v>4832.5430234178111</v>
      </c>
      <c r="L103" s="306">
        <f t="shared" si="418"/>
        <v>5243.0755873794315</v>
      </c>
      <c r="M103" s="306">
        <f t="shared" si="418"/>
        <v>5653.6081513410509</v>
      </c>
      <c r="N103" s="306">
        <f t="shared" si="418"/>
        <v>6064.1407153026712</v>
      </c>
      <c r="O103" s="306">
        <f t="shared" si="418"/>
        <v>6474.6732792642915</v>
      </c>
      <c r="P103" s="306">
        <f t="shared" si="418"/>
        <v>6885.2058432259109</v>
      </c>
      <c r="Q103" s="247"/>
      <c r="R103" s="247"/>
      <c r="S103" s="247"/>
      <c r="T103" s="247"/>
      <c r="U103" s="247"/>
      <c r="V103" s="247"/>
      <c r="W103" s="247"/>
      <c r="X103" s="247"/>
      <c r="Y103" s="247"/>
      <c r="Z103" s="247"/>
      <c r="AA103" s="247"/>
      <c r="AB103" s="247"/>
      <c r="AC103" s="247"/>
      <c r="AD103" s="339"/>
      <c r="AE103" s="339"/>
      <c r="AF103" s="339"/>
      <c r="AG103" s="339"/>
      <c r="AH103" s="339"/>
      <c r="AI103" s="339"/>
      <c r="AJ103" s="339"/>
      <c r="AK103" s="339"/>
      <c r="AL103" s="339"/>
      <c r="AM103" s="339"/>
      <c r="AN103" s="339"/>
      <c r="AO103" s="339">
        <f t="shared" ref="AO103:AV103" si="419">+AO8-AO59-AO90</f>
        <v>650.7182499999999</v>
      </c>
      <c r="AP103" s="339">
        <f t="shared" si="419"/>
        <v>608.60410500000035</v>
      </c>
      <c r="AQ103" s="339">
        <f t="shared" si="419"/>
        <v>704.07427999999891</v>
      </c>
      <c r="AR103" s="339">
        <f t="shared" si="419"/>
        <v>783.77133999999933</v>
      </c>
      <c r="AS103" s="339">
        <f t="shared" si="419"/>
        <v>751.56062500000007</v>
      </c>
      <c r="AT103" s="339">
        <f t="shared" si="419"/>
        <v>714.30662499999926</v>
      </c>
      <c r="AU103" s="339">
        <f t="shared" si="419"/>
        <v>747.35983999999735</v>
      </c>
      <c r="AV103" s="339">
        <f t="shared" si="419"/>
        <v>785.88310000000092</v>
      </c>
      <c r="AW103" s="339">
        <f t="shared" ref="AW103:BB103" si="420">+AW8-AW59-AW90</f>
        <v>743.6948799999991</v>
      </c>
      <c r="AX103" s="339">
        <f t="shared" si="420"/>
        <v>808.07062999999835</v>
      </c>
      <c r="AY103" s="339">
        <f t="shared" si="420"/>
        <v>927.22698499999933</v>
      </c>
      <c r="AZ103" s="339">
        <f t="shared" si="420"/>
        <v>1027.2205850000009</v>
      </c>
      <c r="BA103" s="339">
        <f t="shared" si="420"/>
        <v>988.57916499999919</v>
      </c>
      <c r="BB103" s="339">
        <f t="shared" si="420"/>
        <v>1007.5265399999989</v>
      </c>
      <c r="BC103" s="339">
        <f t="shared" ref="BC103:BD103" si="421">+BC8-BC59-BC90</f>
        <v>1029.1212500000001</v>
      </c>
      <c r="BD103" s="339">
        <f t="shared" si="421"/>
        <v>1040.1839999999993</v>
      </c>
      <c r="BE103" s="339">
        <f t="shared" ref="BE103" si="422">+BE8-BE59-BE90</f>
        <v>1043.6018000000004</v>
      </c>
      <c r="BF103" s="339">
        <f t="shared" ref="BF103" si="423">BF106*AVERAGE(BE115:BF115)*3/1000</f>
        <v>1037.8795030159565</v>
      </c>
      <c r="BG103" s="339">
        <f t="shared" ref="BG103" si="424">BG106*AVERAGE(BF115:BG115)*3/1000</f>
        <v>1023.752754859102</v>
      </c>
      <c r="BH103" s="339">
        <f t="shared" ref="BH103" si="425">BH106*AVERAGE(BG115:BH115)*3/1000</f>
        <v>1016.2483529932965</v>
      </c>
      <c r="BI103" s="339">
        <f t="shared" ref="BI103" si="426">BI106*AVERAGE(BH115:BI115)*3/1000</f>
        <v>1015.7037974185404</v>
      </c>
      <c r="BK103" s="152"/>
    </row>
    <row r="104" spans="2:63" s="271" customFormat="1">
      <c r="B104" s="282" t="s">
        <v>252</v>
      </c>
      <c r="C104" s="275"/>
      <c r="D104" s="282"/>
      <c r="E104" s="302">
        <f t="shared" ref="E104:J104" si="427">+E103/D103-1</f>
        <v>3.3767181111026146</v>
      </c>
      <c r="F104" s="302">
        <f t="shared" si="427"/>
        <v>5.0292687665267177E-2</v>
      </c>
      <c r="G104" s="302">
        <f t="shared" si="427"/>
        <v>0.25402568528631297</v>
      </c>
      <c r="H104" s="302">
        <f t="shared" si="427"/>
        <v>9.8460847336603541E-2</v>
      </c>
      <c r="I104" s="302">
        <f t="shared" si="427"/>
        <v>-6.5161059210525618E-3</v>
      </c>
      <c r="J104" s="302">
        <f t="shared" si="427"/>
        <v>8.0229456244860442E-2</v>
      </c>
      <c r="K104" s="302">
        <f t="shared" ref="K104" si="428">+K103/J103-1</f>
        <v>9.2838442542287902E-2</v>
      </c>
      <c r="L104" s="302">
        <f t="shared" ref="L104" si="429">+L103/K103-1</f>
        <v>8.4951662504035408E-2</v>
      </c>
      <c r="M104" s="302">
        <f t="shared" ref="M104" si="430">+M103/L103-1</f>
        <v>7.8299951454030126E-2</v>
      </c>
      <c r="N104" s="302">
        <f t="shared" ref="N104" si="431">+N103/M103-1</f>
        <v>7.2614258535806275E-2</v>
      </c>
      <c r="O104" s="302">
        <f t="shared" ref="O104" si="432">+O103/N103-1</f>
        <v>6.7698390132282737E-2</v>
      </c>
      <c r="P104" s="302">
        <f t="shared" ref="P104" si="433">+P103/O103-1</f>
        <v>6.3405911967231665E-2</v>
      </c>
      <c r="Q104" s="275"/>
      <c r="R104" s="275"/>
      <c r="S104" s="275"/>
      <c r="T104" s="275"/>
      <c r="U104" s="275"/>
      <c r="V104" s="275"/>
      <c r="W104" s="275"/>
      <c r="X104" s="275"/>
      <c r="Y104" s="275"/>
      <c r="Z104" s="275"/>
      <c r="AA104" s="275"/>
      <c r="AB104" s="275"/>
      <c r="AC104" s="275"/>
      <c r="AD104" s="275"/>
      <c r="AE104" s="275"/>
      <c r="AF104" s="275"/>
      <c r="AG104" s="275"/>
      <c r="AH104" s="283"/>
      <c r="AI104" s="283"/>
      <c r="AJ104" s="283"/>
      <c r="AK104" s="283"/>
      <c r="AL104" s="283"/>
      <c r="AM104" s="283"/>
      <c r="AN104" s="283"/>
      <c r="AO104" s="283"/>
      <c r="AP104" s="283"/>
      <c r="AQ104" s="283"/>
      <c r="AR104" s="283"/>
      <c r="AS104" s="283">
        <f t="shared" ref="AS104:BE104" si="434">+AS103/AO103-1</f>
        <v>0.1549708725704253</v>
      </c>
      <c r="AT104" s="283">
        <f t="shared" si="434"/>
        <v>0.17368026132521552</v>
      </c>
      <c r="AU104" s="283">
        <f t="shared" si="434"/>
        <v>6.1478683754785823E-2</v>
      </c>
      <c r="AV104" s="283">
        <f t="shared" si="434"/>
        <v>2.6943572598630006E-3</v>
      </c>
      <c r="AW104" s="283">
        <f t="shared" si="434"/>
        <v>-1.0465882243366531E-2</v>
      </c>
      <c r="AX104" s="283">
        <f t="shared" si="434"/>
        <v>0.13126576419475211</v>
      </c>
      <c r="AY104" s="283">
        <f t="shared" si="434"/>
        <v>0.24067006998931406</v>
      </c>
      <c r="AZ104" s="283">
        <f t="shared" si="434"/>
        <v>0.30709081923252923</v>
      </c>
      <c r="BA104" s="283">
        <f t="shared" si="434"/>
        <v>0.32928058480112221</v>
      </c>
      <c r="BB104" s="283">
        <f t="shared" si="434"/>
        <v>0.24682979753886247</v>
      </c>
      <c r="BC104" s="283">
        <f t="shared" si="434"/>
        <v>0.10989139299046702</v>
      </c>
      <c r="BD104" s="283">
        <f t="shared" si="434"/>
        <v>1.2619894099959339E-2</v>
      </c>
      <c r="BE104" s="283">
        <f t="shared" si="434"/>
        <v>5.5658299252140608E-2</v>
      </c>
      <c r="BF104" s="283">
        <f t="shared" ref="BF104" si="435">+BF103/BB103-1</f>
        <v>3.0126216839863718E-2</v>
      </c>
      <c r="BG104" s="283">
        <f t="shared" ref="BG104" si="436">+BG103/BC103-1</f>
        <v>-5.216581759339034E-3</v>
      </c>
      <c r="BH104" s="283">
        <f t="shared" ref="BH104" si="437">+BH103/BD103-1</f>
        <v>-2.3010974026424935E-2</v>
      </c>
      <c r="BI104" s="283">
        <f t="shared" ref="BI104" si="438">+BI103/BE103-1</f>
        <v>-2.6732420911366739E-2</v>
      </c>
    </row>
    <row r="105" spans="2:63">
      <c r="C105" s="274"/>
      <c r="Q105" s="274"/>
      <c r="R105" s="274"/>
      <c r="S105" s="274"/>
      <c r="T105" s="274"/>
      <c r="U105" s="274"/>
      <c r="V105" s="274"/>
      <c r="W105" s="274"/>
      <c r="X105" s="274"/>
      <c r="Y105" s="274"/>
      <c r="Z105" s="274"/>
      <c r="AA105" s="274"/>
      <c r="AB105" s="274"/>
      <c r="AC105" s="274"/>
      <c r="AD105" s="274"/>
      <c r="AE105" s="274"/>
      <c r="AF105" s="274"/>
      <c r="AG105" s="274"/>
      <c r="AH105" s="274"/>
      <c r="AI105" s="274"/>
      <c r="AJ105" s="274"/>
      <c r="AK105" s="274"/>
    </row>
    <row r="106" spans="2:63" s="253" customFormat="1" ht="15.75">
      <c r="B106" s="301" t="s">
        <v>41</v>
      </c>
      <c r="C106" s="247"/>
      <c r="D106" s="301"/>
      <c r="E106" s="301">
        <f>+E103/AVERAGE(D115:E115)/12*1000</f>
        <v>7.1122024523024647</v>
      </c>
      <c r="F106" s="301">
        <f>+F103/AVERAGE(E115:F115)/12*1000</f>
        <v>6.6644485847837451</v>
      </c>
      <c r="G106" s="301">
        <f>+G103/AVERAGE(F115:G115)/12*1000</f>
        <v>7.4848000546729363</v>
      </c>
      <c r="H106" s="301">
        <f>+H103/AVERAGE(G115:H115)/12*1000</f>
        <v>7.4729200264063733</v>
      </c>
      <c r="I106" s="301">
        <f>+I103/AVERAGE(H115:I115)/12*1000</f>
        <v>6.8422093993603301</v>
      </c>
      <c r="J106" s="301">
        <f>+I106+J109</f>
        <v>6.8422093993603301</v>
      </c>
      <c r="K106" s="301">
        <f t="shared" ref="K106:P106" si="439">+J106+K109</f>
        <v>6.8422093993603301</v>
      </c>
      <c r="L106" s="301">
        <f t="shared" si="439"/>
        <v>6.8422093993603301</v>
      </c>
      <c r="M106" s="301">
        <f t="shared" si="439"/>
        <v>6.8422093993603301</v>
      </c>
      <c r="N106" s="301">
        <f t="shared" si="439"/>
        <v>6.8422093993603301</v>
      </c>
      <c r="O106" s="301">
        <f t="shared" si="439"/>
        <v>6.8422093993603301</v>
      </c>
      <c r="P106" s="301">
        <f t="shared" si="439"/>
        <v>6.8422093993603301</v>
      </c>
      <c r="Q106" s="247"/>
      <c r="R106" s="247"/>
      <c r="S106" s="247"/>
      <c r="T106" s="247"/>
      <c r="U106" s="247"/>
      <c r="V106" s="247"/>
      <c r="W106" s="247"/>
      <c r="X106" s="247"/>
      <c r="Y106" s="247"/>
      <c r="Z106" s="247"/>
      <c r="AA106" s="247"/>
      <c r="AB106" s="247"/>
      <c r="AC106" s="247"/>
      <c r="AD106" s="322"/>
      <c r="AE106" s="322"/>
      <c r="AF106" s="322"/>
      <c r="AG106" s="322"/>
      <c r="AH106" s="322"/>
      <c r="AI106" s="322"/>
      <c r="AJ106" s="322"/>
      <c r="AK106" s="322"/>
      <c r="AL106" s="322"/>
      <c r="AM106" s="322"/>
      <c r="AN106" s="322"/>
      <c r="AO106" s="322"/>
      <c r="AP106" s="322">
        <f t="shared" ref="AP106:BE106" si="440">+AP103/AVERAGE(AO115:AP115)/3*1000</f>
        <v>6.3166296140613118</v>
      </c>
      <c r="AQ106" s="322">
        <f t="shared" si="440"/>
        <v>7.273644910018791</v>
      </c>
      <c r="AR106" s="322">
        <f t="shared" si="440"/>
        <v>7.9483141919814146</v>
      </c>
      <c r="AS106" s="322">
        <f t="shared" si="440"/>
        <v>7.3317980723267695</v>
      </c>
      <c r="AT106" s="322">
        <f t="shared" si="440"/>
        <v>6.7662856344458735</v>
      </c>
      <c r="AU106" s="322">
        <f t="shared" si="440"/>
        <v>6.8738861986028663</v>
      </c>
      <c r="AV106" s="322">
        <f t="shared" si="440"/>
        <v>6.9237751640896956</v>
      </c>
      <c r="AW106" s="322">
        <f t="shared" si="440"/>
        <v>6.297109084597075</v>
      </c>
      <c r="AX106" s="322">
        <f t="shared" si="440"/>
        <v>6.64070304763547</v>
      </c>
      <c r="AY106" s="322">
        <f t="shared" si="440"/>
        <v>7.4464399953420894</v>
      </c>
      <c r="AZ106" s="322">
        <f t="shared" si="440"/>
        <v>8.0763954539736513</v>
      </c>
      <c r="BA106" s="322">
        <f t="shared" si="440"/>
        <v>7.6230730052242919</v>
      </c>
      <c r="BB106" s="322">
        <f t="shared" si="440"/>
        <v>7.7593064171431791</v>
      </c>
      <c r="BC106" s="322">
        <f t="shared" si="440"/>
        <v>7.8019585991486338</v>
      </c>
      <c r="BD106" s="322">
        <f t="shared" si="440"/>
        <v>7.6047682235406313</v>
      </c>
      <c r="BE106" s="322">
        <f t="shared" si="440"/>
        <v>7.3520007326626677</v>
      </c>
      <c r="BF106" s="253">
        <f t="shared" ref="BF106" si="441">+BE106+BF108</f>
        <v>7.0992332417847042</v>
      </c>
      <c r="BG106" s="253">
        <f t="shared" ref="BG106" si="442">+BF106+BG108</f>
        <v>6.8964657509067404</v>
      </c>
      <c r="BH106" s="253">
        <f t="shared" ref="BH106" si="443">+BG106+BH108</f>
        <v>6.7436982600287765</v>
      </c>
      <c r="BI106" s="253">
        <f t="shared" ref="BI106" si="444">+BH106+BI108</f>
        <v>6.6409307691508133</v>
      </c>
      <c r="BK106"/>
    </row>
    <row r="107" spans="2:63" s="271" customFormat="1">
      <c r="B107" s="282" t="s">
        <v>252</v>
      </c>
      <c r="C107" s="275"/>
      <c r="D107" s="282"/>
      <c r="E107" s="302"/>
      <c r="F107" s="302">
        <f>+F106/E106-1</f>
        <v>-6.2955725813705787E-2</v>
      </c>
      <c r="G107" s="302">
        <f>+G106/F106-1</f>
        <v>0.12309367526102855</v>
      </c>
      <c r="H107" s="302">
        <f>+H106/G106-1</f>
        <v>-1.5872205242337678E-3</v>
      </c>
      <c r="I107" s="302">
        <f>+I106/H106-1</f>
        <v>-8.4399488395079714E-2</v>
      </c>
      <c r="J107" s="302">
        <f>+J106/I106-1</f>
        <v>0</v>
      </c>
      <c r="K107" s="302">
        <f t="shared" ref="K107:P107" si="445">+K106/J106-1</f>
        <v>0</v>
      </c>
      <c r="L107" s="302">
        <f t="shared" si="445"/>
        <v>0</v>
      </c>
      <c r="M107" s="302">
        <f t="shared" si="445"/>
        <v>0</v>
      </c>
      <c r="N107" s="302">
        <f t="shared" si="445"/>
        <v>0</v>
      </c>
      <c r="O107" s="302">
        <f t="shared" si="445"/>
        <v>0</v>
      </c>
      <c r="P107" s="302">
        <f t="shared" si="445"/>
        <v>0</v>
      </c>
      <c r="Q107" s="275"/>
      <c r="R107" s="275"/>
      <c r="S107" s="275"/>
      <c r="T107" s="275"/>
      <c r="U107" s="275"/>
      <c r="V107" s="275"/>
      <c r="W107" s="275"/>
      <c r="X107" s="275"/>
      <c r="Y107" s="275"/>
      <c r="Z107" s="275"/>
      <c r="AA107" s="275"/>
      <c r="AB107" s="275"/>
      <c r="AC107" s="275"/>
      <c r="AD107" s="275"/>
      <c r="AE107" s="275"/>
      <c r="AF107" s="275"/>
      <c r="AG107" s="275"/>
      <c r="AH107" s="283"/>
      <c r="AI107" s="283"/>
      <c r="AJ107" s="283"/>
      <c r="AK107" s="283"/>
      <c r="AL107" s="283"/>
      <c r="AM107" s="283"/>
      <c r="AN107" s="283"/>
      <c r="AO107" s="283"/>
      <c r="AP107" s="283"/>
      <c r="AQ107" s="283"/>
      <c r="AR107" s="283"/>
      <c r="AS107" s="283"/>
      <c r="AT107" s="283">
        <f t="shared" ref="AT107:BE107" si="446">+AT106/AP106-1</f>
        <v>7.1186067231739036E-2</v>
      </c>
      <c r="AU107" s="283">
        <f t="shared" si="446"/>
        <v>-5.4959888248777844E-2</v>
      </c>
      <c r="AV107" s="283">
        <f t="shared" si="446"/>
        <v>-0.12890016714806218</v>
      </c>
      <c r="AW107" s="283">
        <f t="shared" si="446"/>
        <v>-0.14112349760900234</v>
      </c>
      <c r="AX107" s="283">
        <f t="shared" si="446"/>
        <v>-1.8560048096563753E-2</v>
      </c>
      <c r="AY107" s="283">
        <f t="shared" si="446"/>
        <v>8.3294046511214637E-2</v>
      </c>
      <c r="AZ107" s="283">
        <f t="shared" si="446"/>
        <v>0.16647280747388282</v>
      </c>
      <c r="BA107" s="283">
        <f t="shared" si="446"/>
        <v>0.21056708766099774</v>
      </c>
      <c r="BB107" s="283">
        <f t="shared" si="446"/>
        <v>0.16844652764679879</v>
      </c>
      <c r="BC107" s="283">
        <f t="shared" si="446"/>
        <v>4.7743432301734723E-2</v>
      </c>
      <c r="BD107" s="283">
        <f t="shared" si="446"/>
        <v>-5.8395757503550083E-2</v>
      </c>
      <c r="BE107" s="283">
        <f t="shared" si="446"/>
        <v>-3.5559448581412134E-2</v>
      </c>
      <c r="BF107" s="283">
        <f t="shared" ref="BF107" si="447">+BF106/BB106-1</f>
        <v>-8.5068579570479308E-2</v>
      </c>
      <c r="BG107" s="283">
        <f t="shared" ref="BG107" si="448">+BG106/BC106-1</f>
        <v>-0.11605968382614884</v>
      </c>
      <c r="BH107" s="283">
        <f t="shared" ref="BH107" si="449">+BH106/BD106-1</f>
        <v>-0.11322764063293933</v>
      </c>
      <c r="BI107" s="283">
        <f t="shared" ref="BI107" si="450">+BI106/BE106-1</f>
        <v>-9.6717885289753891E-2</v>
      </c>
    </row>
    <row r="108" spans="2:63" s="290" customFormat="1">
      <c r="B108" s="298" t="s">
        <v>342</v>
      </c>
      <c r="C108" s="303"/>
      <c r="D108" s="304"/>
      <c r="E108" s="304"/>
      <c r="F108" s="304"/>
      <c r="G108" s="304"/>
      <c r="H108" s="304"/>
      <c r="I108" s="304"/>
      <c r="J108" s="305"/>
      <c r="K108" s="305"/>
      <c r="L108" s="305"/>
      <c r="M108" s="305"/>
      <c r="N108" s="305"/>
      <c r="O108" s="305"/>
      <c r="P108" s="305"/>
      <c r="Q108" s="303"/>
      <c r="R108" s="214"/>
      <c r="S108" s="214"/>
      <c r="T108" s="214"/>
      <c r="U108" s="214"/>
      <c r="V108" s="214"/>
      <c r="W108" s="214"/>
      <c r="X108" s="214"/>
      <c r="Y108" s="214"/>
      <c r="Z108" s="214"/>
      <c r="AA108" s="214"/>
      <c r="AB108" s="214"/>
      <c r="AC108" s="214"/>
      <c r="AD108" s="214"/>
      <c r="AE108" s="214"/>
      <c r="AF108" s="214"/>
      <c r="AG108" s="214"/>
      <c r="AH108" s="214"/>
      <c r="AI108" s="214"/>
      <c r="AJ108" s="214"/>
      <c r="AK108" s="214"/>
      <c r="AL108" s="214"/>
      <c r="AM108" s="214"/>
      <c r="AN108" s="214"/>
      <c r="AO108" s="214"/>
      <c r="AP108" s="303"/>
      <c r="AQ108" s="303">
        <f t="shared" ref="AQ108:BE108" si="451">+AQ106-AP106</f>
        <v>0.95701529595747914</v>
      </c>
      <c r="AR108" s="303">
        <f t="shared" si="451"/>
        <v>0.67466928196262366</v>
      </c>
      <c r="AS108" s="303">
        <f t="shared" si="451"/>
        <v>-0.61651611965464514</v>
      </c>
      <c r="AT108" s="303">
        <f t="shared" si="451"/>
        <v>-0.565512437880896</v>
      </c>
      <c r="AU108" s="303">
        <f t="shared" si="451"/>
        <v>0.10760056415699282</v>
      </c>
      <c r="AV108" s="303">
        <f t="shared" si="451"/>
        <v>4.9888965486829306E-2</v>
      </c>
      <c r="AW108" s="303">
        <f t="shared" si="451"/>
        <v>-0.62666607949262065</v>
      </c>
      <c r="AX108" s="303">
        <f t="shared" si="451"/>
        <v>0.34359396303839507</v>
      </c>
      <c r="AY108" s="303">
        <f t="shared" si="451"/>
        <v>0.80573694770661941</v>
      </c>
      <c r="AZ108" s="303">
        <f t="shared" si="451"/>
        <v>0.62995545863156188</v>
      </c>
      <c r="BA108" s="303">
        <f t="shared" si="451"/>
        <v>-0.45332244874935945</v>
      </c>
      <c r="BB108" s="303">
        <f t="shared" si="451"/>
        <v>0.13623341191888727</v>
      </c>
      <c r="BC108" s="303">
        <f t="shared" si="451"/>
        <v>4.265218200545462E-2</v>
      </c>
      <c r="BD108" s="303">
        <f t="shared" si="451"/>
        <v>-0.19719037560800246</v>
      </c>
      <c r="BE108" s="303">
        <f t="shared" si="451"/>
        <v>-0.25276749087796357</v>
      </c>
      <c r="BF108" s="215">
        <f t="shared" ref="BF108" si="452">+BE108</f>
        <v>-0.25276749087796357</v>
      </c>
      <c r="BG108" s="215">
        <f>+BF108+0.05</f>
        <v>-0.20276749087796359</v>
      </c>
      <c r="BH108" s="215">
        <f t="shared" ref="BH108:BI108" si="453">+BG108+0.05</f>
        <v>-0.1527674908779636</v>
      </c>
      <c r="BI108" s="215">
        <f t="shared" si="453"/>
        <v>-0.10276749087796359</v>
      </c>
    </row>
    <row r="109" spans="2:63" s="271" customFormat="1">
      <c r="B109" s="298" t="s">
        <v>343</v>
      </c>
      <c r="C109" s="275"/>
      <c r="D109" s="282"/>
      <c r="E109" s="303"/>
      <c r="F109" s="303">
        <f>+F106-E106</f>
        <v>-0.44775386751871959</v>
      </c>
      <c r="G109" s="303">
        <f>+G106-F106</f>
        <v>0.82035146988919116</v>
      </c>
      <c r="H109" s="303">
        <f>+H106-G106</f>
        <v>-1.1880028266562981E-2</v>
      </c>
      <c r="I109" s="303">
        <f>+I106-H106</f>
        <v>-0.63071062704604319</v>
      </c>
      <c r="J109" s="215">
        <v>0</v>
      </c>
      <c r="K109" s="215">
        <v>0</v>
      </c>
      <c r="L109" s="215">
        <v>0</v>
      </c>
      <c r="M109" s="215">
        <v>0</v>
      </c>
      <c r="N109" s="215">
        <v>0</v>
      </c>
      <c r="O109" s="215">
        <v>0</v>
      </c>
      <c r="P109" s="215">
        <v>0</v>
      </c>
      <c r="Q109" s="275"/>
      <c r="R109" s="182"/>
      <c r="S109" s="182"/>
      <c r="T109" s="182"/>
      <c r="U109" s="182"/>
      <c r="V109" s="182"/>
      <c r="W109" s="182"/>
      <c r="X109" s="182"/>
      <c r="Y109" s="182"/>
      <c r="Z109" s="182"/>
      <c r="AA109" s="182"/>
      <c r="AB109" s="182"/>
      <c r="AC109" s="182"/>
      <c r="AD109" s="182"/>
      <c r="AE109" s="182"/>
      <c r="AF109" s="182"/>
      <c r="AG109" s="182"/>
      <c r="AH109" s="214"/>
      <c r="AI109" s="214"/>
      <c r="AJ109" s="214"/>
      <c r="AK109" s="214"/>
      <c r="AL109" s="214"/>
      <c r="AM109" s="214"/>
      <c r="AN109" s="214"/>
      <c r="AO109" s="214"/>
      <c r="AP109" s="303"/>
      <c r="AQ109" s="303"/>
      <c r="AR109" s="303"/>
      <c r="AS109" s="303"/>
      <c r="AT109" s="303">
        <f t="shared" ref="AT109:BE109" si="454">+AT106-AP106</f>
        <v>0.44965602038456165</v>
      </c>
      <c r="AU109" s="303">
        <f t="shared" si="454"/>
        <v>-0.39975871141592467</v>
      </c>
      <c r="AV109" s="303">
        <f t="shared" si="454"/>
        <v>-1.024539027891719</v>
      </c>
      <c r="AW109" s="303">
        <f t="shared" si="454"/>
        <v>-1.0346889877296945</v>
      </c>
      <c r="AX109" s="303">
        <f t="shared" si="454"/>
        <v>-0.12558258681040346</v>
      </c>
      <c r="AY109" s="303">
        <f t="shared" si="454"/>
        <v>0.57255379673922313</v>
      </c>
      <c r="AZ109" s="303">
        <f t="shared" si="454"/>
        <v>1.1526202898839557</v>
      </c>
      <c r="BA109" s="303">
        <f t="shared" si="454"/>
        <v>1.3259639206272169</v>
      </c>
      <c r="BB109" s="303">
        <f t="shared" si="454"/>
        <v>1.1186033695077091</v>
      </c>
      <c r="BC109" s="303">
        <f t="shared" si="454"/>
        <v>0.35551860380654432</v>
      </c>
      <c r="BD109" s="303">
        <f t="shared" si="454"/>
        <v>-0.47162723043302002</v>
      </c>
      <c r="BE109" s="303">
        <f t="shared" si="454"/>
        <v>-0.27107227256162414</v>
      </c>
      <c r="BF109" s="303">
        <f t="shared" ref="BF109" si="455">+BF106-BB106</f>
        <v>-0.66007317535847498</v>
      </c>
      <c r="BG109" s="303">
        <f t="shared" ref="BG109" si="456">+BG106-BC106</f>
        <v>-0.90549284824189336</v>
      </c>
      <c r="BH109" s="303">
        <f t="shared" ref="BH109" si="457">+BH106-BD106</f>
        <v>-0.86106996351185483</v>
      </c>
      <c r="BI109" s="303">
        <f t="shared" ref="BI109" si="458">+BI106-BE106</f>
        <v>-0.71106996351185447</v>
      </c>
    </row>
    <row r="110" spans="2:63">
      <c r="C110" s="274"/>
      <c r="Q110" s="274"/>
      <c r="R110" s="168"/>
      <c r="S110" s="168"/>
      <c r="T110" s="168"/>
      <c r="U110" s="168"/>
      <c r="V110" s="168"/>
      <c r="W110" s="168"/>
      <c r="X110" s="168"/>
      <c r="Y110" s="168"/>
      <c r="Z110" s="168"/>
      <c r="AA110" s="168"/>
      <c r="AB110" s="168"/>
      <c r="AC110" s="168"/>
      <c r="AD110" s="168"/>
      <c r="AE110" s="168"/>
      <c r="AF110" s="168"/>
      <c r="AG110" s="168"/>
      <c r="AH110" s="168"/>
      <c r="AI110" s="168"/>
      <c r="AJ110" s="168"/>
      <c r="AK110" s="168"/>
      <c r="AL110" s="161"/>
      <c r="AM110" s="161"/>
      <c r="AN110" s="161"/>
      <c r="AO110" s="161"/>
    </row>
    <row r="111" spans="2:63">
      <c r="B111" s="235" t="s">
        <v>319</v>
      </c>
      <c r="C111" s="274"/>
      <c r="D111" s="236">
        <f>+AO111</f>
        <v>14028</v>
      </c>
      <c r="E111" s="236">
        <f>+AS111</f>
        <v>13855</v>
      </c>
      <c r="F111" s="236">
        <f>+AW111</f>
        <v>13774</v>
      </c>
      <c r="G111" s="236">
        <f>+BA111</f>
        <v>11949</v>
      </c>
      <c r="H111" s="236">
        <f>+BE111</f>
        <v>9366</v>
      </c>
      <c r="I111" s="236">
        <f>+BI111</f>
        <v>7366</v>
      </c>
      <c r="J111" s="236">
        <f>+I111+J112</f>
        <v>7366</v>
      </c>
      <c r="K111" s="236">
        <f t="shared" ref="K111:P111" si="459">+J111+K112</f>
        <v>7366</v>
      </c>
      <c r="L111" s="236">
        <f t="shared" si="459"/>
        <v>7366</v>
      </c>
      <c r="M111" s="236">
        <f t="shared" si="459"/>
        <v>7366</v>
      </c>
      <c r="N111" s="236">
        <f t="shared" si="459"/>
        <v>7366</v>
      </c>
      <c r="O111" s="236">
        <f t="shared" si="459"/>
        <v>7366</v>
      </c>
      <c r="P111" s="236">
        <f t="shared" si="459"/>
        <v>7366</v>
      </c>
      <c r="Q111" s="274"/>
      <c r="R111" s="168"/>
      <c r="S111" s="168"/>
      <c r="T111" s="168"/>
      <c r="U111" s="168"/>
      <c r="V111" s="168"/>
      <c r="W111" s="168"/>
      <c r="X111" s="168"/>
      <c r="Y111" s="168"/>
      <c r="Z111" s="168"/>
      <c r="AA111" s="168"/>
      <c r="AB111" s="168"/>
      <c r="AC111" s="168"/>
      <c r="AD111" s="168"/>
      <c r="AE111" s="168"/>
      <c r="AF111" s="168"/>
      <c r="AG111" s="168"/>
      <c r="AH111" s="168"/>
      <c r="AI111" s="168"/>
      <c r="AJ111" s="168"/>
      <c r="AK111" s="168"/>
      <c r="AL111" s="168"/>
      <c r="AM111" s="168"/>
      <c r="AN111" s="168"/>
      <c r="AO111" s="168">
        <f t="shared" ref="AO111:AV111" si="460">+AO37</f>
        <v>14028</v>
      </c>
      <c r="AP111" s="274">
        <f t="shared" si="460"/>
        <v>13886</v>
      </c>
      <c r="AQ111" s="274">
        <f t="shared" si="460"/>
        <v>13756</v>
      </c>
      <c r="AR111" s="274">
        <f t="shared" si="460"/>
        <v>13884</v>
      </c>
      <c r="AS111" s="274">
        <f t="shared" si="460"/>
        <v>13855</v>
      </c>
      <c r="AT111" s="274">
        <f t="shared" si="460"/>
        <v>13595</v>
      </c>
      <c r="AU111" s="274">
        <f t="shared" si="460"/>
        <v>13506</v>
      </c>
      <c r="AV111" s="274">
        <f t="shared" si="460"/>
        <v>13729</v>
      </c>
      <c r="AW111" s="274">
        <f t="shared" ref="AW111:BB111" si="461">+AW37</f>
        <v>13774</v>
      </c>
      <c r="AX111" s="274">
        <f t="shared" si="461"/>
        <v>13378</v>
      </c>
      <c r="AY111" s="274">
        <f t="shared" si="461"/>
        <v>12920</v>
      </c>
      <c r="AZ111" s="274">
        <f t="shared" si="461"/>
        <v>12624</v>
      </c>
      <c r="BA111" s="274">
        <f t="shared" si="461"/>
        <v>11949</v>
      </c>
      <c r="BB111" s="274">
        <f t="shared" si="461"/>
        <v>10625</v>
      </c>
      <c r="BC111" s="274">
        <f t="shared" ref="BC111:BD111" si="462">+BC37</f>
        <v>10254</v>
      </c>
      <c r="BD111" s="274">
        <f t="shared" si="462"/>
        <v>9877</v>
      </c>
      <c r="BE111" s="274">
        <f t="shared" ref="BE111" si="463">+BE37</f>
        <v>9366</v>
      </c>
      <c r="BF111" s="274">
        <f t="shared" ref="BF111" si="464">+BE111+BF112</f>
        <v>8866</v>
      </c>
      <c r="BG111" s="274">
        <f t="shared" ref="BG111" si="465">+BF111+BG112</f>
        <v>8366</v>
      </c>
      <c r="BH111" s="274">
        <f t="shared" ref="BH111" si="466">+BG111+BH112</f>
        <v>7866</v>
      </c>
      <c r="BI111" s="274">
        <f t="shared" ref="BI111" si="467">+BH111+BI112</f>
        <v>7366</v>
      </c>
    </row>
    <row r="112" spans="2:63" ht="15.75">
      <c r="B112" s="307" t="s">
        <v>117</v>
      </c>
      <c r="C112" s="274"/>
      <c r="D112" s="236">
        <f>SUM(AL112:AO112)</f>
        <v>-123</v>
      </c>
      <c r="E112" s="308">
        <f>+SUM(AP112:AS112)</f>
        <v>-346</v>
      </c>
      <c r="F112" s="295">
        <f>SUM(AT112:AW112)</f>
        <v>-155</v>
      </c>
      <c r="G112" s="295">
        <f>SUM(AX112:BA112)</f>
        <v>-1846</v>
      </c>
      <c r="H112" s="295">
        <f>SUM(BB112:BE112)</f>
        <v>-1871</v>
      </c>
      <c r="I112" s="295">
        <f>SUM(BF112:BI112)</f>
        <v>-2000</v>
      </c>
      <c r="J112" s="220">
        <v>0</v>
      </c>
      <c r="K112" s="220">
        <v>0</v>
      </c>
      <c r="L112" s="220">
        <v>0</v>
      </c>
      <c r="M112" s="220">
        <v>0</v>
      </c>
      <c r="N112" s="220">
        <v>0</v>
      </c>
      <c r="O112" s="220">
        <v>0</v>
      </c>
      <c r="P112" s="220">
        <v>0</v>
      </c>
      <c r="Q112" s="274"/>
      <c r="R112" s="168"/>
      <c r="S112" s="168"/>
      <c r="T112" s="168"/>
      <c r="U112" s="168"/>
      <c r="V112" s="168"/>
      <c r="W112" s="168"/>
      <c r="X112" s="168"/>
      <c r="Y112" s="168"/>
      <c r="Z112" s="168"/>
      <c r="AA112" s="168"/>
      <c r="AB112" s="168"/>
      <c r="AC112" s="168"/>
      <c r="AD112" s="168"/>
      <c r="AE112" s="168"/>
      <c r="AF112" s="168"/>
      <c r="AG112" s="168"/>
      <c r="AH112" s="168"/>
      <c r="AI112" s="168"/>
      <c r="AJ112" s="168"/>
      <c r="AK112" s="168"/>
      <c r="AL112" s="168"/>
      <c r="AM112" s="168"/>
      <c r="AN112" s="168"/>
      <c r="AO112" s="168">
        <f t="shared" ref="AO112:AV112" si="468">+AO43</f>
        <v>-123</v>
      </c>
      <c r="AP112" s="274">
        <f t="shared" si="468"/>
        <v>-206</v>
      </c>
      <c r="AQ112" s="274">
        <f t="shared" si="468"/>
        <v>-162</v>
      </c>
      <c r="AR112" s="274">
        <f t="shared" si="468"/>
        <v>87</v>
      </c>
      <c r="AS112" s="274">
        <f t="shared" si="468"/>
        <v>-65</v>
      </c>
      <c r="AT112" s="274">
        <f t="shared" si="468"/>
        <v>-266</v>
      </c>
      <c r="AU112" s="274">
        <f t="shared" si="468"/>
        <v>-95</v>
      </c>
      <c r="AV112" s="274">
        <f t="shared" si="468"/>
        <v>156</v>
      </c>
      <c r="AW112" s="274">
        <f t="shared" ref="AW112:BB112" si="469">+AW43</f>
        <v>50</v>
      </c>
      <c r="AX112" s="274">
        <f t="shared" si="469"/>
        <v>-400</v>
      </c>
      <c r="AY112" s="274">
        <f t="shared" si="469"/>
        <v>-459</v>
      </c>
      <c r="AZ112" s="274">
        <f t="shared" si="469"/>
        <v>-315</v>
      </c>
      <c r="BA112" s="274">
        <f t="shared" si="469"/>
        <v>-672</v>
      </c>
      <c r="BB112" s="274">
        <f t="shared" si="469"/>
        <v>-582</v>
      </c>
      <c r="BC112" s="274">
        <f t="shared" ref="BC112:BD112" si="470">+BC43</f>
        <v>-368</v>
      </c>
      <c r="BD112" s="274">
        <f t="shared" si="470"/>
        <v>-392</v>
      </c>
      <c r="BE112" s="274">
        <f t="shared" ref="BE112" si="471">+BE43</f>
        <v>-529</v>
      </c>
      <c r="BF112" s="220">
        <v>-500</v>
      </c>
      <c r="BG112" s="220">
        <v>-500</v>
      </c>
      <c r="BH112" s="220">
        <v>-500</v>
      </c>
      <c r="BI112" s="220">
        <v>-500</v>
      </c>
      <c r="BK112" s="152"/>
    </row>
    <row r="113" spans="2:63">
      <c r="B113" s="235" t="s">
        <v>36</v>
      </c>
      <c r="C113" s="274"/>
      <c r="D113" s="236">
        <f>+AO113</f>
        <v>17893</v>
      </c>
      <c r="E113" s="236">
        <f>+AS113</f>
        <v>20964</v>
      </c>
      <c r="F113" s="236">
        <f>+AW113</f>
        <v>26213</v>
      </c>
      <c r="G113" s="236">
        <f>+BA113</f>
        <v>31591</v>
      </c>
      <c r="H113" s="236">
        <f>+BE113</f>
        <v>38991</v>
      </c>
      <c r="I113" s="236">
        <f>+BI113</f>
        <v>43991</v>
      </c>
      <c r="J113" s="236">
        <f>+I113+J114</f>
        <v>48991</v>
      </c>
      <c r="K113" s="236">
        <f t="shared" ref="K113:P113" si="472">+J113+K114</f>
        <v>53991</v>
      </c>
      <c r="L113" s="236">
        <f t="shared" si="472"/>
        <v>58991</v>
      </c>
      <c r="M113" s="236">
        <f t="shared" si="472"/>
        <v>63991</v>
      </c>
      <c r="N113" s="236">
        <f t="shared" si="472"/>
        <v>68991</v>
      </c>
      <c r="O113" s="236">
        <f t="shared" si="472"/>
        <v>73991</v>
      </c>
      <c r="P113" s="236">
        <f t="shared" si="472"/>
        <v>78991</v>
      </c>
      <c r="Q113" s="274"/>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f t="shared" ref="AO113:AV113" si="473">+AO38</f>
        <v>17893</v>
      </c>
      <c r="AP113" s="274">
        <f t="shared" si="473"/>
        <v>18426</v>
      </c>
      <c r="AQ113" s="274">
        <f t="shared" si="473"/>
        <v>18464</v>
      </c>
      <c r="AR113" s="274">
        <f t="shared" si="473"/>
        <v>19635</v>
      </c>
      <c r="AS113" s="274">
        <f t="shared" si="473"/>
        <v>20964</v>
      </c>
      <c r="AT113" s="274">
        <f t="shared" si="473"/>
        <v>21965</v>
      </c>
      <c r="AU113" s="274">
        <f t="shared" si="473"/>
        <v>23417</v>
      </c>
      <c r="AV113" s="274">
        <f t="shared" si="473"/>
        <v>25018</v>
      </c>
      <c r="AW113" s="274">
        <f t="shared" ref="AW113:BB113" si="474">+AW38</f>
        <v>26213</v>
      </c>
      <c r="AX113" s="274">
        <f t="shared" si="474"/>
        <v>27758</v>
      </c>
      <c r="AY113" s="274">
        <f t="shared" si="474"/>
        <v>28957</v>
      </c>
      <c r="AZ113" s="274">
        <f t="shared" si="474"/>
        <v>30291</v>
      </c>
      <c r="BA113" s="274">
        <f t="shared" si="474"/>
        <v>31591</v>
      </c>
      <c r="BB113" s="274">
        <f t="shared" si="474"/>
        <v>32400</v>
      </c>
      <c r="BC113" s="274">
        <f t="shared" ref="BC113:BD113" si="475">+BC38</f>
        <v>34658</v>
      </c>
      <c r="BD113" s="274">
        <f t="shared" si="475"/>
        <v>36398</v>
      </c>
      <c r="BE113" s="274">
        <f t="shared" ref="BE113" si="476">+BE38</f>
        <v>38991</v>
      </c>
      <c r="BF113" s="274">
        <f t="shared" ref="BF113" si="477">+BE113+BF114</f>
        <v>40241</v>
      </c>
      <c r="BG113" s="274">
        <f t="shared" ref="BG113" si="478">+BF113+BG114</f>
        <v>41491</v>
      </c>
      <c r="BH113" s="274">
        <f t="shared" ref="BH113" si="479">+BG113+BH114</f>
        <v>42741</v>
      </c>
      <c r="BI113" s="274">
        <f t="shared" ref="BI113" si="480">+BH113+BI114</f>
        <v>43991</v>
      </c>
    </row>
    <row r="114" spans="2:63" ht="15.75">
      <c r="B114" s="307" t="s">
        <v>117</v>
      </c>
      <c r="C114" s="274"/>
      <c r="D114" s="236">
        <f>SUM(AL114:AO114)</f>
        <v>294</v>
      </c>
      <c r="E114" s="308">
        <f>+SUM(AP114:AS114)</f>
        <v>2975</v>
      </c>
      <c r="F114" s="295">
        <f>SUM(AT114:AW114)</f>
        <v>5184</v>
      </c>
      <c r="G114" s="295">
        <f>SUM(AX114:BA114)</f>
        <v>5349</v>
      </c>
      <c r="H114" s="295">
        <f>SUM(BB114:BE114)</f>
        <v>9691</v>
      </c>
      <c r="I114" s="295">
        <f>SUM(BF114:BI114)</f>
        <v>5000</v>
      </c>
      <c r="J114" s="220">
        <f>+I114</f>
        <v>5000</v>
      </c>
      <c r="K114" s="220">
        <f t="shared" ref="K114:P114" si="481">+J114</f>
        <v>5000</v>
      </c>
      <c r="L114" s="220">
        <f t="shared" si="481"/>
        <v>5000</v>
      </c>
      <c r="M114" s="220">
        <f t="shared" si="481"/>
        <v>5000</v>
      </c>
      <c r="N114" s="220">
        <f t="shared" si="481"/>
        <v>5000</v>
      </c>
      <c r="O114" s="220">
        <f t="shared" si="481"/>
        <v>5000</v>
      </c>
      <c r="P114" s="220">
        <f t="shared" si="481"/>
        <v>5000</v>
      </c>
      <c r="Q114" s="274"/>
      <c r="R114" s="168"/>
      <c r="S114" s="168"/>
      <c r="T114" s="168"/>
      <c r="U114" s="168"/>
      <c r="V114" s="168"/>
      <c r="W114" s="168"/>
      <c r="X114" s="168"/>
      <c r="Y114" s="168"/>
      <c r="Z114" s="168"/>
      <c r="AA114" s="168"/>
      <c r="AB114" s="168"/>
      <c r="AC114" s="168"/>
      <c r="AD114" s="168"/>
      <c r="AE114" s="168"/>
      <c r="AF114" s="168"/>
      <c r="AG114" s="168"/>
      <c r="AH114" s="168"/>
      <c r="AI114" s="168"/>
      <c r="AJ114" s="168"/>
      <c r="AK114" s="168"/>
      <c r="AL114" s="168"/>
      <c r="AM114" s="168"/>
      <c r="AN114" s="168"/>
      <c r="AO114" s="168">
        <f t="shared" ref="AO114:AV114" si="482">+AO44</f>
        <v>294</v>
      </c>
      <c r="AP114" s="274">
        <f t="shared" si="482"/>
        <v>555</v>
      </c>
      <c r="AQ114" s="274">
        <f t="shared" si="482"/>
        <v>56</v>
      </c>
      <c r="AR114" s="274">
        <f t="shared" si="482"/>
        <v>1182</v>
      </c>
      <c r="AS114" s="274">
        <f t="shared" si="482"/>
        <v>1182</v>
      </c>
      <c r="AT114" s="274">
        <f t="shared" si="482"/>
        <v>945</v>
      </c>
      <c r="AU114" s="274">
        <f t="shared" si="482"/>
        <v>1448</v>
      </c>
      <c r="AV114" s="274">
        <f t="shared" si="482"/>
        <v>1602</v>
      </c>
      <c r="AW114" s="274">
        <f t="shared" ref="AW114:BB114" si="483">+AW44</f>
        <v>1189</v>
      </c>
      <c r="AX114" s="274">
        <f t="shared" si="483"/>
        <v>1552</v>
      </c>
      <c r="AY114" s="274">
        <f t="shared" si="483"/>
        <v>1198</v>
      </c>
      <c r="AZ114" s="274">
        <f t="shared" si="483"/>
        <v>1331</v>
      </c>
      <c r="BA114" s="274">
        <f t="shared" si="483"/>
        <v>1268</v>
      </c>
      <c r="BB114" s="274">
        <f t="shared" si="483"/>
        <v>2572</v>
      </c>
      <c r="BC114" s="274">
        <f t="shared" ref="BC114:BD114" si="484">+BC44</f>
        <v>2256</v>
      </c>
      <c r="BD114" s="274">
        <f t="shared" si="484"/>
        <v>2274</v>
      </c>
      <c r="BE114" s="274">
        <f t="shared" ref="BE114" si="485">+BE44</f>
        <v>2589</v>
      </c>
      <c r="BF114" s="220">
        <v>1250</v>
      </c>
      <c r="BG114" s="220">
        <v>1250</v>
      </c>
      <c r="BH114" s="220">
        <v>1250</v>
      </c>
      <c r="BI114" s="220">
        <v>1250</v>
      </c>
      <c r="BK114" s="152"/>
    </row>
    <row r="115" spans="2:63">
      <c r="B115" s="235" t="s">
        <v>320</v>
      </c>
      <c r="C115" s="274"/>
      <c r="D115" s="274">
        <f>D111+D113</f>
        <v>31921</v>
      </c>
      <c r="E115" s="274">
        <f t="shared" ref="E115:J115" si="486">E111+E113</f>
        <v>34819</v>
      </c>
      <c r="F115" s="274">
        <f t="shared" si="486"/>
        <v>39987</v>
      </c>
      <c r="G115" s="274">
        <f t="shared" ref="G115:I116" si="487">G111+G113</f>
        <v>43540</v>
      </c>
      <c r="H115" s="274">
        <f t="shared" si="487"/>
        <v>48357</v>
      </c>
      <c r="I115" s="274">
        <f t="shared" si="487"/>
        <v>51357</v>
      </c>
      <c r="J115" s="274">
        <f t="shared" si="486"/>
        <v>56357</v>
      </c>
      <c r="K115" s="274">
        <f t="shared" ref="K115:P115" si="488">K111+K113</f>
        <v>61357</v>
      </c>
      <c r="L115" s="274">
        <f t="shared" si="488"/>
        <v>66357</v>
      </c>
      <c r="M115" s="274">
        <f t="shared" si="488"/>
        <v>71357</v>
      </c>
      <c r="N115" s="274">
        <f t="shared" si="488"/>
        <v>76357</v>
      </c>
      <c r="O115" s="274">
        <f t="shared" si="488"/>
        <v>81357</v>
      </c>
      <c r="P115" s="274">
        <f t="shared" si="488"/>
        <v>86357</v>
      </c>
      <c r="Q115" s="274"/>
      <c r="R115" s="168"/>
      <c r="S115" s="168"/>
      <c r="T115" s="168"/>
      <c r="U115" s="168"/>
      <c r="V115" s="168"/>
      <c r="W115" s="168"/>
      <c r="X115" s="168"/>
      <c r="Y115" s="168"/>
      <c r="Z115" s="168"/>
      <c r="AA115" s="168"/>
      <c r="AB115" s="168"/>
      <c r="AC115" s="168"/>
      <c r="AD115" s="168"/>
      <c r="AE115" s="168"/>
      <c r="AF115" s="168"/>
      <c r="AG115" s="168"/>
      <c r="AH115" s="168"/>
      <c r="AI115" s="168"/>
      <c r="AJ115" s="168"/>
      <c r="AK115" s="168"/>
      <c r="AL115" s="168"/>
      <c r="AM115" s="168"/>
      <c r="AN115" s="168"/>
      <c r="AO115" s="168">
        <f t="shared" ref="AO115:AU115" si="489">AO111+AO113</f>
        <v>31921</v>
      </c>
      <c r="AP115" s="274">
        <f t="shared" si="489"/>
        <v>32312</v>
      </c>
      <c r="AQ115" s="274">
        <f t="shared" si="489"/>
        <v>32220</v>
      </c>
      <c r="AR115" s="274">
        <f t="shared" si="489"/>
        <v>33519</v>
      </c>
      <c r="AS115" s="274">
        <f t="shared" si="489"/>
        <v>34819</v>
      </c>
      <c r="AT115" s="274">
        <f t="shared" si="489"/>
        <v>35560</v>
      </c>
      <c r="AU115" s="274">
        <f t="shared" si="489"/>
        <v>36923</v>
      </c>
      <c r="AV115" s="274">
        <f t="shared" ref="AV115:AW116" si="490">AV111+AV113</f>
        <v>38747</v>
      </c>
      <c r="AW115" s="274">
        <f t="shared" si="490"/>
        <v>39987</v>
      </c>
      <c r="AX115" s="274">
        <f t="shared" ref="AX115:AZ116" si="491">AX111+AX113</f>
        <v>41136</v>
      </c>
      <c r="AY115" s="274">
        <f t="shared" si="491"/>
        <v>41877</v>
      </c>
      <c r="AZ115" s="274">
        <f t="shared" si="491"/>
        <v>42915</v>
      </c>
      <c r="BA115" s="274">
        <f t="shared" ref="BA115:BB115" si="492">BA111+BA113</f>
        <v>43540</v>
      </c>
      <c r="BB115" s="274">
        <f t="shared" si="492"/>
        <v>43025</v>
      </c>
      <c r="BC115" s="274">
        <f t="shared" ref="BC115:BD115" si="493">BC111+BC113</f>
        <v>44912</v>
      </c>
      <c r="BD115" s="274">
        <f t="shared" si="493"/>
        <v>46275</v>
      </c>
      <c r="BE115" s="274">
        <f t="shared" ref="BE115" si="494">BE111+BE113</f>
        <v>48357</v>
      </c>
      <c r="BF115" s="274">
        <f t="shared" ref="BF115:BI115" si="495">BF111+BF113</f>
        <v>49107</v>
      </c>
      <c r="BG115" s="274">
        <f t="shared" si="495"/>
        <v>49857</v>
      </c>
      <c r="BH115" s="274">
        <f t="shared" si="495"/>
        <v>50607</v>
      </c>
      <c r="BI115" s="274">
        <f t="shared" si="495"/>
        <v>51357</v>
      </c>
    </row>
    <row r="116" spans="2:63" s="240" customFormat="1">
      <c r="B116" s="296" t="s">
        <v>117</v>
      </c>
      <c r="C116" s="247"/>
      <c r="D116" s="247">
        <f>D112+D114</f>
        <v>171</v>
      </c>
      <c r="E116" s="247">
        <f t="shared" ref="E116:J116" si="496">E112+E114</f>
        <v>2629</v>
      </c>
      <c r="F116" s="247">
        <f t="shared" si="496"/>
        <v>5029</v>
      </c>
      <c r="G116" s="247">
        <f t="shared" si="487"/>
        <v>3503</v>
      </c>
      <c r="H116" s="247">
        <f t="shared" si="487"/>
        <v>7820</v>
      </c>
      <c r="I116" s="247">
        <f t="shared" si="487"/>
        <v>3000</v>
      </c>
      <c r="J116" s="247">
        <f t="shared" si="496"/>
        <v>5000</v>
      </c>
      <c r="K116" s="247">
        <f t="shared" ref="K116:P116" si="497">K112+K114</f>
        <v>5000</v>
      </c>
      <c r="L116" s="247">
        <f t="shared" si="497"/>
        <v>5000</v>
      </c>
      <c r="M116" s="247">
        <f t="shared" si="497"/>
        <v>5000</v>
      </c>
      <c r="N116" s="247">
        <f t="shared" si="497"/>
        <v>5000</v>
      </c>
      <c r="O116" s="247">
        <f t="shared" si="497"/>
        <v>5000</v>
      </c>
      <c r="P116" s="247">
        <f t="shared" si="497"/>
        <v>5000</v>
      </c>
      <c r="Q116" s="247"/>
      <c r="R116" s="167"/>
      <c r="S116" s="167"/>
      <c r="T116" s="167"/>
      <c r="U116" s="167"/>
      <c r="V116" s="167"/>
      <c r="W116" s="167"/>
      <c r="X116" s="167"/>
      <c r="Y116" s="167"/>
      <c r="Z116" s="167"/>
      <c r="AA116" s="167"/>
      <c r="AB116" s="167"/>
      <c r="AC116" s="167"/>
      <c r="AD116" s="167"/>
      <c r="AE116" s="167"/>
      <c r="AF116" s="167"/>
      <c r="AG116" s="167"/>
      <c r="AH116" s="167"/>
      <c r="AI116" s="167"/>
      <c r="AJ116" s="167"/>
      <c r="AK116" s="167"/>
      <c r="AL116" s="167"/>
      <c r="AM116" s="167"/>
      <c r="AN116" s="167"/>
      <c r="AO116" s="167">
        <f t="shared" ref="AO116:AU116" si="498">AO112+AO114</f>
        <v>171</v>
      </c>
      <c r="AP116" s="247">
        <f t="shared" si="498"/>
        <v>349</v>
      </c>
      <c r="AQ116" s="247">
        <f t="shared" si="498"/>
        <v>-106</v>
      </c>
      <c r="AR116" s="247">
        <f t="shared" si="498"/>
        <v>1269</v>
      </c>
      <c r="AS116" s="247">
        <f t="shared" si="498"/>
        <v>1117</v>
      </c>
      <c r="AT116" s="247">
        <f t="shared" si="498"/>
        <v>679</v>
      </c>
      <c r="AU116" s="247">
        <f t="shared" si="498"/>
        <v>1353</v>
      </c>
      <c r="AV116" s="247">
        <f t="shared" si="490"/>
        <v>1758</v>
      </c>
      <c r="AW116" s="247">
        <f t="shared" si="490"/>
        <v>1239</v>
      </c>
      <c r="AX116" s="247">
        <f t="shared" si="491"/>
        <v>1152</v>
      </c>
      <c r="AY116" s="247">
        <f t="shared" si="491"/>
        <v>739</v>
      </c>
      <c r="AZ116" s="247">
        <f t="shared" si="491"/>
        <v>1016</v>
      </c>
      <c r="BA116" s="247">
        <f t="shared" ref="BA116:BB116" si="499">BA112+BA114</f>
        <v>596</v>
      </c>
      <c r="BB116" s="247">
        <f t="shared" si="499"/>
        <v>1990</v>
      </c>
      <c r="BC116" s="247">
        <f t="shared" ref="BC116:BD116" si="500">BC112+BC114</f>
        <v>1888</v>
      </c>
      <c r="BD116" s="247">
        <f t="shared" si="500"/>
        <v>1882</v>
      </c>
      <c r="BE116" s="247">
        <f t="shared" ref="BE116" si="501">BE112+BE114</f>
        <v>2060</v>
      </c>
      <c r="BF116" s="247">
        <f t="shared" ref="BF116:BI116" si="502">BF112+BF114</f>
        <v>750</v>
      </c>
      <c r="BG116" s="247">
        <f t="shared" si="502"/>
        <v>750</v>
      </c>
      <c r="BH116" s="247">
        <f t="shared" si="502"/>
        <v>750</v>
      </c>
      <c r="BI116" s="247">
        <f t="shared" si="502"/>
        <v>750</v>
      </c>
    </row>
    <row r="117" spans="2:63" ht="15.75" thickBot="1">
      <c r="C117" s="274"/>
      <c r="Q117" s="274"/>
      <c r="R117" s="168"/>
      <c r="S117" s="168"/>
      <c r="T117" s="168"/>
      <c r="U117" s="168"/>
      <c r="V117" s="168"/>
      <c r="W117" s="168"/>
      <c r="X117" s="168"/>
      <c r="Y117" s="168"/>
      <c r="Z117" s="168"/>
      <c r="AA117" s="168"/>
      <c r="AB117" s="168"/>
      <c r="AC117" s="168"/>
      <c r="AD117" s="168"/>
      <c r="AE117" s="168"/>
      <c r="AF117" s="168"/>
      <c r="AG117" s="168"/>
      <c r="AH117" s="168"/>
      <c r="AI117" s="168"/>
      <c r="AJ117" s="168"/>
      <c r="AK117" s="168"/>
      <c r="AL117" s="161"/>
      <c r="AM117" s="161"/>
      <c r="AN117" s="161"/>
      <c r="AO117" s="161"/>
    </row>
    <row r="118" spans="2:63" s="251" customFormat="1" ht="15.75" thickBot="1">
      <c r="B118" s="194" t="s">
        <v>254</v>
      </c>
      <c r="C118" s="163"/>
      <c r="D118" s="195">
        <f>+D$6</f>
        <v>2013</v>
      </c>
      <c r="E118" s="196">
        <f t="shared" ref="E118:P118" si="503">+E$6</f>
        <v>2014</v>
      </c>
      <c r="F118" s="196">
        <f t="shared" si="503"/>
        <v>2015</v>
      </c>
      <c r="G118" s="196">
        <f t="shared" si="503"/>
        <v>2016</v>
      </c>
      <c r="H118" s="196">
        <f t="shared" si="503"/>
        <v>2017</v>
      </c>
      <c r="I118" s="196" t="str">
        <f t="shared" si="503"/>
        <v>2018E</v>
      </c>
      <c r="J118" s="196" t="str">
        <f t="shared" si="503"/>
        <v>2019E</v>
      </c>
      <c r="K118" s="196" t="str">
        <f t="shared" si="503"/>
        <v>2020E</v>
      </c>
      <c r="L118" s="196" t="str">
        <f t="shared" si="503"/>
        <v>2021E</v>
      </c>
      <c r="M118" s="196" t="str">
        <f t="shared" si="503"/>
        <v>2022E</v>
      </c>
      <c r="N118" s="196" t="str">
        <f t="shared" si="503"/>
        <v>2023E</v>
      </c>
      <c r="O118" s="196" t="str">
        <f t="shared" si="503"/>
        <v>2024E</v>
      </c>
      <c r="P118" s="197" t="str">
        <f t="shared" si="503"/>
        <v>2025E</v>
      </c>
      <c r="Q118" s="318"/>
      <c r="R118" s="196" t="s">
        <v>228</v>
      </c>
      <c r="S118" s="196" t="s">
        <v>229</v>
      </c>
      <c r="T118" s="196" t="s">
        <v>230</v>
      </c>
      <c r="U118" s="196" t="s">
        <v>231</v>
      </c>
      <c r="V118" s="196" t="s">
        <v>232</v>
      </c>
      <c r="W118" s="196" t="s">
        <v>233</v>
      </c>
      <c r="X118" s="196" t="s">
        <v>234</v>
      </c>
      <c r="Y118" s="196" t="s">
        <v>235</v>
      </c>
      <c r="Z118" s="196" t="s">
        <v>236</v>
      </c>
      <c r="AA118" s="196" t="s">
        <v>237</v>
      </c>
      <c r="AB118" s="196" t="s">
        <v>238</v>
      </c>
      <c r="AC118" s="196" t="s">
        <v>239</v>
      </c>
      <c r="AD118" s="196" t="s">
        <v>240</v>
      </c>
      <c r="AE118" s="196" t="s">
        <v>241</v>
      </c>
      <c r="AF118" s="196" t="s">
        <v>242</v>
      </c>
      <c r="AG118" s="196" t="s">
        <v>243</v>
      </c>
      <c r="AH118" s="196" t="s">
        <v>244</v>
      </c>
      <c r="AI118" s="196" t="s">
        <v>245</v>
      </c>
      <c r="AJ118" s="196" t="s">
        <v>246</v>
      </c>
      <c r="AK118" s="196" t="s">
        <v>247</v>
      </c>
      <c r="AL118" s="196" t="s">
        <v>248</v>
      </c>
      <c r="AM118" s="196" t="s">
        <v>249</v>
      </c>
      <c r="AN118" s="196" t="s">
        <v>250</v>
      </c>
      <c r="AO118" s="196" t="s">
        <v>251</v>
      </c>
      <c r="AP118" s="196" t="s">
        <v>156</v>
      </c>
      <c r="AQ118" s="196" t="s">
        <v>157</v>
      </c>
      <c r="AR118" s="196" t="s">
        <v>158</v>
      </c>
      <c r="AS118" s="196" t="s">
        <v>159</v>
      </c>
      <c r="AT118" s="196" t="str">
        <f>+AT$6</f>
        <v>1Q15</v>
      </c>
      <c r="AU118" s="196" t="str">
        <f t="shared" ref="AU118:BI118" si="504">+AU$6</f>
        <v>2Q15</v>
      </c>
      <c r="AV118" s="196" t="str">
        <f t="shared" si="504"/>
        <v>3Q15</v>
      </c>
      <c r="AW118" s="196" t="str">
        <f t="shared" si="504"/>
        <v>4Q15</v>
      </c>
      <c r="AX118" s="196" t="str">
        <f t="shared" si="504"/>
        <v>1Q16</v>
      </c>
      <c r="AY118" s="196" t="str">
        <f t="shared" si="504"/>
        <v>2Q16</v>
      </c>
      <c r="AZ118" s="196" t="str">
        <f t="shared" si="504"/>
        <v>3Q16</v>
      </c>
      <c r="BA118" s="196" t="str">
        <f t="shared" si="504"/>
        <v>4Q16</v>
      </c>
      <c r="BB118" s="196" t="str">
        <f t="shared" si="504"/>
        <v>1Q17</v>
      </c>
      <c r="BC118" s="196" t="str">
        <f t="shared" si="504"/>
        <v>2Q17</v>
      </c>
      <c r="BD118" s="196" t="str">
        <f t="shared" si="504"/>
        <v>3Q17</v>
      </c>
      <c r="BE118" s="196" t="str">
        <f t="shared" si="504"/>
        <v>4Q17</v>
      </c>
      <c r="BF118" s="196" t="str">
        <f t="shared" si="504"/>
        <v>1Q18E</v>
      </c>
      <c r="BG118" s="196" t="str">
        <f t="shared" si="504"/>
        <v>2Q18E</v>
      </c>
      <c r="BH118" s="196" t="str">
        <f t="shared" si="504"/>
        <v>3Q18E</v>
      </c>
      <c r="BI118" s="197" t="str">
        <f t="shared" si="504"/>
        <v>4Q18E</v>
      </c>
    </row>
    <row r="119" spans="2:63">
      <c r="C119" s="274"/>
      <c r="Q119" s="274"/>
      <c r="R119" s="274"/>
      <c r="S119" s="274"/>
      <c r="T119" s="274"/>
      <c r="U119" s="274"/>
      <c r="V119" s="274"/>
      <c r="W119" s="274"/>
      <c r="X119" s="274"/>
      <c r="Y119" s="274"/>
      <c r="Z119" s="274"/>
      <c r="AA119" s="274"/>
      <c r="AB119" s="274"/>
      <c r="AC119" s="274"/>
      <c r="AD119" s="274"/>
      <c r="AE119" s="274"/>
      <c r="AF119" s="274"/>
      <c r="AG119" s="274"/>
      <c r="AH119" s="274"/>
      <c r="AI119" s="274"/>
      <c r="AJ119" s="274"/>
      <c r="AK119" s="274"/>
    </row>
    <row r="120" spans="2:63">
      <c r="B120" s="235" t="s">
        <v>37</v>
      </c>
      <c r="D120" s="236">
        <f>SUM(AL120:AO120)</f>
        <v>10861.331700000001</v>
      </c>
      <c r="E120" s="308">
        <f>+SUM(AP120:AS120)</f>
        <v>12516.649100000001</v>
      </c>
      <c r="F120" s="295">
        <f>SUM(AT120:AW120)</f>
        <v>11692.129899999998</v>
      </c>
      <c r="G120" s="295">
        <f>SUM(AX120:BA120)</f>
        <v>11046.2423</v>
      </c>
      <c r="H120" s="295">
        <f>SUM(BB120:BE120)</f>
        <v>10638.348900000001</v>
      </c>
      <c r="I120" s="295">
        <f>SUM(BF120:BI120)</f>
        <v>10574.77709125</v>
      </c>
      <c r="J120" s="295">
        <f>+J78</f>
        <v>10474.77709125</v>
      </c>
      <c r="K120" s="295">
        <f t="shared" ref="K120:P120" si="505">+K78</f>
        <v>10374.77709125</v>
      </c>
      <c r="L120" s="295">
        <f t="shared" si="505"/>
        <v>10274.77709125</v>
      </c>
      <c r="M120" s="295">
        <f t="shared" si="505"/>
        <v>10174.77709125</v>
      </c>
      <c r="N120" s="295">
        <f t="shared" si="505"/>
        <v>10074.77709125</v>
      </c>
      <c r="O120" s="295">
        <f t="shared" si="505"/>
        <v>9974.77709125</v>
      </c>
      <c r="P120" s="295">
        <f t="shared" si="505"/>
        <v>9874.77709125</v>
      </c>
      <c r="AC120" s="236">
        <f>+AC78</f>
        <v>2741.3252499999999</v>
      </c>
      <c r="AD120" s="236">
        <f t="shared" ref="AD120:AV120" si="506">+AD78</f>
        <v>2471.0230999999999</v>
      </c>
      <c r="AE120" s="236">
        <f t="shared" si="506"/>
        <v>2684.1587500000001</v>
      </c>
      <c r="AF120" s="236">
        <f t="shared" si="506"/>
        <v>2681.68075</v>
      </c>
      <c r="AG120" s="236">
        <f t="shared" si="506"/>
        <v>3220.3024499999997</v>
      </c>
      <c r="AH120" s="236">
        <f t="shared" si="506"/>
        <v>2475.7479999999996</v>
      </c>
      <c r="AI120" s="236">
        <f t="shared" si="506"/>
        <v>2343.4539500000001</v>
      </c>
      <c r="AJ120" s="236">
        <f t="shared" si="506"/>
        <v>2409.4906000000001</v>
      </c>
      <c r="AK120" s="236">
        <f t="shared" si="506"/>
        <v>3283.3554000000004</v>
      </c>
      <c r="AL120" s="236">
        <f t="shared" si="506"/>
        <v>2499.4376000000002</v>
      </c>
      <c r="AM120" s="236">
        <f t="shared" si="506"/>
        <v>2724.0131000000001</v>
      </c>
      <c r="AN120" s="236">
        <f t="shared" si="506"/>
        <v>2663.1255000000001</v>
      </c>
      <c r="AO120" s="236">
        <f t="shared" si="506"/>
        <v>2974.7555000000002</v>
      </c>
      <c r="AP120" s="236">
        <f t="shared" si="506"/>
        <v>2967.1604499999999</v>
      </c>
      <c r="AQ120" s="236">
        <f t="shared" si="506"/>
        <v>2930.3366999999998</v>
      </c>
      <c r="AR120" s="236">
        <f t="shared" si="506"/>
        <v>3004.1394500000001</v>
      </c>
      <c r="AS120" s="236">
        <f t="shared" si="506"/>
        <v>3615.0125000000003</v>
      </c>
      <c r="AT120" s="236">
        <f t="shared" si="506"/>
        <v>2765.7585000000004</v>
      </c>
      <c r="AU120" s="236">
        <f t="shared" si="506"/>
        <v>2723.6473999999998</v>
      </c>
      <c r="AV120" s="236">
        <f t="shared" si="506"/>
        <v>2954.8887999999997</v>
      </c>
      <c r="AW120" s="236">
        <f t="shared" ref="AW120:BA120" si="507">+AW78</f>
        <v>3247.8352</v>
      </c>
      <c r="AX120" s="236">
        <f t="shared" si="507"/>
        <v>2674.0095000000001</v>
      </c>
      <c r="AY120" s="236">
        <f t="shared" si="507"/>
        <v>2504.0001499999998</v>
      </c>
      <c r="AZ120" s="236">
        <f t="shared" si="507"/>
        <v>2648.2572500000001</v>
      </c>
      <c r="BA120" s="236">
        <f t="shared" si="507"/>
        <v>3219.9753999999998</v>
      </c>
      <c r="BB120" s="236">
        <f t="shared" ref="BB120:BC120" si="508">+BB78</f>
        <v>2415.2175999999999</v>
      </c>
      <c r="BC120" s="236">
        <f t="shared" si="508"/>
        <v>2471.4624999999996</v>
      </c>
      <c r="BD120" s="236">
        <f t="shared" ref="BD120:BE120" si="509">+BD78</f>
        <v>2601.7968000000001</v>
      </c>
      <c r="BE120" s="236">
        <f t="shared" si="509"/>
        <v>3149.8720000000003</v>
      </c>
      <c r="BF120" s="236">
        <f t="shared" ref="BF120:BI120" si="510">+BF78</f>
        <v>2391.0654239999999</v>
      </c>
      <c r="BG120" s="236">
        <f t="shared" si="510"/>
        <v>2452.9265312499997</v>
      </c>
      <c r="BH120" s="236">
        <f t="shared" si="510"/>
        <v>2588.787816</v>
      </c>
      <c r="BI120" s="236">
        <f t="shared" si="510"/>
        <v>3141.9973200000004</v>
      </c>
    </row>
    <row r="121" spans="2:63">
      <c r="B121" s="235" t="s">
        <v>322</v>
      </c>
      <c r="D121" s="236">
        <f>SUM(AL121:AO121)</f>
        <v>21639.010999999999</v>
      </c>
      <c r="E121" s="308">
        <f>+SUM(AP121:AS121)</f>
        <v>23103.239999999998</v>
      </c>
      <c r="F121" s="295">
        <f>SUM(AT121:AW121)</f>
        <v>19608.803</v>
      </c>
      <c r="G121" s="295">
        <f>SUM(AX121:BA121)</f>
        <v>16221.087</v>
      </c>
      <c r="H121" s="295">
        <f>SUM(BB121:BE121)</f>
        <v>14642.535</v>
      </c>
      <c r="I121" s="295">
        <f ca="1">SUM(BF121:BI121)</f>
        <v>14731.803869678146</v>
      </c>
      <c r="J121" s="274">
        <f ca="1">+I67*J122</f>
        <v>14719.764866025305</v>
      </c>
      <c r="K121" s="274">
        <f t="shared" ref="K121:P121" ca="1" si="511">+J67*K122</f>
        <v>14653.966866564513</v>
      </c>
      <c r="L121" s="274">
        <f t="shared" ca="1" si="511"/>
        <v>14541.810824753464</v>
      </c>
      <c r="M121" s="274">
        <f t="shared" ca="1" si="511"/>
        <v>14389.914489118071</v>
      </c>
      <c r="N121" s="274">
        <f t="shared" ca="1" si="511"/>
        <v>14204.181789254055</v>
      </c>
      <c r="O121" s="274">
        <f t="shared" ca="1" si="511"/>
        <v>13989.867477801614</v>
      </c>
      <c r="P121" s="274">
        <f t="shared" ca="1" si="511"/>
        <v>13751.637187360775</v>
      </c>
      <c r="AC121" s="274">
        <f t="shared" ref="AC121:AU121" si="512">+AB67*AC122</f>
        <v>6294.9840000000004</v>
      </c>
      <c r="AD121" s="274">
        <f t="shared" si="512"/>
        <v>6123.69</v>
      </c>
      <c r="AE121" s="274">
        <f t="shared" si="512"/>
        <v>5444.96</v>
      </c>
      <c r="AF121" s="274">
        <f t="shared" si="512"/>
        <v>4784.71</v>
      </c>
      <c r="AG121" s="274">
        <f t="shared" si="512"/>
        <v>8165.0659999999998</v>
      </c>
      <c r="AH121" s="274">
        <f t="shared" si="512"/>
        <v>4851.63</v>
      </c>
      <c r="AI121" s="274">
        <f t="shared" si="512"/>
        <v>4164.18</v>
      </c>
      <c r="AJ121" s="274">
        <f t="shared" si="512"/>
        <v>4876.6200000000008</v>
      </c>
      <c r="AK121" s="274">
        <f t="shared" si="512"/>
        <v>8160.3990000000003</v>
      </c>
      <c r="AL121" s="274">
        <f t="shared" si="512"/>
        <v>4934.7900000000009</v>
      </c>
      <c r="AM121" s="274">
        <f t="shared" si="512"/>
        <v>5306.1750000000002</v>
      </c>
      <c r="AN121" s="274">
        <f t="shared" si="512"/>
        <v>5203.2939999999999</v>
      </c>
      <c r="AO121" s="274">
        <f t="shared" si="512"/>
        <v>6194.7519999999995</v>
      </c>
      <c r="AP121" s="274">
        <f t="shared" si="512"/>
        <v>4721.47</v>
      </c>
      <c r="AQ121" s="274">
        <f t="shared" si="512"/>
        <v>4617.3329999999996</v>
      </c>
      <c r="AR121" s="274">
        <f t="shared" si="512"/>
        <v>5277.5719999999992</v>
      </c>
      <c r="AS121" s="274">
        <f t="shared" si="512"/>
        <v>8486.8649999999998</v>
      </c>
      <c r="AT121" s="274">
        <f t="shared" si="512"/>
        <v>5000.8200000000006</v>
      </c>
      <c r="AU121" s="274">
        <f t="shared" si="512"/>
        <v>4418.1500000000005</v>
      </c>
      <c r="AV121" s="274">
        <f t="shared" ref="AV121:BE121" si="513">+AU67*AV122</f>
        <v>4362.8370000000004</v>
      </c>
      <c r="AW121" s="274">
        <f t="shared" si="513"/>
        <v>5826.9960000000001</v>
      </c>
      <c r="AX121" s="274">
        <f t="shared" si="513"/>
        <v>3855.25</v>
      </c>
      <c r="AY121" s="274">
        <f t="shared" si="513"/>
        <v>3548.348</v>
      </c>
      <c r="AZ121" s="274">
        <f t="shared" si="513"/>
        <v>3942.0449999999996</v>
      </c>
      <c r="BA121" s="274">
        <f t="shared" si="513"/>
        <v>4875.4440000000004</v>
      </c>
      <c r="BB121" s="274">
        <f t="shared" si="513"/>
        <v>3033.5369999999998</v>
      </c>
      <c r="BC121" s="274">
        <f t="shared" si="513"/>
        <v>3171.3090000000002</v>
      </c>
      <c r="BD121" s="274">
        <f t="shared" si="513"/>
        <v>3018.6390000000001</v>
      </c>
      <c r="BE121" s="274">
        <f t="shared" si="513"/>
        <v>5419.05</v>
      </c>
      <c r="BF121" s="274">
        <f t="shared" ref="BF121" si="514">+BE67*BF122</f>
        <v>3037.125</v>
      </c>
      <c r="BG121" s="274">
        <f t="shared" ref="BG121" ca="1" si="515">+BF67*BG122</f>
        <v>3187.5458643810275</v>
      </c>
      <c r="BH121" s="274">
        <f t="shared" ref="BH121" ca="1" si="516">+BG67*BH122</f>
        <v>3039.3805576084033</v>
      </c>
      <c r="BI121" s="274">
        <f t="shared" ref="BI121" ca="1" si="517">+BH67*BI122</f>
        <v>5467.7524476887156</v>
      </c>
    </row>
    <row r="122" spans="2:63" s="248" customFormat="1">
      <c r="B122" s="245" t="s">
        <v>323</v>
      </c>
      <c r="C122" s="319"/>
      <c r="D122" s="248">
        <f>+D121/AK35</f>
        <v>0.30694938791721632</v>
      </c>
      <c r="E122" s="248">
        <f>+E121/D35</f>
        <v>0.31805996861147057</v>
      </c>
      <c r="F122" s="248">
        <f>+F121/E35</f>
        <v>0.25879375742378252</v>
      </c>
      <c r="G122" s="248">
        <f>+G121/F35</f>
        <v>0.21037659036378964</v>
      </c>
      <c r="H122" s="248">
        <f>+H121/G35</f>
        <v>0.18824852474191017</v>
      </c>
      <c r="I122" s="248">
        <f ca="1">+I121/H35</f>
        <v>0.18917244134418165</v>
      </c>
      <c r="J122" s="210">
        <f ca="1">+I122-0.002</f>
        <v>0.18717244134418165</v>
      </c>
      <c r="K122" s="210">
        <f t="shared" ref="K122:P122" ca="1" si="518">+J122-0.002</f>
        <v>0.18517244134418165</v>
      </c>
      <c r="L122" s="210">
        <f t="shared" ca="1" si="518"/>
        <v>0.18317244134418165</v>
      </c>
      <c r="M122" s="210">
        <f t="shared" ca="1" si="518"/>
        <v>0.18117244134418165</v>
      </c>
      <c r="N122" s="210">
        <f t="shared" ca="1" si="518"/>
        <v>0.17917244134418164</v>
      </c>
      <c r="O122" s="210">
        <f t="shared" ca="1" si="518"/>
        <v>0.17717244134418164</v>
      </c>
      <c r="P122" s="210">
        <f t="shared" ca="1" si="518"/>
        <v>0.17517244134418164</v>
      </c>
      <c r="Q122" s="319"/>
      <c r="R122" s="164"/>
      <c r="S122" s="164"/>
      <c r="T122" s="164"/>
      <c r="U122" s="164"/>
      <c r="V122" s="164"/>
      <c r="W122" s="164"/>
      <c r="X122" s="164"/>
      <c r="Y122" s="164"/>
      <c r="Z122" s="164"/>
      <c r="AA122" s="164"/>
      <c r="AB122" s="164"/>
      <c r="AC122" s="203">
        <v>9.2999999999999999E-2</v>
      </c>
      <c r="AD122" s="203">
        <v>0.09</v>
      </c>
      <c r="AE122" s="203">
        <v>0.08</v>
      </c>
      <c r="AF122" s="203">
        <v>7.0000000000000007E-2</v>
      </c>
      <c r="AG122" s="203">
        <v>0.11899999999999999</v>
      </c>
      <c r="AH122" s="203">
        <v>7.0000000000000007E-2</v>
      </c>
      <c r="AI122" s="203">
        <v>0.06</v>
      </c>
      <c r="AJ122" s="203">
        <v>7.0000000000000007E-2</v>
      </c>
      <c r="AK122" s="203">
        <v>0.11700000000000001</v>
      </c>
      <c r="AL122" s="172">
        <v>7.0000000000000007E-2</v>
      </c>
      <c r="AM122" s="172">
        <v>7.4999999999999997E-2</v>
      </c>
      <c r="AN122" s="172">
        <v>7.2999999999999995E-2</v>
      </c>
      <c r="AO122" s="172">
        <v>8.5999999999999993E-2</v>
      </c>
      <c r="AP122" s="263">
        <v>6.5000000000000002E-2</v>
      </c>
      <c r="AQ122" s="263">
        <v>6.3E-2</v>
      </c>
      <c r="AR122" s="263">
        <v>7.0999999999999994E-2</v>
      </c>
      <c r="AS122" s="263">
        <v>0.113</v>
      </c>
      <c r="AT122" s="263">
        <v>6.6000000000000003E-2</v>
      </c>
      <c r="AU122" s="263">
        <v>5.8000000000000003E-2</v>
      </c>
      <c r="AV122" s="263">
        <v>5.7000000000000002E-2</v>
      </c>
      <c r="AW122" s="263">
        <v>7.5999999999999998E-2</v>
      </c>
      <c r="AX122" s="263">
        <v>0.05</v>
      </c>
      <c r="AY122" s="263">
        <v>4.5999999999999999E-2</v>
      </c>
      <c r="AZ122" s="263">
        <v>5.0999999999999997E-2</v>
      </c>
      <c r="BA122" s="263">
        <v>6.3E-2</v>
      </c>
      <c r="BB122" s="263">
        <v>3.9E-2</v>
      </c>
      <c r="BC122" s="263">
        <v>4.1000000000000002E-2</v>
      </c>
      <c r="BD122" s="263">
        <v>3.9E-2</v>
      </c>
      <c r="BE122" s="263">
        <v>7.0000000000000007E-2</v>
      </c>
      <c r="BF122" s="210">
        <f>+BB122</f>
        <v>3.9E-2</v>
      </c>
      <c r="BG122" s="210">
        <f t="shared" ref="BG122:BI122" si="519">+BC122</f>
        <v>4.1000000000000002E-2</v>
      </c>
      <c r="BH122" s="210">
        <f t="shared" si="519"/>
        <v>3.9E-2</v>
      </c>
      <c r="BI122" s="210">
        <f t="shared" si="519"/>
        <v>7.0000000000000007E-2</v>
      </c>
    </row>
    <row r="123" spans="2:63" s="248" customFormat="1">
      <c r="B123" s="235" t="s">
        <v>326</v>
      </c>
      <c r="C123" s="319"/>
      <c r="D123" s="236">
        <f>SUM(AL123:AO123)</f>
        <v>32500.342700000001</v>
      </c>
      <c r="E123" s="308">
        <f>+SUM(AP123:AS123)</f>
        <v>35619.8891</v>
      </c>
      <c r="F123" s="295">
        <f>SUM(AT123:AW123)</f>
        <v>31300.932900000003</v>
      </c>
      <c r="G123" s="295">
        <f>SUM(AX123:BA123)</f>
        <v>27267.329299999998</v>
      </c>
      <c r="H123" s="295">
        <f>SUM(BB123:BE123)</f>
        <v>25280.883900000001</v>
      </c>
      <c r="I123" s="295">
        <f ca="1">SUM(BF123:BI123)</f>
        <v>25306.580960928142</v>
      </c>
      <c r="J123" s="274">
        <f ca="1">+J120+J121</f>
        <v>25194.541957275305</v>
      </c>
      <c r="K123" s="274">
        <f t="shared" ref="K123:P123" ca="1" si="520">+K120+K121</f>
        <v>25028.743957814513</v>
      </c>
      <c r="L123" s="274">
        <f t="shared" ca="1" si="520"/>
        <v>24816.587916003464</v>
      </c>
      <c r="M123" s="274">
        <f t="shared" ca="1" si="520"/>
        <v>24564.691580368071</v>
      </c>
      <c r="N123" s="274">
        <f t="shared" ca="1" si="520"/>
        <v>24278.958880504055</v>
      </c>
      <c r="O123" s="274">
        <f t="shared" ca="1" si="520"/>
        <v>23964.644569051612</v>
      </c>
      <c r="P123" s="274">
        <f t="shared" ca="1" si="520"/>
        <v>23626.414278610777</v>
      </c>
      <c r="Q123" s="319"/>
      <c r="R123" s="319"/>
      <c r="S123" s="319"/>
      <c r="T123" s="319"/>
      <c r="U123" s="319"/>
      <c r="V123" s="319"/>
      <c r="W123" s="319"/>
      <c r="X123" s="319"/>
      <c r="Y123" s="319"/>
      <c r="Z123" s="319"/>
      <c r="AA123" s="319"/>
      <c r="AB123" s="319"/>
      <c r="AC123" s="274">
        <f>+AC120+AC121</f>
        <v>9036.3092500000002</v>
      </c>
      <c r="AD123" s="274">
        <f t="shared" ref="AD123:AV123" si="521">+AD120+AD121</f>
        <v>8594.713099999999</v>
      </c>
      <c r="AE123" s="274">
        <f t="shared" si="521"/>
        <v>8129.1187499999996</v>
      </c>
      <c r="AF123" s="274">
        <f t="shared" si="521"/>
        <v>7466.3907500000005</v>
      </c>
      <c r="AG123" s="274">
        <f t="shared" si="521"/>
        <v>11385.36845</v>
      </c>
      <c r="AH123" s="274">
        <f t="shared" si="521"/>
        <v>7327.3779999999997</v>
      </c>
      <c r="AI123" s="274">
        <f t="shared" si="521"/>
        <v>6507.6339500000004</v>
      </c>
      <c r="AJ123" s="274">
        <f t="shared" si="521"/>
        <v>7286.1106000000009</v>
      </c>
      <c r="AK123" s="274">
        <f t="shared" si="521"/>
        <v>11443.754400000002</v>
      </c>
      <c r="AL123" s="274">
        <f t="shared" si="521"/>
        <v>7434.2276000000011</v>
      </c>
      <c r="AM123" s="274">
        <f t="shared" si="521"/>
        <v>8030.1881000000003</v>
      </c>
      <c r="AN123" s="274">
        <f t="shared" si="521"/>
        <v>7866.4195</v>
      </c>
      <c r="AO123" s="274">
        <f t="shared" si="521"/>
        <v>9169.5074999999997</v>
      </c>
      <c r="AP123" s="274">
        <f t="shared" si="521"/>
        <v>7688.6304500000006</v>
      </c>
      <c r="AQ123" s="274">
        <f t="shared" si="521"/>
        <v>7547.6696999999995</v>
      </c>
      <c r="AR123" s="274">
        <f t="shared" si="521"/>
        <v>8281.7114499999989</v>
      </c>
      <c r="AS123" s="274">
        <f t="shared" si="521"/>
        <v>12101.877500000001</v>
      </c>
      <c r="AT123" s="274">
        <f t="shared" si="521"/>
        <v>7766.5785000000014</v>
      </c>
      <c r="AU123" s="274">
        <f t="shared" si="521"/>
        <v>7141.7974000000004</v>
      </c>
      <c r="AV123" s="274">
        <f t="shared" si="521"/>
        <v>7317.7258000000002</v>
      </c>
      <c r="AW123" s="274">
        <f t="shared" ref="AW123:BB123" si="522">+AW120+AW121</f>
        <v>9074.8312000000005</v>
      </c>
      <c r="AX123" s="274">
        <f t="shared" si="522"/>
        <v>6529.2595000000001</v>
      </c>
      <c r="AY123" s="274">
        <f t="shared" si="522"/>
        <v>6052.3481499999998</v>
      </c>
      <c r="AZ123" s="274">
        <f t="shared" si="522"/>
        <v>6590.3022499999997</v>
      </c>
      <c r="BA123" s="274">
        <f t="shared" si="522"/>
        <v>8095.4194000000007</v>
      </c>
      <c r="BB123" s="274">
        <f t="shared" si="522"/>
        <v>5448.7546000000002</v>
      </c>
      <c r="BC123" s="274">
        <f t="shared" ref="BC123:BD123" si="523">+BC120+BC121</f>
        <v>5642.7714999999998</v>
      </c>
      <c r="BD123" s="274">
        <f t="shared" si="523"/>
        <v>5620.4358000000002</v>
      </c>
      <c r="BE123" s="274">
        <f t="shared" ref="BE123" si="524">+BE120+BE121</f>
        <v>8568.9220000000005</v>
      </c>
      <c r="BF123" s="274">
        <f t="shared" ref="BF123:BI123" si="525">+BF120+BF121</f>
        <v>5428.1904240000003</v>
      </c>
      <c r="BG123" s="274">
        <f t="shared" ca="1" si="525"/>
        <v>5640.4723956310272</v>
      </c>
      <c r="BH123" s="274">
        <f t="shared" ca="1" si="525"/>
        <v>5628.1683736084033</v>
      </c>
      <c r="BI123" s="274">
        <f t="shared" ca="1" si="525"/>
        <v>8609.749767688716</v>
      </c>
    </row>
    <row r="124" spans="2:63" s="248" customFormat="1">
      <c r="B124" s="245" t="s">
        <v>324</v>
      </c>
      <c r="C124" s="319"/>
      <c r="D124" s="248">
        <f t="shared" ref="D124:I124" si="526">+D125/D123</f>
        <v>0.94054910039483886</v>
      </c>
      <c r="E124" s="248">
        <f t="shared" si="526"/>
        <v>0.87761886334623285</v>
      </c>
      <c r="F124" s="248">
        <f t="shared" si="526"/>
        <v>0.87292376731292898</v>
      </c>
      <c r="G124" s="248">
        <f t="shared" si="526"/>
        <v>0.81677463317237819</v>
      </c>
      <c r="H124" s="248">
        <f t="shared" si="526"/>
        <v>0.83231530787840324</v>
      </c>
      <c r="I124" s="248">
        <f t="shared" ca="1" si="526"/>
        <v>0.82000000000000006</v>
      </c>
      <c r="J124" s="210">
        <f ca="1">+I124-0.01</f>
        <v>0.81</v>
      </c>
      <c r="K124" s="210">
        <f t="shared" ref="K124:P124" ca="1" si="527">+J124-0.01</f>
        <v>0.8</v>
      </c>
      <c r="L124" s="210">
        <f t="shared" ca="1" si="527"/>
        <v>0.79</v>
      </c>
      <c r="M124" s="210">
        <f t="shared" ca="1" si="527"/>
        <v>0.78</v>
      </c>
      <c r="N124" s="210">
        <f t="shared" ca="1" si="527"/>
        <v>0.77</v>
      </c>
      <c r="O124" s="210">
        <f t="shared" ca="1" si="527"/>
        <v>0.76</v>
      </c>
      <c r="P124" s="210">
        <f t="shared" ca="1" si="527"/>
        <v>0.75</v>
      </c>
      <c r="Q124" s="319"/>
      <c r="R124" s="164"/>
      <c r="S124" s="164"/>
      <c r="T124" s="164"/>
      <c r="U124" s="164"/>
      <c r="V124" s="164"/>
      <c r="W124" s="164"/>
      <c r="X124" s="164"/>
      <c r="Y124" s="164"/>
      <c r="Z124" s="203"/>
      <c r="AA124" s="203"/>
      <c r="AB124" s="203"/>
      <c r="AC124" s="172"/>
      <c r="AD124" s="172"/>
      <c r="AE124" s="172"/>
      <c r="AF124" s="172"/>
      <c r="AG124" s="172"/>
      <c r="AH124" s="172"/>
      <c r="AI124" s="172"/>
      <c r="AJ124" s="180"/>
      <c r="AK124" s="180">
        <f t="shared" ref="AK124:AT124" si="528">+AK125/AK123</f>
        <v>1.0014606741573033</v>
      </c>
      <c r="AL124" s="180">
        <f t="shared" si="528"/>
        <v>0.91713385506004919</v>
      </c>
      <c r="AM124" s="180">
        <f t="shared" si="528"/>
        <v>0.96227792313765681</v>
      </c>
      <c r="AN124" s="180">
        <f t="shared" si="528"/>
        <v>0.95699064709687154</v>
      </c>
      <c r="AO124" s="180">
        <f t="shared" si="528"/>
        <v>0.9263991175004741</v>
      </c>
      <c r="AP124" s="271">
        <f t="shared" si="528"/>
        <v>0.81995719095680497</v>
      </c>
      <c r="AQ124" s="271">
        <f t="shared" si="528"/>
        <v>0.89287564276727804</v>
      </c>
      <c r="AR124" s="271">
        <f t="shared" si="528"/>
        <v>0.90229266228871974</v>
      </c>
      <c r="AS124" s="271">
        <f t="shared" si="528"/>
        <v>0.88785238910770914</v>
      </c>
      <c r="AT124" s="271">
        <f t="shared" si="528"/>
        <v>0.9503480047169266</v>
      </c>
      <c r="AU124" s="271">
        <f t="shared" ref="AU124:AZ124" si="529">+AU125/AU123</f>
        <v>0.8490621404681743</v>
      </c>
      <c r="AV124" s="271">
        <f t="shared" si="529"/>
        <v>0.84318720523218393</v>
      </c>
      <c r="AW124" s="271">
        <f t="shared" si="529"/>
        <v>0.84941892179033962</v>
      </c>
      <c r="AX124" s="271">
        <f t="shared" si="529"/>
        <v>0.80525700636693753</v>
      </c>
      <c r="AY124" s="271">
        <f t="shared" si="529"/>
        <v>0.82612564183043569</v>
      </c>
      <c r="AZ124" s="271">
        <f t="shared" si="529"/>
        <v>0.80610870313269778</v>
      </c>
      <c r="BA124" s="271">
        <f t="shared" ref="BA124:BB124" si="530">+BA125/BA123</f>
        <v>0.82775586992257011</v>
      </c>
      <c r="BB124" s="271">
        <f t="shared" si="530"/>
        <v>0.80293577545224737</v>
      </c>
      <c r="BC124" s="271">
        <f t="shared" ref="BC124:BD124" si="531">+BC125/BC123</f>
        <v>0.81224861459184272</v>
      </c>
      <c r="BD124" s="271">
        <f t="shared" si="531"/>
        <v>0.81547650332263089</v>
      </c>
      <c r="BE124" s="271">
        <f t="shared" ref="BE124" si="532">+BE125/BE123</f>
        <v>0.87525595401615275</v>
      </c>
      <c r="BF124" s="210">
        <v>0.82</v>
      </c>
      <c r="BG124" s="210">
        <v>0.82</v>
      </c>
      <c r="BH124" s="210">
        <v>0.82</v>
      </c>
      <c r="BI124" s="210">
        <v>0.82</v>
      </c>
    </row>
    <row r="125" spans="2:63" s="248" customFormat="1">
      <c r="B125" s="235" t="s">
        <v>327</v>
      </c>
      <c r="C125" s="319"/>
      <c r="D125" s="236">
        <f>SUM(AL125:AO125)</f>
        <v>30568.16808900897</v>
      </c>
      <c r="E125" s="308">
        <f>+SUM(AP125:AS125)</f>
        <v>31260.686584460869</v>
      </c>
      <c r="F125" s="295">
        <f>SUM(AT125:AW125)</f>
        <v>27323.328267477205</v>
      </c>
      <c r="G125" s="295">
        <f>SUM(AX125:BA125)</f>
        <v>22271.262886597939</v>
      </c>
      <c r="H125" s="295">
        <f>SUM(BB125:BE125)</f>
        <v>21041.666666666668</v>
      </c>
      <c r="I125" s="295">
        <f ca="1">SUM(BF125:BI125)</f>
        <v>20751.396387961078</v>
      </c>
      <c r="J125" s="274">
        <f ca="1">+J123*J124</f>
        <v>20407.578985393</v>
      </c>
      <c r="K125" s="274">
        <f t="shared" ref="K125:P125" ca="1" si="533">+K123*K124</f>
        <v>20022.99516625161</v>
      </c>
      <c r="L125" s="274">
        <f t="shared" ca="1" si="533"/>
        <v>19605.104453642736</v>
      </c>
      <c r="M125" s="274">
        <f t="shared" ca="1" si="533"/>
        <v>19160.459432687097</v>
      </c>
      <c r="N125" s="274">
        <f t="shared" ca="1" si="533"/>
        <v>18694.798337988123</v>
      </c>
      <c r="O125" s="274">
        <f t="shared" ca="1" si="533"/>
        <v>18213.129872479225</v>
      </c>
      <c r="P125" s="274">
        <f t="shared" ca="1" si="533"/>
        <v>17719.810708958081</v>
      </c>
      <c r="Q125" s="319"/>
      <c r="R125" s="319"/>
      <c r="S125" s="319"/>
      <c r="T125" s="319"/>
      <c r="U125" s="319"/>
      <c r="V125" s="319"/>
      <c r="W125" s="319"/>
      <c r="X125" s="319"/>
      <c r="Y125" s="319"/>
      <c r="Z125" s="323"/>
      <c r="AA125" s="323"/>
      <c r="AB125" s="323"/>
      <c r="AC125" s="274"/>
      <c r="AD125" s="274"/>
      <c r="AE125" s="274"/>
      <c r="AF125" s="274"/>
      <c r="AG125" s="274"/>
      <c r="AH125" s="274"/>
      <c r="AI125" s="274"/>
      <c r="AJ125" s="274"/>
      <c r="AK125" s="274">
        <f t="shared" ref="AK125:AT125" si="534">+AK127/AK126</f>
        <v>11460.469996314607</v>
      </c>
      <c r="AL125" s="274">
        <f t="shared" si="534"/>
        <v>6818.181818181818</v>
      </c>
      <c r="AM125" s="274">
        <f t="shared" si="534"/>
        <v>7727.272727272727</v>
      </c>
      <c r="AN125" s="274">
        <f t="shared" si="534"/>
        <v>7528.089887640449</v>
      </c>
      <c r="AO125" s="274">
        <f t="shared" si="534"/>
        <v>8494.6236559139779</v>
      </c>
      <c r="AP125" s="274">
        <f t="shared" si="534"/>
        <v>6304.347826086956</v>
      </c>
      <c r="AQ125" s="274">
        <f t="shared" si="534"/>
        <v>6739.1304347826081</v>
      </c>
      <c r="AR125" s="274">
        <f t="shared" si="534"/>
        <v>7472.5274725274721</v>
      </c>
      <c r="AS125" s="274">
        <f t="shared" si="534"/>
        <v>10744.680851063831</v>
      </c>
      <c r="AT125" s="274">
        <f t="shared" si="534"/>
        <v>7380.9523809523816</v>
      </c>
      <c r="AU125" s="274">
        <f t="shared" ref="AU125:AZ125" si="535">+AU127/AU126</f>
        <v>6063.8297872340427</v>
      </c>
      <c r="AV125" s="274">
        <f t="shared" si="535"/>
        <v>6170.2127659574471</v>
      </c>
      <c r="AW125" s="274">
        <f t="shared" si="535"/>
        <v>7708.3333333333339</v>
      </c>
      <c r="AX125" s="274">
        <f t="shared" si="535"/>
        <v>5257.7319587628872</v>
      </c>
      <c r="AY125" s="274">
        <f t="shared" si="535"/>
        <v>5000</v>
      </c>
      <c r="AZ125" s="274">
        <f t="shared" si="535"/>
        <v>5312.5</v>
      </c>
      <c r="BA125" s="274">
        <f t="shared" ref="BA125:BB125" si="536">+BA127/BA126</f>
        <v>6701.0309278350514</v>
      </c>
      <c r="BB125" s="274">
        <f t="shared" si="536"/>
        <v>4375</v>
      </c>
      <c r="BC125" s="274">
        <f t="shared" ref="BC125:BD125" si="537">+BC127/BC126</f>
        <v>4583.3333333333339</v>
      </c>
      <c r="BD125" s="274">
        <f t="shared" si="537"/>
        <v>4583.3333333333339</v>
      </c>
      <c r="BE125" s="274">
        <f t="shared" ref="BE125" si="538">+BE127/BE126</f>
        <v>7500</v>
      </c>
      <c r="BF125" s="274">
        <f t="shared" ref="BF125:BI125" si="539">+BF123*BF124</f>
        <v>4451.1161476799998</v>
      </c>
      <c r="BG125" s="274">
        <f t="shared" ca="1" si="539"/>
        <v>4625.187364417442</v>
      </c>
      <c r="BH125" s="274">
        <f t="shared" ca="1" si="539"/>
        <v>4615.0980663588907</v>
      </c>
      <c r="BI125" s="274">
        <f t="shared" ca="1" si="539"/>
        <v>7059.9948095047466</v>
      </c>
    </row>
    <row r="126" spans="2:63" s="248" customFormat="1">
      <c r="B126" s="245" t="s">
        <v>325</v>
      </c>
      <c r="C126" s="319"/>
      <c r="D126" s="248">
        <f t="shared" ref="D126:I126" si="540">+D127/D125</f>
        <v>0.89635727990686787</v>
      </c>
      <c r="E126" s="248">
        <f t="shared" si="540"/>
        <v>0.92448385360690299</v>
      </c>
      <c r="F126" s="248">
        <f t="shared" si="540"/>
        <v>0.91862893693944236</v>
      </c>
      <c r="G126" s="248">
        <f t="shared" si="540"/>
        <v>0.96536959351945606</v>
      </c>
      <c r="H126" s="248">
        <f t="shared" si="540"/>
        <v>0.96</v>
      </c>
      <c r="I126" s="248">
        <f t="shared" ca="1" si="540"/>
        <v>0.96</v>
      </c>
      <c r="J126" s="210">
        <f t="shared" ref="J126:P126" ca="1" si="541">+I126+0.0025</f>
        <v>0.96249999999999991</v>
      </c>
      <c r="K126" s="210">
        <f t="shared" ca="1" si="541"/>
        <v>0.96499999999999986</v>
      </c>
      <c r="L126" s="210">
        <f t="shared" ca="1" si="541"/>
        <v>0.9674999999999998</v>
      </c>
      <c r="M126" s="210">
        <f t="shared" ca="1" si="541"/>
        <v>0.96999999999999975</v>
      </c>
      <c r="N126" s="210">
        <f t="shared" ca="1" si="541"/>
        <v>0.9724999999999997</v>
      </c>
      <c r="O126" s="210">
        <f t="shared" ca="1" si="541"/>
        <v>0.97499999999999964</v>
      </c>
      <c r="P126" s="210">
        <f t="shared" ca="1" si="541"/>
        <v>0.97749999999999959</v>
      </c>
      <c r="Q126" s="319"/>
      <c r="R126" s="164"/>
      <c r="S126" s="164"/>
      <c r="T126" s="164"/>
      <c r="U126" s="164"/>
      <c r="V126" s="164"/>
      <c r="W126" s="164"/>
      <c r="X126" s="164"/>
      <c r="Y126" s="164"/>
      <c r="Z126" s="203"/>
      <c r="AA126" s="203"/>
      <c r="AB126" s="203"/>
      <c r="AC126" s="203"/>
      <c r="AD126" s="203"/>
      <c r="AE126" s="203"/>
      <c r="AF126" s="203"/>
      <c r="AG126" s="203"/>
      <c r="AH126" s="203"/>
      <c r="AI126" s="203"/>
      <c r="AJ126" s="203"/>
      <c r="AK126" s="203">
        <v>0.89</v>
      </c>
      <c r="AL126" s="172">
        <v>0.88</v>
      </c>
      <c r="AM126" s="172">
        <v>0.88</v>
      </c>
      <c r="AN126" s="172">
        <v>0.89</v>
      </c>
      <c r="AO126" s="172">
        <v>0.93</v>
      </c>
      <c r="AP126" s="263">
        <v>0.92</v>
      </c>
      <c r="AQ126" s="263">
        <v>0.92</v>
      </c>
      <c r="AR126" s="263">
        <v>0.91</v>
      </c>
      <c r="AS126" s="263">
        <v>0.94</v>
      </c>
      <c r="AT126" s="263">
        <v>0.84</v>
      </c>
      <c r="AU126" s="263">
        <v>0.94</v>
      </c>
      <c r="AV126" s="263">
        <v>0.94</v>
      </c>
      <c r="AW126" s="263">
        <v>0.96</v>
      </c>
      <c r="AX126" s="263">
        <v>0.97</v>
      </c>
      <c r="AY126" s="263">
        <v>0.96</v>
      </c>
      <c r="AZ126" s="263">
        <v>0.96</v>
      </c>
      <c r="BA126" s="263">
        <v>0.97</v>
      </c>
      <c r="BB126" s="263">
        <v>0.96</v>
      </c>
      <c r="BC126" s="478">
        <f>+BB126</f>
        <v>0.96</v>
      </c>
      <c r="BD126" s="478">
        <f>+BC126</f>
        <v>0.96</v>
      </c>
      <c r="BE126" s="478">
        <f>+BD126</f>
        <v>0.96</v>
      </c>
      <c r="BF126" s="210">
        <f t="shared" ref="BF126" si="542">+BE126</f>
        <v>0.96</v>
      </c>
      <c r="BG126" s="210">
        <f t="shared" ref="BG126" si="543">+BF126</f>
        <v>0.96</v>
      </c>
      <c r="BH126" s="210">
        <f t="shared" ref="BH126" si="544">+BG126</f>
        <v>0.96</v>
      </c>
      <c r="BI126" s="210">
        <f t="shared" ref="BI126" si="545">+BH126</f>
        <v>0.96</v>
      </c>
    </row>
    <row r="127" spans="2:63" s="248" customFormat="1" ht="15.75">
      <c r="B127" s="235" t="s">
        <v>0</v>
      </c>
      <c r="C127" s="319"/>
      <c r="D127" s="236">
        <f>SUM(AL127:AO127)</f>
        <v>27400</v>
      </c>
      <c r="E127" s="308">
        <f>+SUM(AP127:AS127)</f>
        <v>28900</v>
      </c>
      <c r="F127" s="295">
        <f>SUM(AT127:AW127)</f>
        <v>25100</v>
      </c>
      <c r="G127" s="295">
        <f>SUM(AX127:BA127)</f>
        <v>21500</v>
      </c>
      <c r="H127" s="295">
        <f>SUM(BB127:BE127)</f>
        <v>20200</v>
      </c>
      <c r="I127" s="295">
        <f ca="1">SUM(BF127:BI127)</f>
        <v>19921.340532442635</v>
      </c>
      <c r="J127" s="274">
        <f ca="1">+J125*J126</f>
        <v>19642.294773440761</v>
      </c>
      <c r="K127" s="274">
        <f t="shared" ref="K127:P127" ca="1" si="546">+K125*K126</f>
        <v>19322.190335432802</v>
      </c>
      <c r="L127" s="274">
        <f t="shared" ca="1" si="546"/>
        <v>18967.938558899343</v>
      </c>
      <c r="M127" s="274">
        <f t="shared" ca="1" si="546"/>
        <v>18585.645649706479</v>
      </c>
      <c r="N127" s="274">
        <f t="shared" ca="1" si="546"/>
        <v>18180.691383693444</v>
      </c>
      <c r="O127" s="274">
        <f t="shared" ca="1" si="546"/>
        <v>17757.801625667238</v>
      </c>
      <c r="P127" s="274">
        <f t="shared" ca="1" si="546"/>
        <v>17321.114968006517</v>
      </c>
      <c r="Q127" s="319"/>
      <c r="R127" s="319"/>
      <c r="S127" s="319"/>
      <c r="T127" s="319"/>
      <c r="U127" s="319"/>
      <c r="V127" s="319"/>
      <c r="W127" s="319"/>
      <c r="X127" s="319"/>
      <c r="Y127" s="319"/>
      <c r="Z127" s="261">
        <v>3400</v>
      </c>
      <c r="AA127" s="261">
        <v>3900</v>
      </c>
      <c r="AB127" s="261">
        <v>6100</v>
      </c>
      <c r="AC127" s="261">
        <v>5900</v>
      </c>
      <c r="AD127" s="261">
        <v>5500</v>
      </c>
      <c r="AE127" s="261">
        <v>5600</v>
      </c>
      <c r="AF127" s="261">
        <v>4800</v>
      </c>
      <c r="AG127" s="261">
        <v>9400</v>
      </c>
      <c r="AH127" s="261">
        <v>5499.9299268000004</v>
      </c>
      <c r="AI127" s="261">
        <v>5100</v>
      </c>
      <c r="AJ127" s="261">
        <v>6099.9317943200012</v>
      </c>
      <c r="AK127" s="261">
        <v>10199.818296720001</v>
      </c>
      <c r="AL127" s="261">
        <v>6000</v>
      </c>
      <c r="AM127" s="261">
        <v>6800</v>
      </c>
      <c r="AN127" s="261">
        <v>6700</v>
      </c>
      <c r="AO127" s="261">
        <v>7900</v>
      </c>
      <c r="AP127" s="261">
        <v>5800</v>
      </c>
      <c r="AQ127" s="261">
        <v>6200</v>
      </c>
      <c r="AR127" s="261">
        <v>6800</v>
      </c>
      <c r="AS127" s="261">
        <v>10100</v>
      </c>
      <c r="AT127" s="261">
        <v>6200</v>
      </c>
      <c r="AU127" s="261">
        <f>7200-1500</f>
        <v>5700</v>
      </c>
      <c r="AV127" s="261">
        <f>7500-1700</f>
        <v>5800</v>
      </c>
      <c r="AW127" s="261">
        <f>9200-1800</f>
        <v>7400</v>
      </c>
      <c r="AX127" s="261">
        <f>7100-2000</f>
        <v>5100</v>
      </c>
      <c r="AY127" s="261">
        <f>6400-1600</f>
        <v>4800</v>
      </c>
      <c r="AZ127" s="261">
        <f>7000-1900</f>
        <v>5100</v>
      </c>
      <c r="BA127" s="261">
        <f>8500-2000</f>
        <v>6500</v>
      </c>
      <c r="BB127" s="261">
        <f>6300-2100</f>
        <v>4200</v>
      </c>
      <c r="BC127" s="261">
        <f>6300-1900</f>
        <v>4400</v>
      </c>
      <c r="BD127" s="261">
        <f>6400-2000</f>
        <v>4400</v>
      </c>
      <c r="BE127" s="261">
        <f>9200-2000</f>
        <v>7200</v>
      </c>
      <c r="BF127" s="274">
        <f t="shared" ref="BF127:BI127" si="547">+BF125*BF126</f>
        <v>4273.0715017727998</v>
      </c>
      <c r="BG127" s="274">
        <f t="shared" ca="1" si="547"/>
        <v>4440.1798698407438</v>
      </c>
      <c r="BH127" s="274">
        <f t="shared" ca="1" si="547"/>
        <v>4430.4941437045345</v>
      </c>
      <c r="BI127" s="274">
        <f t="shared" ca="1" si="547"/>
        <v>6777.5950171245568</v>
      </c>
      <c r="BK127" s="152"/>
    </row>
    <row r="128" spans="2:63" s="248" customFormat="1" hidden="1" outlineLevel="1">
      <c r="B128" s="235" t="s">
        <v>329</v>
      </c>
      <c r="C128" s="319"/>
      <c r="Q128" s="319"/>
      <c r="R128" s="319"/>
      <c r="S128" s="319"/>
      <c r="T128" s="261">
        <v>2400</v>
      </c>
      <c r="U128" s="261">
        <v>1900</v>
      </c>
      <c r="V128" s="261">
        <v>1600</v>
      </c>
      <c r="W128" s="261">
        <v>2400</v>
      </c>
      <c r="X128" s="261">
        <v>3200</v>
      </c>
      <c r="Y128" s="261">
        <v>3100</v>
      </c>
      <c r="Z128" s="261">
        <v>2700</v>
      </c>
      <c r="AA128" s="261">
        <v>3200</v>
      </c>
      <c r="AB128" s="261">
        <v>5200</v>
      </c>
      <c r="AC128" s="261">
        <v>4100</v>
      </c>
      <c r="AD128" s="261">
        <v>3600</v>
      </c>
      <c r="AE128" s="261">
        <v>3600</v>
      </c>
      <c r="AF128" s="261">
        <v>2700</v>
      </c>
      <c r="AG128" s="261">
        <v>7600</v>
      </c>
      <c r="AH128" s="261">
        <v>4300</v>
      </c>
      <c r="AI128" s="261">
        <v>3700</v>
      </c>
      <c r="AJ128" s="261">
        <v>4700</v>
      </c>
      <c r="AK128" s="261">
        <v>8600</v>
      </c>
      <c r="AL128" s="261">
        <v>4800</v>
      </c>
      <c r="AM128" s="261">
        <v>4200</v>
      </c>
      <c r="AN128" s="261">
        <v>4600</v>
      </c>
      <c r="AO128" s="261"/>
      <c r="AP128" s="261"/>
      <c r="AQ128" s="261"/>
      <c r="AR128" s="261"/>
      <c r="AS128" s="261"/>
      <c r="AT128" s="261"/>
      <c r="AU128" s="261"/>
      <c r="AV128" s="261"/>
      <c r="AW128" s="261"/>
      <c r="AX128" s="261"/>
      <c r="AY128" s="261"/>
      <c r="AZ128" s="261"/>
      <c r="BA128" s="261"/>
      <c r="BB128" s="261"/>
      <c r="BC128" s="261"/>
      <c r="BD128" s="261"/>
      <c r="BE128" s="261"/>
      <c r="BF128" s="261"/>
      <c r="BG128" s="261"/>
      <c r="BH128" s="261"/>
      <c r="BI128" s="261"/>
    </row>
    <row r="129" spans="2:61" s="248" customFormat="1" collapsed="1">
      <c r="B129" s="235"/>
      <c r="C129" s="319"/>
      <c r="Q129" s="319"/>
      <c r="R129" s="319"/>
      <c r="S129" s="319"/>
      <c r="T129" s="319"/>
      <c r="U129" s="319"/>
      <c r="V129" s="319"/>
      <c r="W129" s="319"/>
      <c r="X129" s="319"/>
      <c r="Y129" s="319"/>
      <c r="Z129" s="323"/>
      <c r="AA129" s="323"/>
      <c r="AB129" s="323"/>
      <c r="AC129" s="323"/>
      <c r="AD129" s="323"/>
      <c r="AE129" s="323"/>
      <c r="AF129" s="323"/>
      <c r="AG129" s="323"/>
      <c r="AH129" s="323"/>
      <c r="AI129" s="323"/>
      <c r="AJ129" s="323"/>
      <c r="AK129" s="323"/>
      <c r="AL129" s="263"/>
      <c r="AM129" s="263"/>
      <c r="AN129" s="263"/>
      <c r="AO129" s="263"/>
      <c r="AP129" s="263"/>
      <c r="AQ129" s="263"/>
      <c r="AR129" s="263"/>
      <c r="AS129" s="263"/>
      <c r="AT129" s="263"/>
      <c r="AU129" s="263"/>
      <c r="AV129" s="263"/>
      <c r="AW129" s="263"/>
      <c r="AX129" s="263"/>
      <c r="AY129" s="263"/>
      <c r="AZ129" s="263"/>
      <c r="BA129" s="263"/>
      <c r="BB129" s="263"/>
      <c r="BC129" s="263"/>
      <c r="BD129" s="263"/>
      <c r="BE129" s="263"/>
      <c r="BF129" s="263"/>
      <c r="BG129" s="263"/>
      <c r="BH129" s="263"/>
      <c r="BI129" s="263"/>
    </row>
    <row r="130" spans="2:61" s="248" customFormat="1">
      <c r="B130" s="235" t="s">
        <v>1</v>
      </c>
      <c r="C130" s="274"/>
      <c r="D130" s="274">
        <f>+AO130</f>
        <v>52143.630000000005</v>
      </c>
      <c r="E130" s="274">
        <f>+AS130</f>
        <v>56641.689999999995</v>
      </c>
      <c r="F130" s="274">
        <f>+AW130</f>
        <v>58438.16</v>
      </c>
      <c r="G130" s="274">
        <f>+BA130</f>
        <v>59325.630000000005</v>
      </c>
      <c r="H130" s="274">
        <f>+BE130</f>
        <v>58806.93</v>
      </c>
      <c r="I130" s="274">
        <f>+BI130</f>
        <v>58868.082000000009</v>
      </c>
      <c r="J130" s="274">
        <f ca="1">+J67*J131</f>
        <v>59633.600308394663</v>
      </c>
      <c r="K130" s="274">
        <f t="shared" ref="K130:P130" ca="1" si="548">+K67*K131</f>
        <v>60220.266340523587</v>
      </c>
      <c r="L130" s="274">
        <f t="shared" ca="1" si="548"/>
        <v>60646.209226591549</v>
      </c>
      <c r="M130" s="274">
        <f t="shared" ca="1" si="548"/>
        <v>60928.044372636898</v>
      </c>
      <c r="N130" s="274">
        <f t="shared" ca="1" si="548"/>
        <v>61080.969531320239</v>
      </c>
      <c r="O130" s="274">
        <f t="shared" ca="1" si="548"/>
        <v>61118.858146313491</v>
      </c>
      <c r="P130" s="274">
        <f t="shared" ca="1" si="548"/>
        <v>61054.349618256361</v>
      </c>
      <c r="Q130" s="274"/>
      <c r="R130" s="274"/>
      <c r="S130" s="274"/>
      <c r="T130" s="274"/>
      <c r="U130" s="274"/>
      <c r="V130" s="274"/>
      <c r="W130" s="274"/>
      <c r="X130" s="274"/>
      <c r="Y130" s="274"/>
      <c r="Z130" s="274">
        <f t="shared" ref="Z130:AF130" si="549">+Z131*Z67</f>
        <v>22592.475999999999</v>
      </c>
      <c r="AA130" s="274">
        <f t="shared" si="549"/>
        <v>23975.26</v>
      </c>
      <c r="AB130" s="274">
        <f t="shared" si="549"/>
        <v>26466.008000000002</v>
      </c>
      <c r="AC130" s="274">
        <f t="shared" si="549"/>
        <v>29053.506999999998</v>
      </c>
      <c r="AD130" s="274">
        <f t="shared" si="549"/>
        <v>31444.644</v>
      </c>
      <c r="AE130" s="274">
        <f t="shared" si="549"/>
        <v>34108.146999999997</v>
      </c>
      <c r="AF130" s="274">
        <f t="shared" si="549"/>
        <v>36090.964</v>
      </c>
      <c r="AG130" s="328">
        <v>39400</v>
      </c>
      <c r="AH130" s="328">
        <v>41200</v>
      </c>
      <c r="AI130" s="328">
        <v>43100</v>
      </c>
      <c r="AJ130" s="328">
        <f>+AK130-2500</f>
        <v>44600</v>
      </c>
      <c r="AK130" s="328">
        <v>47100</v>
      </c>
      <c r="AL130" s="328">
        <v>48300</v>
      </c>
      <c r="AM130" s="274">
        <f t="shared" ref="AM130:AV130" si="550">+AM70*AM131</f>
        <v>49287.409999999996</v>
      </c>
      <c r="AN130" s="274">
        <f t="shared" si="550"/>
        <v>50817.75</v>
      </c>
      <c r="AO130" s="274">
        <f t="shared" si="550"/>
        <v>52143.630000000005</v>
      </c>
      <c r="AP130" s="274">
        <f t="shared" si="550"/>
        <v>52868.4</v>
      </c>
      <c r="AQ130" s="274">
        <f t="shared" si="550"/>
        <v>54668</v>
      </c>
      <c r="AR130" s="274">
        <f t="shared" si="550"/>
        <v>55560.33</v>
      </c>
      <c r="AS130" s="274">
        <f t="shared" si="550"/>
        <v>56641.689999999995</v>
      </c>
      <c r="AT130" s="274">
        <f t="shared" si="550"/>
        <v>57049.439999999995</v>
      </c>
      <c r="AU130" s="274">
        <f t="shared" si="550"/>
        <v>57454.9</v>
      </c>
      <c r="AV130" s="274">
        <f t="shared" si="550"/>
        <v>58071.63</v>
      </c>
      <c r="AW130" s="274">
        <f t="shared" ref="AW130:BB130" si="551">+AW70*AW131</f>
        <v>58438.16</v>
      </c>
      <c r="AX130" s="274">
        <f t="shared" si="551"/>
        <v>58044.800000000003</v>
      </c>
      <c r="AY130" s="274">
        <f t="shared" si="551"/>
        <v>58467.66</v>
      </c>
      <c r="AZ130" s="274">
        <f t="shared" si="551"/>
        <v>58806</v>
      </c>
      <c r="BA130" s="274">
        <f t="shared" si="551"/>
        <v>59325.630000000005</v>
      </c>
      <c r="BB130" s="274">
        <f t="shared" si="551"/>
        <v>58886.1</v>
      </c>
      <c r="BC130" s="274">
        <f t="shared" ref="BC130:BD130" si="552">+BC70*BC131</f>
        <v>58765.98</v>
      </c>
      <c r="BD130" s="274">
        <f t="shared" si="552"/>
        <v>58546.670000000006</v>
      </c>
      <c r="BE130" s="274">
        <f t="shared" ref="BE130" si="553">+BE70*BE131</f>
        <v>58806.93</v>
      </c>
      <c r="BF130" s="274">
        <f t="shared" ref="BF130:BI130" si="554">+BF70*BF131</f>
        <v>58743.23</v>
      </c>
      <c r="BG130" s="274">
        <f t="shared" si="554"/>
        <v>58688.630000000005</v>
      </c>
      <c r="BH130" s="274">
        <f t="shared" si="554"/>
        <v>58613.600500000008</v>
      </c>
      <c r="BI130" s="274">
        <f t="shared" si="554"/>
        <v>58868.082000000009</v>
      </c>
    </row>
    <row r="131" spans="2:61" s="248" customFormat="1">
      <c r="B131" s="245" t="s">
        <v>328</v>
      </c>
      <c r="C131" s="319"/>
      <c r="D131" s="248">
        <f t="shared" ref="D131:I131" si="555">+D130/D67</f>
        <v>0.71785608083923025</v>
      </c>
      <c r="E131" s="248">
        <f t="shared" si="555"/>
        <v>0.74754771017553112</v>
      </c>
      <c r="F131" s="248">
        <f t="shared" si="555"/>
        <v>0.75790363789637516</v>
      </c>
      <c r="G131" s="248">
        <f t="shared" si="555"/>
        <v>0.76270688968026434</v>
      </c>
      <c r="H131" s="248">
        <f t="shared" si="555"/>
        <v>0.7551451685393259</v>
      </c>
      <c r="I131" s="248">
        <f t="shared" ca="1" si="555"/>
        <v>0.74855017899241327</v>
      </c>
      <c r="J131" s="210">
        <f ca="1">+I131+0.005</f>
        <v>0.75355017899241328</v>
      </c>
      <c r="K131" s="210">
        <f t="shared" ref="K131:P131" ca="1" si="556">+J131+0.005</f>
        <v>0.75855017899241328</v>
      </c>
      <c r="L131" s="210">
        <f t="shared" ca="1" si="556"/>
        <v>0.76355017899241329</v>
      </c>
      <c r="M131" s="210">
        <f t="shared" ca="1" si="556"/>
        <v>0.76855017899241329</v>
      </c>
      <c r="N131" s="210">
        <f t="shared" ca="1" si="556"/>
        <v>0.7735501789924133</v>
      </c>
      <c r="O131" s="210">
        <f t="shared" ca="1" si="556"/>
        <v>0.7785501789924133</v>
      </c>
      <c r="P131" s="210">
        <f t="shared" ca="1" si="556"/>
        <v>0.7835501789924133</v>
      </c>
      <c r="Q131" s="319"/>
      <c r="R131" s="164"/>
      <c r="S131" s="164"/>
      <c r="T131" s="164"/>
      <c r="U131" s="164"/>
      <c r="V131" s="164"/>
      <c r="W131" s="164"/>
      <c r="X131" s="164"/>
      <c r="Y131" s="164"/>
      <c r="Z131" s="203">
        <v>0.34699999999999998</v>
      </c>
      <c r="AA131" s="203">
        <v>0.35799999999999998</v>
      </c>
      <c r="AB131" s="203">
        <v>0.39100000000000001</v>
      </c>
      <c r="AC131" s="203">
        <v>0.42699999999999999</v>
      </c>
      <c r="AD131" s="203">
        <v>0.46200000000000002</v>
      </c>
      <c r="AE131" s="203">
        <v>0.499</v>
      </c>
      <c r="AF131" s="203">
        <v>0.52600000000000002</v>
      </c>
      <c r="AG131" s="203">
        <v>0.59</v>
      </c>
      <c r="AH131" s="203">
        <v>0.61</v>
      </c>
      <c r="AI131" s="203">
        <v>0.64</v>
      </c>
      <c r="AJ131" s="203">
        <v>0.66</v>
      </c>
      <c r="AK131" s="203">
        <v>0.7</v>
      </c>
      <c r="AL131" s="203">
        <v>0.72</v>
      </c>
      <c r="AM131" s="203">
        <v>0.73</v>
      </c>
      <c r="AN131" s="203">
        <v>0.75</v>
      </c>
      <c r="AO131" s="203">
        <v>0.77</v>
      </c>
      <c r="AP131" s="323">
        <v>0.78</v>
      </c>
      <c r="AQ131" s="323">
        <v>0.8</v>
      </c>
      <c r="AR131" s="323">
        <v>0.81</v>
      </c>
      <c r="AS131" s="323">
        <v>0.83</v>
      </c>
      <c r="AT131" s="323">
        <v>0.84</v>
      </c>
      <c r="AU131" s="323">
        <v>0.85</v>
      </c>
      <c r="AV131" s="263">
        <v>0.87</v>
      </c>
      <c r="AW131" s="263">
        <v>0.88</v>
      </c>
      <c r="AX131" s="263">
        <v>0.88</v>
      </c>
      <c r="AY131" s="263">
        <v>0.89</v>
      </c>
      <c r="AZ131" s="263">
        <v>0.9</v>
      </c>
      <c r="BA131" s="263">
        <v>0.91</v>
      </c>
      <c r="BB131" s="263">
        <v>0.91</v>
      </c>
      <c r="BC131" s="478">
        <f>+BB131</f>
        <v>0.91</v>
      </c>
      <c r="BD131" s="271">
        <f>+BC131</f>
        <v>0.91</v>
      </c>
      <c r="BE131" s="271">
        <f>+BD131</f>
        <v>0.91</v>
      </c>
      <c r="BF131" s="210">
        <f t="shared" ref="BF131" si="557">+BE131</f>
        <v>0.91</v>
      </c>
      <c r="BG131" s="210">
        <f t="shared" ref="BG131" si="558">+BF131</f>
        <v>0.91</v>
      </c>
      <c r="BH131" s="210">
        <f t="shared" ref="BH131" si="559">+BG131</f>
        <v>0.91</v>
      </c>
      <c r="BI131" s="210">
        <f t="shared" ref="BI131" si="560">+BH131</f>
        <v>0.91</v>
      </c>
    </row>
    <row r="132" spans="2:61" ht="15.75" thickBot="1">
      <c r="R132" s="163"/>
      <c r="S132" s="163"/>
      <c r="T132" s="163"/>
      <c r="U132" s="163"/>
      <c r="V132" s="163"/>
      <c r="W132" s="163"/>
      <c r="X132" s="163"/>
      <c r="Y132" s="163"/>
      <c r="Z132" s="163"/>
      <c r="AA132" s="163"/>
      <c r="AB132" s="163"/>
      <c r="AC132" s="163"/>
      <c r="AD132" s="163"/>
      <c r="AE132" s="163"/>
      <c r="AF132" s="163"/>
      <c r="AG132" s="163"/>
      <c r="AH132" s="163"/>
      <c r="AI132" s="163"/>
      <c r="AJ132" s="163"/>
      <c r="AK132" s="163"/>
      <c r="AL132" s="161"/>
      <c r="AM132" s="161"/>
      <c r="AN132" s="161"/>
      <c r="AO132" s="161"/>
    </row>
    <row r="133" spans="2:61" s="251" customFormat="1" ht="15.75" thickBot="1">
      <c r="B133" s="194" t="s">
        <v>160</v>
      </c>
      <c r="C133" s="163"/>
      <c r="D133" s="195">
        <f>+D$6</f>
        <v>2013</v>
      </c>
      <c r="E133" s="196">
        <f t="shared" ref="E133:P133" si="561">+E$6</f>
        <v>2014</v>
      </c>
      <c r="F133" s="196">
        <f t="shared" si="561"/>
        <v>2015</v>
      </c>
      <c r="G133" s="196">
        <f t="shared" si="561"/>
        <v>2016</v>
      </c>
      <c r="H133" s="196">
        <f t="shared" si="561"/>
        <v>2017</v>
      </c>
      <c r="I133" s="196" t="str">
        <f t="shared" si="561"/>
        <v>2018E</v>
      </c>
      <c r="J133" s="196" t="str">
        <f t="shared" si="561"/>
        <v>2019E</v>
      </c>
      <c r="K133" s="196" t="str">
        <f t="shared" si="561"/>
        <v>2020E</v>
      </c>
      <c r="L133" s="196" t="str">
        <f t="shared" si="561"/>
        <v>2021E</v>
      </c>
      <c r="M133" s="196" t="str">
        <f t="shared" si="561"/>
        <v>2022E</v>
      </c>
      <c r="N133" s="196" t="str">
        <f t="shared" si="561"/>
        <v>2023E</v>
      </c>
      <c r="O133" s="196" t="str">
        <f t="shared" si="561"/>
        <v>2024E</v>
      </c>
      <c r="P133" s="197" t="str">
        <f t="shared" si="561"/>
        <v>2025E</v>
      </c>
      <c r="Q133" s="318"/>
      <c r="R133" s="196" t="s">
        <v>228</v>
      </c>
      <c r="S133" s="196" t="s">
        <v>229</v>
      </c>
      <c r="T133" s="196" t="s">
        <v>230</v>
      </c>
      <c r="U133" s="196" t="s">
        <v>231</v>
      </c>
      <c r="V133" s="196" t="s">
        <v>232</v>
      </c>
      <c r="W133" s="196" t="s">
        <v>233</v>
      </c>
      <c r="X133" s="196" t="s">
        <v>234</v>
      </c>
      <c r="Y133" s="196" t="s">
        <v>235</v>
      </c>
      <c r="Z133" s="196" t="s">
        <v>236</v>
      </c>
      <c r="AA133" s="196" t="s">
        <v>237</v>
      </c>
      <c r="AB133" s="196" t="s">
        <v>238</v>
      </c>
      <c r="AC133" s="196" t="s">
        <v>239</v>
      </c>
      <c r="AD133" s="196" t="s">
        <v>240</v>
      </c>
      <c r="AE133" s="196" t="s">
        <v>241</v>
      </c>
      <c r="AF133" s="196" t="s">
        <v>242</v>
      </c>
      <c r="AG133" s="196" t="s">
        <v>243</v>
      </c>
      <c r="AH133" s="196" t="s">
        <v>244</v>
      </c>
      <c r="AI133" s="196" t="s">
        <v>245</v>
      </c>
      <c r="AJ133" s="196" t="s">
        <v>246</v>
      </c>
      <c r="AK133" s="196" t="s">
        <v>247</v>
      </c>
      <c r="AL133" s="196" t="s">
        <v>248</v>
      </c>
      <c r="AM133" s="196" t="s">
        <v>249</v>
      </c>
      <c r="AN133" s="196" t="s">
        <v>250</v>
      </c>
      <c r="AO133" s="196" t="s">
        <v>251</v>
      </c>
      <c r="AP133" s="196" t="s">
        <v>156</v>
      </c>
      <c r="AQ133" s="196" t="s">
        <v>157</v>
      </c>
      <c r="AR133" s="196" t="s">
        <v>158</v>
      </c>
      <c r="AS133" s="196" t="s">
        <v>159</v>
      </c>
      <c r="AT133" s="196" t="str">
        <f>+AT$6</f>
        <v>1Q15</v>
      </c>
      <c r="AU133" s="196" t="str">
        <f t="shared" ref="AU133:BI133" si="562">+AU$6</f>
        <v>2Q15</v>
      </c>
      <c r="AV133" s="196" t="str">
        <f t="shared" si="562"/>
        <v>3Q15</v>
      </c>
      <c r="AW133" s="196" t="str">
        <f t="shared" si="562"/>
        <v>4Q15</v>
      </c>
      <c r="AX133" s="196" t="str">
        <f t="shared" si="562"/>
        <v>1Q16</v>
      </c>
      <c r="AY133" s="196" t="str">
        <f t="shared" si="562"/>
        <v>2Q16</v>
      </c>
      <c r="AZ133" s="196" t="str">
        <f t="shared" si="562"/>
        <v>3Q16</v>
      </c>
      <c r="BA133" s="196" t="str">
        <f t="shared" si="562"/>
        <v>4Q16</v>
      </c>
      <c r="BB133" s="196" t="str">
        <f t="shared" si="562"/>
        <v>1Q17</v>
      </c>
      <c r="BC133" s="196" t="str">
        <f t="shared" si="562"/>
        <v>2Q17</v>
      </c>
      <c r="BD133" s="196" t="str">
        <f t="shared" si="562"/>
        <v>3Q17</v>
      </c>
      <c r="BE133" s="196" t="str">
        <f t="shared" si="562"/>
        <v>4Q17</v>
      </c>
      <c r="BF133" s="196" t="str">
        <f t="shared" si="562"/>
        <v>1Q18E</v>
      </c>
      <c r="BG133" s="196" t="str">
        <f t="shared" si="562"/>
        <v>2Q18E</v>
      </c>
      <c r="BH133" s="196" t="str">
        <f t="shared" si="562"/>
        <v>3Q18E</v>
      </c>
      <c r="BI133" s="197" t="str">
        <f t="shared" si="562"/>
        <v>4Q18E</v>
      </c>
    </row>
    <row r="135" spans="2:61">
      <c r="B135" s="235" t="s">
        <v>0</v>
      </c>
      <c r="D135" s="236">
        <f>SUM(AL135:AO135)</f>
        <v>14600</v>
      </c>
      <c r="E135" s="308">
        <f>+SUM(AP135:AS135)</f>
        <v>28900</v>
      </c>
      <c r="F135" s="295">
        <f>SUM(AT135:AW135)</f>
        <v>25100</v>
      </c>
      <c r="G135" s="295">
        <f>SUM(AX135:BA135)</f>
        <v>21500</v>
      </c>
      <c r="H135" s="295">
        <f>SUM(BB135:BE135)</f>
        <v>20200</v>
      </c>
      <c r="I135" s="295">
        <f ca="1">SUM(BF135:BI135)</f>
        <v>19921.340532442635</v>
      </c>
      <c r="J135" s="236">
        <f ca="1">+J127</f>
        <v>19642.294773440761</v>
      </c>
      <c r="K135" s="236">
        <f t="shared" ref="K135:P135" ca="1" si="563">+K127</f>
        <v>19322.190335432802</v>
      </c>
      <c r="L135" s="236">
        <f t="shared" ca="1" si="563"/>
        <v>18967.938558899343</v>
      </c>
      <c r="M135" s="236">
        <f t="shared" ca="1" si="563"/>
        <v>18585.645649706479</v>
      </c>
      <c r="N135" s="236">
        <f t="shared" ca="1" si="563"/>
        <v>18180.691383693444</v>
      </c>
      <c r="O135" s="236">
        <f t="shared" ca="1" si="563"/>
        <v>17757.801625667238</v>
      </c>
      <c r="P135" s="236">
        <f t="shared" ca="1" si="563"/>
        <v>17321.114968006517</v>
      </c>
      <c r="AN135" s="236">
        <f>+AN127</f>
        <v>6700</v>
      </c>
      <c r="AO135" s="236">
        <f t="shared" ref="AO135:AV135" si="564">+AO127</f>
        <v>7900</v>
      </c>
      <c r="AP135" s="236">
        <f t="shared" si="564"/>
        <v>5800</v>
      </c>
      <c r="AQ135" s="236">
        <f t="shared" si="564"/>
        <v>6200</v>
      </c>
      <c r="AR135" s="236">
        <f t="shared" si="564"/>
        <v>6800</v>
      </c>
      <c r="AS135" s="236">
        <f t="shared" si="564"/>
        <v>10100</v>
      </c>
      <c r="AT135" s="236">
        <f t="shared" si="564"/>
        <v>6200</v>
      </c>
      <c r="AU135" s="236">
        <f t="shared" si="564"/>
        <v>5700</v>
      </c>
      <c r="AV135" s="236">
        <f t="shared" si="564"/>
        <v>5800</v>
      </c>
      <c r="AW135" s="236">
        <f t="shared" ref="AW135:BB135" si="565">+AW127</f>
        <v>7400</v>
      </c>
      <c r="AX135" s="236">
        <f t="shared" si="565"/>
        <v>5100</v>
      </c>
      <c r="AY135" s="236">
        <f t="shared" si="565"/>
        <v>4800</v>
      </c>
      <c r="AZ135" s="236">
        <f t="shared" si="565"/>
        <v>5100</v>
      </c>
      <c r="BA135" s="236">
        <f t="shared" si="565"/>
        <v>6500</v>
      </c>
      <c r="BB135" s="236">
        <f t="shared" si="565"/>
        <v>4200</v>
      </c>
      <c r="BC135" s="236">
        <f t="shared" ref="BC135:BD135" si="566">+BC127</f>
        <v>4400</v>
      </c>
      <c r="BD135" s="236">
        <f t="shared" si="566"/>
        <v>4400</v>
      </c>
      <c r="BE135" s="236">
        <f t="shared" ref="BE135" si="567">+BE127</f>
        <v>7200</v>
      </c>
      <c r="BF135" s="236">
        <f t="shared" ref="BF135:BI135" si="568">+BF127</f>
        <v>4273.0715017727998</v>
      </c>
      <c r="BG135" s="236">
        <f t="shared" ca="1" si="568"/>
        <v>4440.1798698407438</v>
      </c>
      <c r="BH135" s="236">
        <f t="shared" ca="1" si="568"/>
        <v>4430.4941437045345</v>
      </c>
      <c r="BI135" s="236">
        <f t="shared" ca="1" si="568"/>
        <v>6777.5950171245568</v>
      </c>
    </row>
    <row r="136" spans="2:61" s="291" customFormat="1">
      <c r="B136" s="324" t="s">
        <v>330</v>
      </c>
      <c r="C136" s="320"/>
      <c r="D136" s="291">
        <f t="shared" ref="D136:I136" si="569">+D137/D135</f>
        <v>0.10506849315068494</v>
      </c>
      <c r="E136" s="291">
        <f t="shared" si="569"/>
        <v>0.52975778546712804</v>
      </c>
      <c r="F136" s="291">
        <f t="shared" si="569"/>
        <v>0.69131474103585655</v>
      </c>
      <c r="G136" s="291">
        <f t="shared" si="569"/>
        <v>0.82590697674418601</v>
      </c>
      <c r="H136" s="291">
        <f t="shared" si="569"/>
        <v>0.84237623762376235</v>
      </c>
      <c r="I136" s="291">
        <f t="shared" ca="1" si="569"/>
        <v>0.8600000000000001</v>
      </c>
      <c r="J136" s="291">
        <f ca="1">+I136+0.025</f>
        <v>0.88500000000000012</v>
      </c>
      <c r="K136" s="291">
        <f t="shared" ref="K136:M136" ca="1" si="570">+J136+0.025</f>
        <v>0.91000000000000014</v>
      </c>
      <c r="L136" s="291">
        <f t="shared" ca="1" si="570"/>
        <v>0.93500000000000016</v>
      </c>
      <c r="M136" s="291">
        <f t="shared" ca="1" si="570"/>
        <v>0.96000000000000019</v>
      </c>
      <c r="N136" s="291">
        <f ca="1">+M136</f>
        <v>0.96000000000000019</v>
      </c>
      <c r="O136" s="291">
        <f t="shared" ref="O136:P136" ca="1" si="571">+N136</f>
        <v>0.96000000000000019</v>
      </c>
      <c r="P136" s="291">
        <f t="shared" ca="1" si="571"/>
        <v>0.96000000000000019</v>
      </c>
      <c r="Q136" s="320"/>
      <c r="R136" s="320"/>
      <c r="S136" s="320"/>
      <c r="T136" s="320"/>
      <c r="U136" s="320"/>
      <c r="V136" s="320"/>
      <c r="W136" s="320"/>
      <c r="X136" s="320"/>
      <c r="Y136" s="320"/>
      <c r="Z136" s="326"/>
      <c r="AA136" s="326"/>
      <c r="AB136" s="326"/>
      <c r="AC136" s="326"/>
      <c r="AD136" s="326"/>
      <c r="AE136" s="326"/>
      <c r="AF136" s="326"/>
      <c r="AG136" s="326"/>
      <c r="AH136" s="326"/>
      <c r="AI136" s="326"/>
      <c r="AJ136" s="326"/>
      <c r="AK136" s="326"/>
      <c r="AL136" s="326"/>
      <c r="AM136" s="326"/>
      <c r="AN136" s="325">
        <f>+AN137/AN135</f>
        <v>5.2089552238805972E-2</v>
      </c>
      <c r="AO136" s="326">
        <v>0.15</v>
      </c>
      <c r="AP136" s="325">
        <f>+AP137/AP135</f>
        <v>0.49448275862068963</v>
      </c>
      <c r="AQ136" s="325">
        <f>+AQ137/AQ135</f>
        <v>0.50677419354838704</v>
      </c>
      <c r="AR136" s="325">
        <f>+AR137/AR135</f>
        <v>0.5</v>
      </c>
      <c r="AS136" s="325">
        <f>+AS137/AS135</f>
        <v>0.58415841584158412</v>
      </c>
      <c r="AT136" s="326">
        <v>0.65</v>
      </c>
      <c r="AU136" s="326">
        <v>0.68</v>
      </c>
      <c r="AV136" s="327">
        <v>0.71</v>
      </c>
      <c r="AW136" s="327">
        <v>0.72</v>
      </c>
      <c r="AX136" s="327">
        <v>0.8</v>
      </c>
      <c r="AY136" s="327">
        <v>0.83</v>
      </c>
      <c r="AZ136" s="327">
        <v>0.83</v>
      </c>
      <c r="BA136" s="327">
        <v>0.84</v>
      </c>
      <c r="BB136" s="327">
        <v>0.82</v>
      </c>
      <c r="BC136" s="327">
        <v>0.83</v>
      </c>
      <c r="BD136" s="327">
        <v>0.88</v>
      </c>
      <c r="BE136" s="327">
        <v>0.84</v>
      </c>
      <c r="BF136" s="218">
        <v>0.86</v>
      </c>
      <c r="BG136" s="218">
        <v>0.86</v>
      </c>
      <c r="BH136" s="218">
        <v>0.86</v>
      </c>
      <c r="BI136" s="218">
        <v>0.86</v>
      </c>
    </row>
    <row r="137" spans="2:61" s="236" customFormat="1">
      <c r="B137" s="236" t="s">
        <v>3</v>
      </c>
      <c r="C137" s="274"/>
      <c r="D137" s="236">
        <f>SUM(AL137:AO137)</f>
        <v>1534</v>
      </c>
      <c r="E137" s="308">
        <f>+SUM(AP137:AS137)</f>
        <v>15310</v>
      </c>
      <c r="F137" s="295">
        <f>SUM(AT137:AW137)</f>
        <v>17352</v>
      </c>
      <c r="G137" s="295">
        <f>SUM(AX137:BA137)</f>
        <v>17757</v>
      </c>
      <c r="H137" s="295">
        <f>SUM(BB137:BE137)</f>
        <v>17016</v>
      </c>
      <c r="I137" s="295">
        <f ca="1">SUM(BF137:BI137)</f>
        <v>17132.352857900667</v>
      </c>
      <c r="J137" s="236">
        <f ca="1">+J135*J136</f>
        <v>17383.430874495076</v>
      </c>
      <c r="K137" s="236">
        <f t="shared" ref="K137:P137" ca="1" si="572">+K135*K136</f>
        <v>17583.193205243853</v>
      </c>
      <c r="L137" s="236">
        <f t="shared" ca="1" si="572"/>
        <v>17735.022552570888</v>
      </c>
      <c r="M137" s="236">
        <f t="shared" ca="1" si="572"/>
        <v>17842.219823718224</v>
      </c>
      <c r="N137" s="236">
        <f t="shared" ca="1" si="572"/>
        <v>17453.463728345709</v>
      </c>
      <c r="O137" s="236">
        <f t="shared" ca="1" si="572"/>
        <v>17047.489560640552</v>
      </c>
      <c r="P137" s="236">
        <f t="shared" ca="1" si="572"/>
        <v>16628.27036928626</v>
      </c>
      <c r="Q137" s="274"/>
      <c r="R137" s="274"/>
      <c r="S137" s="274"/>
      <c r="T137" s="274"/>
      <c r="U137" s="274"/>
      <c r="V137" s="274"/>
      <c r="W137" s="274"/>
      <c r="X137" s="274"/>
      <c r="Y137" s="274"/>
      <c r="Z137" s="274"/>
      <c r="AA137" s="274"/>
      <c r="AB137" s="274"/>
      <c r="AC137" s="274"/>
      <c r="AD137" s="274"/>
      <c r="AE137" s="274"/>
      <c r="AF137" s="274"/>
      <c r="AG137" s="274"/>
      <c r="AH137" s="274"/>
      <c r="AI137" s="274"/>
      <c r="AJ137" s="274"/>
      <c r="AK137" s="274"/>
      <c r="AN137" s="261">
        <f>1534-AO137</f>
        <v>349</v>
      </c>
      <c r="AO137" s="236">
        <f>+AO135*AO136</f>
        <v>1185</v>
      </c>
      <c r="AP137" s="261">
        <v>2868</v>
      </c>
      <c r="AQ137" s="261">
        <v>3142</v>
      </c>
      <c r="AR137" s="261">
        <v>3400</v>
      </c>
      <c r="AS137" s="261">
        <v>5900</v>
      </c>
      <c r="AT137" s="236">
        <f t="shared" ref="AT137:AW137" si="573">+AT135*AT136</f>
        <v>4030</v>
      </c>
      <c r="AU137" s="236">
        <f t="shared" si="573"/>
        <v>3876.0000000000005</v>
      </c>
      <c r="AV137" s="236">
        <f t="shared" si="573"/>
        <v>4118</v>
      </c>
      <c r="AW137" s="236">
        <f t="shared" si="573"/>
        <v>5328</v>
      </c>
      <c r="AX137" s="236">
        <f t="shared" ref="AX137:BC137" si="574">+AX135*AX136</f>
        <v>4080</v>
      </c>
      <c r="AY137" s="236">
        <f t="shared" si="574"/>
        <v>3984</v>
      </c>
      <c r="AZ137" s="236">
        <f t="shared" si="574"/>
        <v>4233</v>
      </c>
      <c r="BA137" s="236">
        <f t="shared" si="574"/>
        <v>5460</v>
      </c>
      <c r="BB137" s="236">
        <f t="shared" si="574"/>
        <v>3444</v>
      </c>
      <c r="BC137" s="236">
        <f t="shared" si="574"/>
        <v>3652</v>
      </c>
      <c r="BD137" s="236">
        <f t="shared" ref="BD137:BE137" si="575">+BD135*BD136</f>
        <v>3872</v>
      </c>
      <c r="BE137" s="236">
        <f t="shared" si="575"/>
        <v>6048</v>
      </c>
      <c r="BF137" s="236">
        <f t="shared" ref="BF137:BI137" si="576">+BF135*BF136</f>
        <v>3674.8414915246076</v>
      </c>
      <c r="BG137" s="236">
        <f t="shared" ca="1" si="576"/>
        <v>3818.5546880630395</v>
      </c>
      <c r="BH137" s="236">
        <f t="shared" ca="1" si="576"/>
        <v>3810.2249635858998</v>
      </c>
      <c r="BI137" s="236">
        <f t="shared" ca="1" si="576"/>
        <v>5828.7317147271187</v>
      </c>
    </row>
    <row r="138" spans="2:61" s="236" customFormat="1">
      <c r="C138" s="274"/>
      <c r="E138" s="308"/>
      <c r="F138" s="295"/>
      <c r="G138" s="295"/>
      <c r="H138" s="295"/>
      <c r="I138" s="295"/>
      <c r="Q138" s="274"/>
      <c r="R138" s="274"/>
      <c r="S138" s="274"/>
      <c r="T138" s="274"/>
      <c r="U138" s="274"/>
      <c r="V138" s="274"/>
      <c r="W138" s="274"/>
      <c r="X138" s="274"/>
      <c r="Y138" s="274"/>
      <c r="Z138" s="274"/>
      <c r="AA138" s="274"/>
      <c r="AB138" s="274"/>
      <c r="AC138" s="274"/>
      <c r="AD138" s="274"/>
      <c r="AE138" s="274"/>
      <c r="AF138" s="274"/>
      <c r="AG138" s="274"/>
      <c r="AH138" s="274"/>
      <c r="AI138" s="274"/>
      <c r="AJ138" s="274"/>
      <c r="AK138" s="274"/>
      <c r="AN138" s="261"/>
      <c r="AP138" s="261"/>
      <c r="AQ138" s="261"/>
      <c r="AR138" s="261"/>
      <c r="AS138" s="261"/>
    </row>
    <row r="139" spans="2:61" s="236" customFormat="1">
      <c r="B139" s="236" t="s">
        <v>86</v>
      </c>
      <c r="C139" s="274"/>
      <c r="E139" s="308"/>
      <c r="F139" s="295"/>
      <c r="G139" s="295">
        <f>+BA139</f>
        <v>51953</v>
      </c>
      <c r="H139" s="295">
        <f>+BE139</f>
        <v>58806.93</v>
      </c>
      <c r="I139" s="295">
        <f ca="1">+BI139</f>
        <v>58868.082000000009</v>
      </c>
      <c r="J139" s="236">
        <f ca="1">+SUM($D137:J137)</f>
        <v>103484.78373239574</v>
      </c>
      <c r="K139" s="236">
        <f ca="1">+SUM($D137:K137)</f>
        <v>121067.97693763959</v>
      </c>
      <c r="L139" s="236">
        <f ca="1">+SUM($D137:L137)</f>
        <v>138802.99949021047</v>
      </c>
      <c r="M139" s="236">
        <f ca="1">+SUM($D137:M137)</f>
        <v>156645.21931392868</v>
      </c>
      <c r="N139" s="236">
        <f ca="1">+SUM($D137:N137)</f>
        <v>174098.68304227438</v>
      </c>
      <c r="O139" s="236">
        <f ca="1">+SUM($D137:O137)</f>
        <v>191146.17260291494</v>
      </c>
      <c r="P139" s="236">
        <f ca="1">+SUM($D137:P137)</f>
        <v>207774.44297220121</v>
      </c>
      <c r="Q139" s="274"/>
      <c r="R139" s="274"/>
      <c r="S139" s="274"/>
      <c r="T139" s="274"/>
      <c r="U139" s="274"/>
      <c r="V139" s="274"/>
      <c r="W139" s="274"/>
      <c r="X139" s="274"/>
      <c r="Y139" s="274"/>
      <c r="Z139" s="274"/>
      <c r="AA139" s="274"/>
      <c r="AB139" s="274"/>
      <c r="AC139" s="274"/>
      <c r="AD139" s="274"/>
      <c r="AE139" s="274"/>
      <c r="AF139" s="274"/>
      <c r="AG139" s="274"/>
      <c r="AH139" s="274"/>
      <c r="AI139" s="274"/>
      <c r="AJ139" s="274"/>
      <c r="AK139" s="274"/>
      <c r="AN139" s="262">
        <f>+IF(SUM($AN137:AN137)&gt;AN130,AN130,SUM($AN137:AN137))</f>
        <v>349</v>
      </c>
      <c r="AO139" s="262">
        <f>+IF(SUM($AN137:AO137)&gt;AO130,AO130,SUM($AN137:AO137))</f>
        <v>1534</v>
      </c>
      <c r="AP139" s="262">
        <f>+IF(SUM($AN137:AP137)&gt;AP130,AP130,SUM($AN137:AP137))</f>
        <v>4402</v>
      </c>
      <c r="AQ139" s="262">
        <f>+IF(SUM($AN137:AQ137)&gt;AQ130,AQ130,SUM($AN137:AQ137))</f>
        <v>7544</v>
      </c>
      <c r="AR139" s="262">
        <f>+IF(SUM($AN137:AR137)&gt;AR130,AR130,SUM($AN137:AR137))</f>
        <v>10944</v>
      </c>
      <c r="AS139" s="262">
        <f>+IF(SUM($AN137:AS137)&gt;AS130,AS130,SUM($AN137:AS137))</f>
        <v>16844</v>
      </c>
      <c r="AT139" s="262">
        <f>+IF(SUM($AN137:AT137)&gt;AT130,AT130,SUM($AN137:AT137))</f>
        <v>20874</v>
      </c>
      <c r="AU139" s="262">
        <f>+IF(SUM($AN137:AU137)&gt;AU130,AU130,SUM($AN137:AU137))</f>
        <v>24750</v>
      </c>
      <c r="AV139" s="262">
        <f>+IF(SUM($AN137:AV137)&gt;AV130,AV130,SUM($AN137:AV137))</f>
        <v>28868</v>
      </c>
      <c r="AW139" s="262">
        <f>+IF(SUM($AN137:AW137)&gt;AW130,AW130,SUM($AN137:AW137))</f>
        <v>34196</v>
      </c>
      <c r="AX139" s="262">
        <f>+IF(SUM($AN137:AX137)&gt;AX130,AX130,SUM($AN137:AX137))</f>
        <v>38276</v>
      </c>
      <c r="AY139" s="262">
        <f>+IF(SUM($AN137:AY137)&gt;AY130,AY130,SUM($AN137:AY137))</f>
        <v>42260</v>
      </c>
      <c r="AZ139" s="262">
        <f>+IF(SUM($AN137:AZ137)&gt;AZ130,AZ130,SUM($AN137:AZ137))</f>
        <v>46493</v>
      </c>
      <c r="BA139" s="262">
        <f>+IF(SUM($AN137:BA137)&gt;BA130,BA130,SUM($AN137:BA137))</f>
        <v>51953</v>
      </c>
      <c r="BB139" s="262">
        <f>+IF(SUM($AN137:BB137)&gt;BB130,BB130,SUM($AN137:BB137))</f>
        <v>55397</v>
      </c>
      <c r="BC139" s="262">
        <f>+IF(SUM($AN137:BC137)&gt;BC130,BC130,SUM($AN137:BC137))</f>
        <v>58765.98</v>
      </c>
      <c r="BD139" s="262">
        <f>+IF(SUM($AN137:BD137)&gt;BD130,BD130,SUM($AN137:BD137))</f>
        <v>58546.670000000006</v>
      </c>
      <c r="BE139" s="262">
        <f>+IF(SUM($AN137:BE137)&gt;BE130,BE130,SUM($AN137:BE137))</f>
        <v>58806.93</v>
      </c>
      <c r="BF139" s="262">
        <f>+IF(SUM($AN137:BF137)&gt;BF130,BF130,SUM($AN137:BF137))</f>
        <v>58743.23</v>
      </c>
      <c r="BG139" s="262">
        <f ca="1">+IF(SUM($AN137:BG137)&gt;BG130,BG130,SUM($AN137:BG137))</f>
        <v>58688.630000000005</v>
      </c>
      <c r="BH139" s="262">
        <f ca="1">+IF(SUM($AN137:BH137)&gt;BH130,BH130,SUM($AN137:BH137))</f>
        <v>58613.600500000008</v>
      </c>
      <c r="BI139" s="262">
        <f ca="1">+IF(SUM($AN137:BI137)&gt;BI130,BI130,SUM($AN137:BI137))</f>
        <v>58868.082000000009</v>
      </c>
    </row>
    <row r="140" spans="2:61" s="236" customFormat="1">
      <c r="B140" s="236" t="s">
        <v>2</v>
      </c>
      <c r="C140" s="274"/>
      <c r="E140" s="308"/>
      <c r="F140" s="295"/>
      <c r="G140" s="236">
        <f>+G67</f>
        <v>77783</v>
      </c>
      <c r="H140" s="236">
        <f>+H67</f>
        <v>77875</v>
      </c>
      <c r="I140" s="236">
        <f ca="1">+I67</f>
        <v>78642.799978004754</v>
      </c>
      <c r="J140" s="236">
        <f ca="1">+J67</f>
        <v>79136.86702076286</v>
      </c>
      <c r="K140" s="236">
        <f t="shared" ref="K140:P140" ca="1" si="577">+K67</f>
        <v>79388.639022555537</v>
      </c>
      <c r="L140" s="236">
        <f t="shared" ca="1" si="577"/>
        <v>79426.619094793161</v>
      </c>
      <c r="M140" s="236">
        <f t="shared" ca="1" si="577"/>
        <v>79276.599027684759</v>
      </c>
      <c r="N140" s="236">
        <f t="shared" ca="1" si="577"/>
        <v>78961.871110780645</v>
      </c>
      <c r="O140" s="236">
        <f t="shared" ca="1" si="577"/>
        <v>78503.428289506657</v>
      </c>
      <c r="P140" s="236">
        <f t="shared" ca="1" si="577"/>
        <v>77920.152729424008</v>
      </c>
      <c r="Q140" s="274"/>
      <c r="R140" s="274"/>
      <c r="S140" s="274"/>
      <c r="T140" s="274"/>
      <c r="U140" s="274"/>
      <c r="V140" s="274"/>
      <c r="W140" s="274"/>
      <c r="X140" s="274"/>
      <c r="Y140" s="274"/>
      <c r="Z140" s="274"/>
      <c r="AA140" s="274"/>
      <c r="AB140" s="274"/>
      <c r="AC140" s="274"/>
      <c r="AD140" s="236">
        <f t="shared" ref="AD140:AS140" si="578">+AD67</f>
        <v>68062</v>
      </c>
      <c r="AE140" s="236">
        <f t="shared" si="578"/>
        <v>68353</v>
      </c>
      <c r="AF140" s="236">
        <f t="shared" si="578"/>
        <v>68614</v>
      </c>
      <c r="AG140" s="236">
        <f t="shared" si="578"/>
        <v>69309</v>
      </c>
      <c r="AH140" s="236">
        <f t="shared" si="578"/>
        <v>69403</v>
      </c>
      <c r="AI140" s="236">
        <f t="shared" si="578"/>
        <v>69666</v>
      </c>
      <c r="AJ140" s="236">
        <f t="shared" si="578"/>
        <v>69747</v>
      </c>
      <c r="AK140" s="236">
        <f t="shared" si="578"/>
        <v>70497</v>
      </c>
      <c r="AL140" s="236">
        <f t="shared" si="578"/>
        <v>70749</v>
      </c>
      <c r="AM140" s="236">
        <f t="shared" si="578"/>
        <v>71278</v>
      </c>
      <c r="AN140" s="236">
        <f t="shared" si="578"/>
        <v>72032</v>
      </c>
      <c r="AO140" s="236">
        <f t="shared" si="578"/>
        <v>72638</v>
      </c>
      <c r="AP140" s="236">
        <f t="shared" si="578"/>
        <v>73291</v>
      </c>
      <c r="AQ140" s="236">
        <f t="shared" si="578"/>
        <v>74332</v>
      </c>
      <c r="AR140" s="236">
        <f t="shared" si="578"/>
        <v>75105</v>
      </c>
      <c r="AS140" s="236">
        <f t="shared" si="578"/>
        <v>75770</v>
      </c>
      <c r="AT140" s="236">
        <f>+AT67</f>
        <v>76175</v>
      </c>
      <c r="AU140" s="236">
        <f t="shared" ref="AU140:AW140" si="579">+AU67</f>
        <v>76541</v>
      </c>
      <c r="AV140" s="236">
        <f t="shared" si="579"/>
        <v>76671</v>
      </c>
      <c r="AW140" s="236">
        <f t="shared" si="579"/>
        <v>77105</v>
      </c>
      <c r="AX140" s="236">
        <f t="shared" ref="AX140:BC140" si="580">+AX67</f>
        <v>77138</v>
      </c>
      <c r="AY140" s="236">
        <f t="shared" si="580"/>
        <v>77295</v>
      </c>
      <c r="AZ140" s="236">
        <f t="shared" si="580"/>
        <v>77388</v>
      </c>
      <c r="BA140" s="236">
        <f t="shared" si="580"/>
        <v>77783</v>
      </c>
      <c r="BB140" s="236">
        <f t="shared" si="580"/>
        <v>77349</v>
      </c>
      <c r="BC140" s="236">
        <f t="shared" si="580"/>
        <v>77401</v>
      </c>
      <c r="BD140" s="236">
        <f t="shared" ref="BD140:BE140" si="581">+BD67</f>
        <v>77415</v>
      </c>
      <c r="BE140" s="236">
        <f t="shared" si="581"/>
        <v>77875</v>
      </c>
      <c r="BF140" s="236">
        <f t="shared" ref="BF140:BI140" ca="1" si="582">+BF67</f>
        <v>77745.021082464082</v>
      </c>
      <c r="BG140" s="236">
        <f t="shared" ca="1" si="582"/>
        <v>77932.834810471875</v>
      </c>
      <c r="BH140" s="236">
        <f t="shared" ca="1" si="582"/>
        <v>78110.749252695925</v>
      </c>
      <c r="BI140" s="236">
        <f t="shared" ca="1" si="582"/>
        <v>78642.799978004754</v>
      </c>
    </row>
    <row r="141" spans="2:61" s="236" customFormat="1">
      <c r="B141" s="285" t="s">
        <v>163</v>
      </c>
      <c r="C141" s="274"/>
      <c r="E141" s="308"/>
      <c r="F141" s="295"/>
      <c r="G141" s="325">
        <f>+G139/G140</f>
        <v>0.66792229664579661</v>
      </c>
      <c r="H141" s="325">
        <f>+H139/H140</f>
        <v>0.7551451685393259</v>
      </c>
      <c r="I141" s="325">
        <f ca="1">+I139/I140</f>
        <v>0.74855017899241327</v>
      </c>
      <c r="J141" s="325">
        <f ca="1">+J139/J140</f>
        <v>1.3076684436502244</v>
      </c>
      <c r="K141" s="325">
        <f t="shared" ref="K141:P141" ca="1" si="583">+K139/K140</f>
        <v>1.525003809465008</v>
      </c>
      <c r="L141" s="325">
        <f t="shared" ca="1" si="583"/>
        <v>1.7475627323952121</v>
      </c>
      <c r="M141" s="325">
        <f t="shared" ca="1" si="583"/>
        <v>1.9759326363032483</v>
      </c>
      <c r="N141" s="325">
        <f t="shared" ca="1" si="583"/>
        <v>2.2048449535601837</v>
      </c>
      <c r="O141" s="325">
        <f t="shared" ca="1" si="583"/>
        <v>2.434876753382055</v>
      </c>
      <c r="P141" s="325">
        <f t="shared" ca="1" si="583"/>
        <v>2.6665045651757553</v>
      </c>
      <c r="Q141" s="274"/>
      <c r="R141" s="274"/>
      <c r="S141" s="274"/>
      <c r="T141" s="274"/>
      <c r="U141" s="274"/>
      <c r="V141" s="274"/>
      <c r="W141" s="274"/>
      <c r="X141" s="274"/>
      <c r="Y141" s="274"/>
      <c r="Z141" s="274"/>
      <c r="AA141" s="274"/>
      <c r="AB141" s="274"/>
      <c r="AC141" s="274"/>
      <c r="AD141" s="274"/>
      <c r="AE141" s="274"/>
      <c r="AF141" s="274"/>
      <c r="AG141" s="274"/>
      <c r="AH141" s="274"/>
      <c r="AI141" s="274"/>
      <c r="AJ141" s="274"/>
      <c r="AK141" s="274"/>
      <c r="AN141" s="325">
        <f>+AN139/AN140</f>
        <v>4.8450688582852069E-3</v>
      </c>
      <c r="AO141" s="325">
        <f t="shared" ref="AO141:AU141" si="584">+AO139/AO140</f>
        <v>2.111842286406564E-2</v>
      </c>
      <c r="AP141" s="325">
        <f t="shared" si="584"/>
        <v>6.0061944849981577E-2</v>
      </c>
      <c r="AQ141" s="325">
        <f t="shared" si="584"/>
        <v>0.10149060969703493</v>
      </c>
      <c r="AR141" s="325">
        <f t="shared" si="584"/>
        <v>0.1457159976033553</v>
      </c>
      <c r="AS141" s="325">
        <f t="shared" si="584"/>
        <v>0.22230434208789759</v>
      </c>
      <c r="AT141" s="325">
        <f t="shared" si="584"/>
        <v>0.27402691171644239</v>
      </c>
      <c r="AU141" s="325">
        <f t="shared" si="584"/>
        <v>0.32335610979736351</v>
      </c>
      <c r="AV141" s="327">
        <v>0.4</v>
      </c>
      <c r="AW141" s="327">
        <v>0.46</v>
      </c>
      <c r="AX141" s="327">
        <v>0.5</v>
      </c>
      <c r="AY141" s="325">
        <f t="shared" ref="AY141:BI141" si="585">+AY139/AY140</f>
        <v>0.5467365288828514</v>
      </c>
      <c r="AZ141" s="325">
        <f t="shared" si="585"/>
        <v>0.6007778983821781</v>
      </c>
      <c r="BA141" s="325">
        <f t="shared" si="585"/>
        <v>0.66792229664579661</v>
      </c>
      <c r="BB141" s="325">
        <f t="shared" si="585"/>
        <v>0.7161954259266442</v>
      </c>
      <c r="BC141" s="325">
        <f t="shared" si="585"/>
        <v>0.75924057828710223</v>
      </c>
      <c r="BD141" s="325">
        <f t="shared" si="585"/>
        <v>0.75627036104114198</v>
      </c>
      <c r="BE141" s="325">
        <f t="shared" si="585"/>
        <v>0.7551451685393259</v>
      </c>
      <c r="BF141" s="325">
        <f t="shared" ca="1" si="585"/>
        <v>0.75558832169703971</v>
      </c>
      <c r="BG141" s="325">
        <f t="shared" ca="1" si="585"/>
        <v>0.75306679325508097</v>
      </c>
      <c r="BH141" s="325">
        <f t="shared" ca="1" si="585"/>
        <v>0.75039096488985491</v>
      </c>
      <c r="BI141" s="325">
        <f t="shared" ca="1" si="585"/>
        <v>0.74855017899241327</v>
      </c>
    </row>
    <row r="142" spans="2:61" s="236" customFormat="1">
      <c r="B142" s="285"/>
      <c r="C142" s="274"/>
      <c r="E142" s="308"/>
      <c r="F142" s="295"/>
      <c r="G142" s="295"/>
      <c r="H142" s="295"/>
      <c r="I142" s="295"/>
      <c r="Q142" s="274"/>
      <c r="R142" s="274"/>
      <c r="S142" s="274"/>
      <c r="T142" s="274"/>
      <c r="U142" s="274"/>
      <c r="V142" s="274"/>
      <c r="W142" s="274"/>
      <c r="X142" s="274"/>
      <c r="Y142" s="274"/>
      <c r="Z142" s="274"/>
      <c r="AA142" s="274"/>
      <c r="AB142" s="274"/>
      <c r="AC142" s="274"/>
      <c r="AD142" s="274"/>
      <c r="AE142" s="274"/>
      <c r="AF142" s="274"/>
      <c r="AG142" s="274"/>
      <c r="AH142" s="274"/>
      <c r="AI142" s="274"/>
      <c r="AJ142" s="274"/>
      <c r="AK142" s="274"/>
      <c r="AN142" s="325"/>
      <c r="AO142" s="325"/>
      <c r="AP142" s="325"/>
      <c r="AQ142" s="325"/>
      <c r="AR142" s="325"/>
      <c r="AS142" s="325"/>
      <c r="AT142" s="325"/>
      <c r="AU142" s="325"/>
      <c r="AV142" s="327"/>
      <c r="AW142" s="327"/>
      <c r="AX142" s="327"/>
      <c r="AY142" s="327"/>
      <c r="AZ142" s="327"/>
      <c r="BA142" s="327"/>
      <c r="BB142" s="327"/>
      <c r="BC142" s="327"/>
      <c r="BD142" s="327"/>
      <c r="BE142" s="327"/>
      <c r="BF142" s="325"/>
      <c r="BG142" s="325"/>
      <c r="BH142" s="325"/>
      <c r="BI142" s="325"/>
    </row>
    <row r="143" spans="2:61" s="236" customFormat="1" ht="15.75" hidden="1" outlineLevel="1">
      <c r="B143" t="s">
        <v>24</v>
      </c>
      <c r="C143" s="274"/>
      <c r="E143" s="308"/>
      <c r="F143" s="295"/>
      <c r="G143" s="295"/>
      <c r="H143" s="295"/>
      <c r="I143" s="295"/>
      <c r="Q143" s="274"/>
      <c r="R143" s="274"/>
      <c r="S143" s="274"/>
      <c r="T143" s="274"/>
      <c r="U143" s="274"/>
      <c r="V143" s="274"/>
      <c r="W143" s="274"/>
      <c r="X143" s="274"/>
      <c r="Y143" s="274"/>
      <c r="Z143" s="274"/>
      <c r="AA143" s="274"/>
      <c r="AB143" s="274"/>
      <c r="AC143" s="274"/>
      <c r="AD143" s="274"/>
      <c r="AE143" s="274"/>
      <c r="AF143" s="274"/>
      <c r="AG143" s="274"/>
      <c r="AH143" s="274"/>
      <c r="AI143" s="274"/>
      <c r="AJ143" s="274"/>
      <c r="AK143" s="274"/>
      <c r="AN143" s="325"/>
      <c r="AO143" s="325"/>
      <c r="AP143" s="325"/>
      <c r="AQ143" s="325"/>
      <c r="AR143" s="325"/>
      <c r="AS143" s="325"/>
      <c r="AT143" s="325"/>
      <c r="AU143" s="325"/>
      <c r="AV143" s="327"/>
      <c r="AW143" s="327"/>
      <c r="AX143" s="327"/>
      <c r="AY143" s="327"/>
      <c r="AZ143" s="327"/>
      <c r="BA143" s="327"/>
      <c r="BB143" s="327"/>
      <c r="BC143" s="327"/>
      <c r="BD143" s="327"/>
      <c r="BE143" s="327"/>
      <c r="BF143" s="325"/>
      <c r="BG143" s="325"/>
      <c r="BH143" s="325"/>
      <c r="BI143" s="325"/>
    </row>
    <row r="144" spans="2:61" s="236" customFormat="1" hidden="1" outlineLevel="1">
      <c r="B144" s="236" t="s">
        <v>437</v>
      </c>
      <c r="C144" s="274"/>
      <c r="E144" s="308"/>
      <c r="F144" s="295">
        <f>+SUM(AT144:AW144)</f>
        <v>5726.1600000000008</v>
      </c>
      <c r="G144" s="295">
        <f>+SUM(AX144:BA144)</f>
        <v>5859.81</v>
      </c>
      <c r="H144" s="295">
        <f>+SUM(BB144:BE144)</f>
        <v>5615.2800000000007</v>
      </c>
      <c r="I144" s="295">
        <f>+SUM(BC144:BF144)</f>
        <v>5691.457692203121</v>
      </c>
      <c r="J144" s="236">
        <f ca="1">+J137*J145/1000</f>
        <v>5736.5321885833746</v>
      </c>
      <c r="K144" s="236">
        <f t="shared" ref="K144:P144" ca="1" si="586">+K137*K145/1000</f>
        <v>5802.4537577304718</v>
      </c>
      <c r="L144" s="236">
        <f t="shared" ca="1" si="586"/>
        <v>5852.557442348394</v>
      </c>
      <c r="M144" s="236">
        <f t="shared" ca="1" si="586"/>
        <v>5887.9325418270137</v>
      </c>
      <c r="N144" s="236">
        <f t="shared" ca="1" si="586"/>
        <v>5759.6430303540837</v>
      </c>
      <c r="O144" s="236">
        <f t="shared" ca="1" si="586"/>
        <v>5625.6715550113822</v>
      </c>
      <c r="P144" s="236">
        <f t="shared" ca="1" si="586"/>
        <v>5487.3292218644656</v>
      </c>
      <c r="Q144" s="274"/>
      <c r="R144" s="274"/>
      <c r="S144" s="274"/>
      <c r="T144" s="274"/>
      <c r="U144" s="274"/>
      <c r="V144" s="274"/>
      <c r="W144" s="274"/>
      <c r="X144" s="274"/>
      <c r="Y144" s="274"/>
      <c r="Z144" s="274"/>
      <c r="AA144" s="274"/>
      <c r="AB144" s="274"/>
      <c r="AC144" s="274"/>
      <c r="AD144" s="274"/>
      <c r="AE144" s="274"/>
      <c r="AF144" s="274"/>
      <c r="AG144" s="274"/>
      <c r="AH144" s="274"/>
      <c r="AI144" s="274"/>
      <c r="AJ144" s="274"/>
      <c r="AK144" s="274"/>
      <c r="AN144" s="236">
        <f t="shared" ref="AN144:AS144" si="587">+AN137*AN145/1000</f>
        <v>115.17</v>
      </c>
      <c r="AO144" s="236">
        <f t="shared" si="587"/>
        <v>391.05</v>
      </c>
      <c r="AP144" s="236">
        <f t="shared" si="587"/>
        <v>946.44</v>
      </c>
      <c r="AQ144" s="236">
        <f t="shared" si="587"/>
        <v>1036.8599999999999</v>
      </c>
      <c r="AR144" s="236">
        <f t="shared" si="587"/>
        <v>1122</v>
      </c>
      <c r="AS144" s="236">
        <f t="shared" si="587"/>
        <v>1947</v>
      </c>
      <c r="AT144" s="236">
        <f t="shared" ref="AT144:AW144" si="588">+AT137*AT145/1000</f>
        <v>1329.9</v>
      </c>
      <c r="AU144" s="236">
        <f t="shared" si="588"/>
        <v>1279.0800000000002</v>
      </c>
      <c r="AV144" s="236">
        <f t="shared" si="588"/>
        <v>1358.94</v>
      </c>
      <c r="AW144" s="236">
        <f t="shared" si="588"/>
        <v>1758.24</v>
      </c>
      <c r="AX144" s="236">
        <f t="shared" ref="AX144:BC144" si="589">+AX137*AX145/1000</f>
        <v>1346.4</v>
      </c>
      <c r="AY144" s="236">
        <f t="shared" si="589"/>
        <v>1314.72</v>
      </c>
      <c r="AZ144" s="236">
        <f t="shared" si="589"/>
        <v>1396.89</v>
      </c>
      <c r="BA144" s="236">
        <f t="shared" si="589"/>
        <v>1801.8</v>
      </c>
      <c r="BB144" s="236">
        <f t="shared" si="589"/>
        <v>1136.52</v>
      </c>
      <c r="BC144" s="236">
        <f t="shared" si="589"/>
        <v>1205.1600000000001</v>
      </c>
      <c r="BD144" s="236">
        <f t="shared" ref="BD144:BE144" si="590">+BD137*BD145/1000</f>
        <v>1277.76</v>
      </c>
      <c r="BE144" s="236">
        <f t="shared" si="590"/>
        <v>1995.84</v>
      </c>
      <c r="BF144" s="236">
        <f t="shared" ref="BF144:BI144" si="591">+BF137*BF145/1000</f>
        <v>1212.6976922031206</v>
      </c>
      <c r="BG144" s="236">
        <f t="shared" ca="1" si="591"/>
        <v>1260.1230470608029</v>
      </c>
      <c r="BH144" s="236">
        <f t="shared" ca="1" si="591"/>
        <v>1257.374237983347</v>
      </c>
      <c r="BI144" s="236">
        <f t="shared" ca="1" si="591"/>
        <v>1923.4814658599491</v>
      </c>
    </row>
    <row r="145" spans="2:61" s="236" customFormat="1" hidden="1" outlineLevel="1">
      <c r="B145" s="285" t="s">
        <v>164</v>
      </c>
      <c r="C145" s="274"/>
      <c r="E145" s="308"/>
      <c r="F145" s="295"/>
      <c r="G145" s="295"/>
      <c r="H145" s="295"/>
      <c r="I145" s="295"/>
      <c r="J145" s="328">
        <f>600*0.95-240</f>
        <v>330</v>
      </c>
      <c r="K145" s="328">
        <f t="shared" ref="K145:P145" si="592">600*0.95-240</f>
        <v>330</v>
      </c>
      <c r="L145" s="328">
        <f t="shared" si="592"/>
        <v>330</v>
      </c>
      <c r="M145" s="328">
        <f t="shared" si="592"/>
        <v>330</v>
      </c>
      <c r="N145" s="328">
        <f t="shared" si="592"/>
        <v>330</v>
      </c>
      <c r="O145" s="328">
        <f t="shared" si="592"/>
        <v>330</v>
      </c>
      <c r="P145" s="328">
        <f t="shared" si="592"/>
        <v>330</v>
      </c>
      <c r="Q145" s="274"/>
      <c r="R145" s="274"/>
      <c r="S145" s="274"/>
      <c r="T145" s="274"/>
      <c r="U145" s="274"/>
      <c r="V145" s="274"/>
      <c r="W145" s="274"/>
      <c r="X145" s="274"/>
      <c r="Y145" s="274"/>
      <c r="Z145" s="274"/>
      <c r="AA145" s="274"/>
      <c r="AB145" s="274"/>
      <c r="AC145" s="274"/>
      <c r="AD145" s="274"/>
      <c r="AE145" s="274"/>
      <c r="AF145" s="274"/>
      <c r="AG145" s="274"/>
      <c r="AH145" s="274"/>
      <c r="AI145" s="274"/>
      <c r="AJ145" s="274"/>
      <c r="AK145" s="274"/>
      <c r="AN145" s="328">
        <f t="shared" ref="AN145:BI145" si="593">600*0.95-240</f>
        <v>330</v>
      </c>
      <c r="AO145" s="328">
        <f t="shared" si="593"/>
        <v>330</v>
      </c>
      <c r="AP145" s="328">
        <f t="shared" si="593"/>
        <v>330</v>
      </c>
      <c r="AQ145" s="328">
        <f t="shared" si="593"/>
        <v>330</v>
      </c>
      <c r="AR145" s="328">
        <f t="shared" si="593"/>
        <v>330</v>
      </c>
      <c r="AS145" s="328">
        <f t="shared" si="593"/>
        <v>330</v>
      </c>
      <c r="AT145" s="328">
        <f t="shared" si="593"/>
        <v>330</v>
      </c>
      <c r="AU145" s="328">
        <f t="shared" si="593"/>
        <v>330</v>
      </c>
      <c r="AV145" s="328">
        <f t="shared" si="593"/>
        <v>330</v>
      </c>
      <c r="AW145" s="328">
        <f t="shared" si="593"/>
        <v>330</v>
      </c>
      <c r="AX145" s="328">
        <f t="shared" si="593"/>
        <v>330</v>
      </c>
      <c r="AY145" s="328">
        <f t="shared" si="593"/>
        <v>330</v>
      </c>
      <c r="AZ145" s="328">
        <f t="shared" si="593"/>
        <v>330</v>
      </c>
      <c r="BA145" s="328">
        <f t="shared" si="593"/>
        <v>330</v>
      </c>
      <c r="BB145" s="328">
        <f t="shared" si="593"/>
        <v>330</v>
      </c>
      <c r="BC145" s="328">
        <f t="shared" si="593"/>
        <v>330</v>
      </c>
      <c r="BD145" s="328">
        <f t="shared" si="593"/>
        <v>330</v>
      </c>
      <c r="BE145" s="328">
        <f t="shared" si="593"/>
        <v>330</v>
      </c>
      <c r="BF145" s="328">
        <f t="shared" si="593"/>
        <v>330</v>
      </c>
      <c r="BG145" s="328">
        <f t="shared" si="593"/>
        <v>330</v>
      </c>
      <c r="BH145" s="328">
        <f t="shared" si="593"/>
        <v>330</v>
      </c>
      <c r="BI145" s="328">
        <f t="shared" si="593"/>
        <v>330</v>
      </c>
    </row>
    <row r="146" spans="2:61" s="236" customFormat="1" hidden="1" outlineLevel="1">
      <c r="B146" s="236" t="s">
        <v>155</v>
      </c>
      <c r="C146" s="274"/>
      <c r="E146" s="308"/>
      <c r="F146" s="295">
        <f>+SUM(AT146:AW146)</f>
        <v>-4500.54</v>
      </c>
      <c r="G146" s="295">
        <f>+SUM(AX146:BA146)</f>
        <v>-7654.6574999999993</v>
      </c>
      <c r="H146" s="295">
        <f t="shared" ref="H146:I148" si="594">+SUM(BB146:BE146)</f>
        <v>-10264.032675</v>
      </c>
      <c r="I146" s="295">
        <f t="shared" si="594"/>
        <v>-10493.536275000002</v>
      </c>
      <c r="J146" s="236">
        <f ca="1">-AVERAGE(I139:J139)*J147*12/1000</f>
        <v>-14611.757915915616</v>
      </c>
      <c r="K146" s="236">
        <f t="shared" ref="K146:P146" ca="1" si="595">-AVERAGE(J139:K139)*K147*12/1000</f>
        <v>-20209.748460303181</v>
      </c>
      <c r="L146" s="236">
        <f t="shared" ca="1" si="595"/>
        <v>-23388.387878506503</v>
      </c>
      <c r="M146" s="236">
        <f t="shared" ca="1" si="595"/>
        <v>-26590.339692372523</v>
      </c>
      <c r="N146" s="236">
        <f t="shared" ca="1" si="595"/>
        <v>-29766.951212058277</v>
      </c>
      <c r="O146" s="236">
        <f t="shared" ca="1" si="595"/>
        <v>-32872.03700806704</v>
      </c>
      <c r="P146" s="236">
        <f t="shared" ca="1" si="595"/>
        <v>-35902.855401760455</v>
      </c>
      <c r="Q146" s="274"/>
      <c r="R146" s="274"/>
      <c r="S146" s="274"/>
      <c r="T146" s="274"/>
      <c r="U146" s="274"/>
      <c r="V146" s="274"/>
      <c r="W146" s="274"/>
      <c r="X146" s="274"/>
      <c r="Y146" s="274"/>
      <c r="Z146" s="274"/>
      <c r="AA146" s="274"/>
      <c r="AB146" s="274"/>
      <c r="AC146" s="274"/>
      <c r="AD146" s="274"/>
      <c r="AE146" s="274"/>
      <c r="AF146" s="274"/>
      <c r="AG146" s="274"/>
      <c r="AH146" s="274"/>
      <c r="AI146" s="274"/>
      <c r="AJ146" s="274"/>
      <c r="AK146" s="274"/>
      <c r="AN146" s="236">
        <f t="shared" ref="AN146:AV146" si="596">-AVERAGE(AM139:AN139)*AN147*3/1000</f>
        <v>-15.705</v>
      </c>
      <c r="AO146" s="236">
        <f t="shared" si="596"/>
        <v>-42.3675</v>
      </c>
      <c r="AP146" s="236">
        <f t="shared" si="596"/>
        <v>-133.56</v>
      </c>
      <c r="AQ146" s="236">
        <f t="shared" si="596"/>
        <v>-268.78500000000003</v>
      </c>
      <c r="AR146" s="236">
        <f t="shared" si="596"/>
        <v>-415.98</v>
      </c>
      <c r="AS146" s="236">
        <f t="shared" si="596"/>
        <v>-625.23</v>
      </c>
      <c r="AT146" s="236">
        <f t="shared" si="596"/>
        <v>-848.65499999999997</v>
      </c>
      <c r="AU146" s="236">
        <f t="shared" si="596"/>
        <v>-1026.54</v>
      </c>
      <c r="AV146" s="236">
        <f t="shared" si="596"/>
        <v>-1206.405</v>
      </c>
      <c r="AW146" s="236">
        <f t="shared" ref="AW146:BE146" si="597">-AVERAGE(AV139:AW139)*AW147*3/1000</f>
        <v>-1418.94</v>
      </c>
      <c r="AX146" s="236">
        <f t="shared" si="597"/>
        <v>-1630.62</v>
      </c>
      <c r="AY146" s="236">
        <f t="shared" si="597"/>
        <v>-1812.06</v>
      </c>
      <c r="AZ146" s="236">
        <f t="shared" si="597"/>
        <v>-1996.9425000000001</v>
      </c>
      <c r="BA146" s="236">
        <f t="shared" si="597"/>
        <v>-2215.0349999999999</v>
      </c>
      <c r="BB146" s="236">
        <f t="shared" si="597"/>
        <v>-2415.375</v>
      </c>
      <c r="BC146" s="236">
        <f t="shared" si="597"/>
        <v>-2568.6670500000005</v>
      </c>
      <c r="BD146" s="236">
        <f t="shared" si="597"/>
        <v>-2639.5346250000007</v>
      </c>
      <c r="BE146" s="236">
        <f t="shared" si="597"/>
        <v>-2640.4560000000001</v>
      </c>
      <c r="BF146" s="236">
        <f t="shared" ref="BF146" si="598">-AVERAGE(BE139:BF139)*BF147*3/1000</f>
        <v>-2644.8786</v>
      </c>
      <c r="BG146" s="236">
        <f t="shared" ref="BG146" ca="1" si="599">-AVERAGE(BF139:BG139)*BG147*3/1000</f>
        <v>-2642.2168500000002</v>
      </c>
      <c r="BH146" s="236">
        <f t="shared" ref="BH146" ca="1" si="600">-AVERAGE(BG139:BH139)*BH147*3/1000</f>
        <v>-2639.3001862500005</v>
      </c>
      <c r="BI146" s="236">
        <f t="shared" ref="BI146" ca="1" si="601">-AVERAGE(BH139:BI139)*BI147*3/1000</f>
        <v>-2643.3378562500002</v>
      </c>
    </row>
    <row r="147" spans="2:61" s="236" customFormat="1" hidden="1" outlineLevel="1">
      <c r="B147" s="285" t="s">
        <v>154</v>
      </c>
      <c r="C147" s="274"/>
      <c r="E147" s="308"/>
      <c r="F147" s="295"/>
      <c r="G147" s="295"/>
      <c r="H147" s="295">
        <f t="shared" si="594"/>
        <v>60</v>
      </c>
      <c r="I147" s="295">
        <f t="shared" si="594"/>
        <v>60</v>
      </c>
      <c r="J147" s="328">
        <v>15</v>
      </c>
      <c r="K147" s="328">
        <v>15</v>
      </c>
      <c r="L147" s="328">
        <v>15</v>
      </c>
      <c r="M147" s="328">
        <v>15</v>
      </c>
      <c r="N147" s="328">
        <v>15</v>
      </c>
      <c r="O147" s="328">
        <v>15</v>
      </c>
      <c r="P147" s="328">
        <v>15</v>
      </c>
      <c r="Q147" s="274"/>
      <c r="R147" s="274"/>
      <c r="S147" s="274"/>
      <c r="T147" s="274"/>
      <c r="U147" s="274"/>
      <c r="V147" s="274"/>
      <c r="W147" s="274"/>
      <c r="X147" s="274"/>
      <c r="Y147" s="274"/>
      <c r="Z147" s="274"/>
      <c r="AA147" s="274"/>
      <c r="AB147" s="274"/>
      <c r="AC147" s="274"/>
      <c r="AD147" s="274"/>
      <c r="AE147" s="274"/>
      <c r="AF147" s="274"/>
      <c r="AG147" s="274"/>
      <c r="AH147" s="274"/>
      <c r="AI147" s="274"/>
      <c r="AJ147" s="274"/>
      <c r="AK147" s="274"/>
      <c r="AN147" s="328">
        <v>15</v>
      </c>
      <c r="AO147" s="328">
        <v>15</v>
      </c>
      <c r="AP147" s="328">
        <v>15</v>
      </c>
      <c r="AQ147" s="328">
        <v>15</v>
      </c>
      <c r="AR147" s="328">
        <v>15</v>
      </c>
      <c r="AS147" s="328">
        <v>15</v>
      </c>
      <c r="AT147" s="328">
        <v>15</v>
      </c>
      <c r="AU147" s="328">
        <v>15</v>
      </c>
      <c r="AV147" s="328">
        <v>15</v>
      </c>
      <c r="AW147" s="328">
        <v>15</v>
      </c>
      <c r="AX147" s="328">
        <v>15</v>
      </c>
      <c r="AY147" s="328">
        <v>15</v>
      </c>
      <c r="AZ147" s="328">
        <v>15</v>
      </c>
      <c r="BA147" s="328">
        <v>15</v>
      </c>
      <c r="BB147" s="328">
        <v>15</v>
      </c>
      <c r="BC147" s="328">
        <v>15</v>
      </c>
      <c r="BD147" s="328">
        <v>15</v>
      </c>
      <c r="BE147" s="328">
        <v>15</v>
      </c>
      <c r="BF147" s="328">
        <v>15</v>
      </c>
      <c r="BG147" s="328">
        <v>15</v>
      </c>
      <c r="BH147" s="328">
        <v>15</v>
      </c>
      <c r="BI147" s="328">
        <v>15</v>
      </c>
    </row>
    <row r="148" spans="2:61" s="236" customFormat="1" ht="15.75" hidden="1" outlineLevel="1">
      <c r="B148" t="s">
        <v>25</v>
      </c>
      <c r="C148" s="274"/>
      <c r="E148" s="308"/>
      <c r="F148" s="295">
        <f>+SUM(AT148:AW148)</f>
        <v>1225.6200000000003</v>
      </c>
      <c r="G148" s="295">
        <f>+SUM(AX148:BA148)</f>
        <v>-1794.8474999999996</v>
      </c>
      <c r="H148" s="295">
        <f t="shared" si="594"/>
        <v>-4648.7526750000015</v>
      </c>
      <c r="I148" s="295">
        <f t="shared" si="594"/>
        <v>-4802.0785827968803</v>
      </c>
      <c r="J148" s="236">
        <f ca="1">+J144+J146</f>
        <v>-8875.2257273322411</v>
      </c>
      <c r="K148" s="236">
        <f t="shared" ref="K148:P148" ca="1" si="602">+K144+K146</f>
        <v>-14407.294702572708</v>
      </c>
      <c r="L148" s="236">
        <f t="shared" ca="1" si="602"/>
        <v>-17535.83043615811</v>
      </c>
      <c r="M148" s="236">
        <f t="shared" ca="1" si="602"/>
        <v>-20702.40715054551</v>
      </c>
      <c r="N148" s="236">
        <f t="shared" ca="1" si="602"/>
        <v>-24007.308181704193</v>
      </c>
      <c r="O148" s="236">
        <f t="shared" ca="1" si="602"/>
        <v>-27246.36545305566</v>
      </c>
      <c r="P148" s="236">
        <f t="shared" ca="1" si="602"/>
        <v>-30415.526179895991</v>
      </c>
      <c r="Q148" s="274"/>
      <c r="R148" s="274"/>
      <c r="S148" s="274"/>
      <c r="T148" s="274"/>
      <c r="U148" s="274"/>
      <c r="V148" s="274"/>
      <c r="W148" s="274"/>
      <c r="X148" s="274"/>
      <c r="Y148" s="274"/>
      <c r="Z148" s="274"/>
      <c r="AA148" s="274"/>
      <c r="AB148" s="274"/>
      <c r="AC148" s="274"/>
      <c r="AD148" s="274"/>
      <c r="AE148" s="274"/>
      <c r="AF148" s="274"/>
      <c r="AG148" s="274"/>
      <c r="AH148" s="274"/>
      <c r="AI148" s="274"/>
      <c r="AJ148" s="274"/>
      <c r="AK148" s="274"/>
      <c r="AN148" s="236">
        <f t="shared" ref="AN148:AT148" si="603">+AN144+AN146</f>
        <v>99.465000000000003</v>
      </c>
      <c r="AO148" s="236">
        <f t="shared" si="603"/>
        <v>348.6825</v>
      </c>
      <c r="AP148" s="236">
        <f t="shared" si="603"/>
        <v>812.88000000000011</v>
      </c>
      <c r="AQ148" s="236">
        <f t="shared" si="603"/>
        <v>768.07499999999982</v>
      </c>
      <c r="AR148" s="236">
        <f t="shared" si="603"/>
        <v>706.02</v>
      </c>
      <c r="AS148" s="236">
        <f t="shared" si="603"/>
        <v>1321.77</v>
      </c>
      <c r="AT148" s="236">
        <f t="shared" si="603"/>
        <v>481.24500000000012</v>
      </c>
      <c r="AU148" s="236">
        <f t="shared" ref="AU148:AW148" si="604">+AU144+AU146</f>
        <v>252.54000000000019</v>
      </c>
      <c r="AV148" s="236">
        <f t="shared" si="604"/>
        <v>152.53500000000008</v>
      </c>
      <c r="AW148" s="236">
        <f t="shared" si="604"/>
        <v>339.29999999999995</v>
      </c>
      <c r="AX148" s="236">
        <f t="shared" ref="AX148:BC148" si="605">+AX144+AX146</f>
        <v>-284.2199999999998</v>
      </c>
      <c r="AY148" s="236">
        <f t="shared" si="605"/>
        <v>-497.33999999999992</v>
      </c>
      <c r="AZ148" s="236">
        <f t="shared" si="605"/>
        <v>-600.05250000000001</v>
      </c>
      <c r="BA148" s="236">
        <f t="shared" si="605"/>
        <v>-413.2349999999999</v>
      </c>
      <c r="BB148" s="236">
        <f t="shared" si="605"/>
        <v>-1278.855</v>
      </c>
      <c r="BC148" s="236">
        <f t="shared" si="605"/>
        <v>-1363.5070500000004</v>
      </c>
      <c r="BD148" s="236">
        <f t="shared" ref="BD148:BE148" si="606">+BD144+BD146</f>
        <v>-1361.7746250000007</v>
      </c>
      <c r="BE148" s="236">
        <f t="shared" si="606"/>
        <v>-644.61600000000021</v>
      </c>
      <c r="BF148" s="236">
        <f t="shared" ref="BF148:BI148" si="607">+BF144+BF146</f>
        <v>-1432.1809077968794</v>
      </c>
      <c r="BG148" s="236">
        <f t="shared" ca="1" si="607"/>
        <v>-1382.0938029391973</v>
      </c>
      <c r="BH148" s="236">
        <f t="shared" ca="1" si="607"/>
        <v>-1381.9259482666534</v>
      </c>
      <c r="BI148" s="236">
        <f t="shared" ca="1" si="607"/>
        <v>-719.85639039005105</v>
      </c>
    </row>
    <row r="149" spans="2:61" s="236" customFormat="1" hidden="1" outlineLevel="1">
      <c r="B149" s="285"/>
      <c r="C149" s="274"/>
      <c r="E149" s="308"/>
      <c r="F149" s="295"/>
      <c r="G149" s="295"/>
      <c r="H149" s="295"/>
      <c r="I149" s="295"/>
      <c r="Q149" s="274"/>
      <c r="R149" s="274"/>
      <c r="S149" s="274"/>
      <c r="T149" s="274"/>
      <c r="U149" s="274"/>
      <c r="V149" s="274"/>
      <c r="W149" s="274"/>
      <c r="X149" s="274"/>
      <c r="Y149" s="274"/>
      <c r="Z149" s="274"/>
      <c r="AA149" s="274"/>
      <c r="AB149" s="274"/>
      <c r="AC149" s="274"/>
      <c r="AD149" s="274"/>
      <c r="AE149" s="274"/>
      <c r="AF149" s="274"/>
      <c r="AG149" s="274"/>
      <c r="AH149" s="274"/>
      <c r="AI149" s="274"/>
      <c r="AJ149" s="274"/>
      <c r="AK149" s="274"/>
      <c r="AN149" s="325"/>
      <c r="AO149" s="325"/>
      <c r="AP149" s="325"/>
      <c r="AQ149" s="325"/>
      <c r="AR149" s="325"/>
      <c r="AS149" s="325"/>
      <c r="AT149" s="325"/>
      <c r="AU149" s="325"/>
      <c r="AV149" s="327"/>
      <c r="AW149" s="327"/>
      <c r="AX149" s="327"/>
      <c r="AY149" s="327"/>
      <c r="AZ149" s="327"/>
      <c r="BA149" s="327"/>
      <c r="BB149" s="327"/>
      <c r="BC149" s="327"/>
      <c r="BD149" s="327"/>
      <c r="BE149" s="327"/>
      <c r="BF149" s="325"/>
      <c r="BG149" s="325"/>
      <c r="BH149" s="325"/>
      <c r="BI149" s="325"/>
    </row>
    <row r="150" spans="2:61" s="236" customFormat="1" ht="15.75" hidden="1" outlineLevel="1">
      <c r="B150" t="s">
        <v>26</v>
      </c>
      <c r="C150" s="274"/>
      <c r="E150" s="308"/>
      <c r="F150" s="295"/>
      <c r="G150" s="295"/>
      <c r="H150" s="295"/>
      <c r="I150" s="295"/>
      <c r="Q150" s="274"/>
      <c r="R150" s="274"/>
      <c r="S150" s="274"/>
      <c r="T150" s="274"/>
      <c r="U150" s="274"/>
      <c r="V150" s="274"/>
      <c r="W150" s="274"/>
      <c r="X150" s="274"/>
      <c r="Y150" s="274"/>
      <c r="Z150" s="274"/>
      <c r="AA150" s="274"/>
      <c r="AB150" s="274"/>
      <c r="AC150" s="274"/>
      <c r="AD150" s="274"/>
      <c r="AE150" s="274"/>
      <c r="AF150" s="274"/>
      <c r="AG150" s="274"/>
      <c r="AH150" s="274"/>
      <c r="AI150" s="274"/>
      <c r="AJ150" s="274"/>
      <c r="AK150" s="274"/>
      <c r="AN150" s="325"/>
      <c r="AO150" s="325"/>
      <c r="AP150" s="325"/>
      <c r="AQ150" s="325"/>
      <c r="AR150" s="325"/>
      <c r="AS150" s="325"/>
      <c r="AT150" s="325"/>
      <c r="AU150" s="325"/>
      <c r="AV150" s="327"/>
      <c r="AW150" s="327"/>
      <c r="AX150" s="327"/>
      <c r="AY150" s="327"/>
      <c r="AZ150" s="327"/>
      <c r="BA150" s="327"/>
      <c r="BB150" s="327"/>
      <c r="BC150" s="327"/>
      <c r="BD150" s="327"/>
      <c r="BE150" s="327"/>
      <c r="BF150" s="325"/>
      <c r="BG150" s="325"/>
      <c r="BH150" s="325"/>
      <c r="BI150" s="325"/>
    </row>
    <row r="151" spans="2:61" s="236" customFormat="1" hidden="1" outlineLevel="1">
      <c r="B151" s="236" t="s">
        <v>161</v>
      </c>
      <c r="C151" s="274"/>
      <c r="E151" s="308"/>
      <c r="F151" s="328"/>
      <c r="G151" s="328"/>
      <c r="H151" s="295">
        <f t="shared" ref="H151:I155" si="608">+SUM(BB151:BE151)</f>
        <v>120</v>
      </c>
      <c r="I151" s="295">
        <f t="shared" si="608"/>
        <v>120</v>
      </c>
      <c r="J151" s="328">
        <v>30</v>
      </c>
      <c r="K151" s="328">
        <v>30</v>
      </c>
      <c r="L151" s="328">
        <v>30</v>
      </c>
      <c r="M151" s="328">
        <v>30</v>
      </c>
      <c r="N151" s="328">
        <v>30</v>
      </c>
      <c r="O151" s="328">
        <v>30</v>
      </c>
      <c r="P151" s="328">
        <v>30</v>
      </c>
      <c r="Q151" s="274"/>
      <c r="R151" s="274"/>
      <c r="S151" s="274"/>
      <c r="T151" s="274"/>
      <c r="U151" s="274"/>
      <c r="V151" s="274"/>
      <c r="W151" s="274"/>
      <c r="X151" s="274"/>
      <c r="Y151" s="274"/>
      <c r="Z151" s="274"/>
      <c r="AA151" s="274"/>
      <c r="AB151" s="274"/>
      <c r="AC151" s="274"/>
      <c r="AD151" s="274"/>
      <c r="AE151" s="274"/>
      <c r="AF151" s="274"/>
      <c r="AG151" s="274"/>
      <c r="AH151" s="274"/>
      <c r="AI151" s="274"/>
      <c r="AJ151" s="274"/>
      <c r="AK151" s="274"/>
      <c r="AN151" s="328">
        <v>30</v>
      </c>
      <c r="AO151" s="328">
        <v>30</v>
      </c>
      <c r="AP151" s="328">
        <v>30</v>
      </c>
      <c r="AQ151" s="328">
        <v>30</v>
      </c>
      <c r="AR151" s="328">
        <v>30</v>
      </c>
      <c r="AS151" s="328">
        <v>30</v>
      </c>
      <c r="AT151" s="328">
        <v>30</v>
      </c>
      <c r="AU151" s="328">
        <v>30</v>
      </c>
      <c r="AV151" s="328">
        <v>30</v>
      </c>
      <c r="AW151" s="328">
        <v>30</v>
      </c>
      <c r="AX151" s="328">
        <v>30</v>
      </c>
      <c r="AY151" s="328">
        <v>30</v>
      </c>
      <c r="AZ151" s="328">
        <v>30</v>
      </c>
      <c r="BA151" s="328">
        <v>30</v>
      </c>
      <c r="BB151" s="328">
        <v>30</v>
      </c>
      <c r="BC151" s="328">
        <v>30</v>
      </c>
      <c r="BD151" s="328">
        <v>30</v>
      </c>
      <c r="BE151" s="328">
        <v>30</v>
      </c>
      <c r="BF151" s="328">
        <v>30</v>
      </c>
      <c r="BG151" s="328">
        <v>30</v>
      </c>
      <c r="BH151" s="328">
        <v>30</v>
      </c>
      <c r="BI151" s="328">
        <v>30</v>
      </c>
    </row>
    <row r="152" spans="2:61" s="236" customFormat="1" hidden="1" outlineLevel="1">
      <c r="B152" s="236" t="s">
        <v>438</v>
      </c>
      <c r="C152" s="274"/>
      <c r="E152" s="308"/>
      <c r="F152" s="295">
        <f>+SUM(AT152:AW152)</f>
        <v>520.56000000000006</v>
      </c>
      <c r="G152" s="295">
        <f>+SUM(AX152:BA152)</f>
        <v>532.71</v>
      </c>
      <c r="H152" s="295">
        <f t="shared" si="608"/>
        <v>510.47999999999996</v>
      </c>
      <c r="I152" s="295">
        <f t="shared" si="608"/>
        <v>517.40524474573817</v>
      </c>
      <c r="J152" s="236">
        <f ca="1">J137*J151/1000</f>
        <v>521.50292623485234</v>
      </c>
      <c r="K152" s="236">
        <f t="shared" ref="K152:P152" ca="1" si="609">K137*K151/1000</f>
        <v>527.49579615731557</v>
      </c>
      <c r="L152" s="236">
        <f t="shared" ca="1" si="609"/>
        <v>532.05067657712664</v>
      </c>
      <c r="M152" s="236">
        <f t="shared" ca="1" si="609"/>
        <v>535.26659471154665</v>
      </c>
      <c r="N152" s="236">
        <f t="shared" ca="1" si="609"/>
        <v>523.60391185037133</v>
      </c>
      <c r="O152" s="236">
        <f t="shared" ca="1" si="609"/>
        <v>511.4246868192165</v>
      </c>
      <c r="P152" s="236">
        <f t="shared" ca="1" si="609"/>
        <v>498.84811107858775</v>
      </c>
      <c r="Q152" s="274"/>
      <c r="R152" s="274"/>
      <c r="S152" s="274"/>
      <c r="T152" s="274"/>
      <c r="U152" s="274"/>
      <c r="V152" s="274"/>
      <c r="W152" s="274"/>
      <c r="X152" s="274"/>
      <c r="Y152" s="274"/>
      <c r="Z152" s="274"/>
      <c r="AA152" s="274"/>
      <c r="AB152" s="274"/>
      <c r="AC152" s="274"/>
      <c r="AD152" s="274"/>
      <c r="AE152" s="274"/>
      <c r="AN152" s="236">
        <f>AN137*AN151/1000</f>
        <v>10.47</v>
      </c>
      <c r="AO152" s="236">
        <f t="shared" ref="AO152:AW152" si="610">AO137*AO151/1000</f>
        <v>35.549999999999997</v>
      </c>
      <c r="AP152" s="236">
        <f t="shared" si="610"/>
        <v>86.04</v>
      </c>
      <c r="AQ152" s="236">
        <f t="shared" si="610"/>
        <v>94.26</v>
      </c>
      <c r="AR152" s="236">
        <f t="shared" si="610"/>
        <v>102</v>
      </c>
      <c r="AS152" s="236">
        <f t="shared" si="610"/>
        <v>177</v>
      </c>
      <c r="AT152" s="236">
        <f t="shared" si="610"/>
        <v>120.9</v>
      </c>
      <c r="AU152" s="236">
        <f t="shared" si="610"/>
        <v>116.28000000000002</v>
      </c>
      <c r="AV152" s="236">
        <f t="shared" si="610"/>
        <v>123.54</v>
      </c>
      <c r="AW152" s="236">
        <f t="shared" si="610"/>
        <v>159.84</v>
      </c>
      <c r="AX152" s="236">
        <f t="shared" ref="AX152:BC152" si="611">AX137*AX151/1000</f>
        <v>122.4</v>
      </c>
      <c r="AY152" s="236">
        <f t="shared" si="611"/>
        <v>119.52</v>
      </c>
      <c r="AZ152" s="236">
        <f t="shared" si="611"/>
        <v>126.99</v>
      </c>
      <c r="BA152" s="236">
        <f t="shared" si="611"/>
        <v>163.80000000000001</v>
      </c>
      <c r="BB152" s="236">
        <f t="shared" si="611"/>
        <v>103.32</v>
      </c>
      <c r="BC152" s="236">
        <f t="shared" si="611"/>
        <v>109.56</v>
      </c>
      <c r="BD152" s="236">
        <f t="shared" ref="BD152:BE152" si="612">BD137*BD151/1000</f>
        <v>116.16</v>
      </c>
      <c r="BE152" s="236">
        <f t="shared" si="612"/>
        <v>181.44</v>
      </c>
      <c r="BF152" s="236">
        <f t="shared" ref="BF152:BI152" si="613">BF137*BF151/1000</f>
        <v>110.24524474573822</v>
      </c>
      <c r="BG152" s="236">
        <f t="shared" ca="1" si="613"/>
        <v>114.55664064189118</v>
      </c>
      <c r="BH152" s="236">
        <f t="shared" ca="1" si="613"/>
        <v>114.306748907577</v>
      </c>
      <c r="BI152" s="236">
        <f t="shared" ca="1" si="613"/>
        <v>174.86195144181355</v>
      </c>
    </row>
    <row r="153" spans="2:61" s="236" customFormat="1" hidden="1" outlineLevel="1">
      <c r="C153" s="274"/>
      <c r="E153" s="308"/>
      <c r="F153" s="328">
        <v>12</v>
      </c>
      <c r="G153" s="328">
        <v>12</v>
      </c>
      <c r="H153" s="295">
        <f t="shared" si="608"/>
        <v>12</v>
      </c>
      <c r="I153" s="295">
        <f t="shared" si="608"/>
        <v>12</v>
      </c>
      <c r="J153" s="328">
        <v>12</v>
      </c>
      <c r="K153" s="328">
        <v>12</v>
      </c>
      <c r="L153" s="328">
        <v>12</v>
      </c>
      <c r="M153" s="328">
        <v>12</v>
      </c>
      <c r="N153" s="328">
        <v>12</v>
      </c>
      <c r="O153" s="328">
        <v>12</v>
      </c>
      <c r="P153" s="328">
        <v>12</v>
      </c>
      <c r="Q153" s="274"/>
      <c r="R153" s="274"/>
      <c r="S153" s="274"/>
      <c r="T153" s="274"/>
      <c r="U153" s="274"/>
      <c r="V153" s="274"/>
      <c r="W153" s="274"/>
      <c r="X153" s="274"/>
      <c r="Y153" s="274"/>
      <c r="Z153" s="274"/>
      <c r="AA153" s="274"/>
      <c r="AB153" s="274"/>
      <c r="AC153" s="274"/>
      <c r="AD153" s="274"/>
      <c r="AE153" s="274"/>
      <c r="AF153" s="274"/>
      <c r="AG153" s="274"/>
      <c r="AH153" s="274"/>
      <c r="AI153" s="274"/>
      <c r="AJ153" s="274"/>
      <c r="AK153" s="274"/>
      <c r="AL153" s="274"/>
      <c r="AM153" s="274"/>
      <c r="AN153" s="328">
        <v>3</v>
      </c>
      <c r="AO153" s="328">
        <v>3</v>
      </c>
      <c r="AP153" s="328">
        <v>3</v>
      </c>
      <c r="AQ153" s="328">
        <v>3</v>
      </c>
      <c r="AR153" s="328">
        <v>3</v>
      </c>
      <c r="AS153" s="328">
        <v>3</v>
      </c>
      <c r="AT153" s="328">
        <v>3</v>
      </c>
      <c r="AU153" s="328">
        <v>3</v>
      </c>
      <c r="AV153" s="328">
        <v>3</v>
      </c>
      <c r="AW153" s="328">
        <v>3</v>
      </c>
      <c r="AX153" s="328">
        <v>3</v>
      </c>
      <c r="AY153" s="328">
        <v>3</v>
      </c>
      <c r="AZ153" s="328">
        <v>3</v>
      </c>
      <c r="BA153" s="328">
        <v>3</v>
      </c>
      <c r="BB153" s="328">
        <v>3</v>
      </c>
      <c r="BC153" s="328">
        <v>3</v>
      </c>
      <c r="BD153" s="328">
        <v>3</v>
      </c>
      <c r="BE153" s="328">
        <v>3</v>
      </c>
      <c r="BF153" s="328">
        <v>3</v>
      </c>
      <c r="BG153" s="328">
        <v>3</v>
      </c>
      <c r="BH153" s="328">
        <v>3</v>
      </c>
      <c r="BI153" s="328">
        <v>3</v>
      </c>
    </row>
    <row r="154" spans="2:61" s="236" customFormat="1" hidden="1" outlineLevel="1">
      <c r="B154" s="236" t="s">
        <v>162</v>
      </c>
      <c r="C154" s="274"/>
      <c r="E154" s="308"/>
      <c r="F154" s="295">
        <f>+SUM(AT154:AW154)</f>
        <v>8633.52</v>
      </c>
      <c r="G154" s="295">
        <f>+SUM(AX154:BA154)</f>
        <v>10992.015000000001</v>
      </c>
      <c r="H154" s="295">
        <f t="shared" si="608"/>
        <v>10839.510000000002</v>
      </c>
      <c r="I154" s="295">
        <f t="shared" si="608"/>
        <v>10810.297867118608</v>
      </c>
      <c r="J154" s="236">
        <f ca="1">(H152*H153+J152*J153)/2+I152*I153</f>
        <v>12400.760494357972</v>
      </c>
      <c r="K154" s="236">
        <f t="shared" ref="K154:P154" ca="1" si="614">(I152*I153+K152*K153)/2+J152*J153</f>
        <v>12527.441360236549</v>
      </c>
      <c r="L154" s="236">
        <f t="shared" ca="1" si="614"/>
        <v>12651.271170759661</v>
      </c>
      <c r="M154" s="236">
        <f t="shared" ca="1" si="614"/>
        <v>12761.182464138694</v>
      </c>
      <c r="N154" s="236">
        <f t="shared" ca="1" si="614"/>
        <v>12757.126667103548</v>
      </c>
      <c r="O154" s="236">
        <f t="shared" ca="1" si="614"/>
        <v>12563.394631389036</v>
      </c>
      <c r="P154" s="236">
        <f t="shared" ca="1" si="614"/>
        <v>12271.808379404352</v>
      </c>
      <c r="Q154" s="274"/>
      <c r="R154" s="274"/>
      <c r="S154" s="274"/>
      <c r="T154" s="274"/>
      <c r="U154" s="274"/>
      <c r="V154" s="274"/>
      <c r="W154" s="274"/>
      <c r="X154" s="274"/>
      <c r="Y154" s="274"/>
      <c r="Z154" s="274"/>
      <c r="AA154" s="274"/>
      <c r="AB154" s="274"/>
      <c r="AC154" s="274"/>
      <c r="AD154" s="274"/>
      <c r="AE154" s="274"/>
      <c r="AF154" s="274"/>
      <c r="AG154" s="274"/>
      <c r="AH154" s="274"/>
      <c r="AI154" s="274"/>
      <c r="AJ154" s="274"/>
      <c r="AK154" s="274"/>
      <c r="AN154" s="236">
        <f t="shared" ref="AN154:BE154" si="615">+SUMPRODUCT(AH152:AM152,AH153:AM153)+(AG152*AG153+AN152*AN153)/2</f>
        <v>15.705000000000002</v>
      </c>
      <c r="AO154" s="236">
        <f t="shared" si="615"/>
        <v>84.734999999999999</v>
      </c>
      <c r="AP154" s="236">
        <f t="shared" si="615"/>
        <v>267.12</v>
      </c>
      <c r="AQ154" s="236">
        <f t="shared" si="615"/>
        <v>537.57000000000005</v>
      </c>
      <c r="AR154" s="236">
        <f t="shared" si="615"/>
        <v>831.96</v>
      </c>
      <c r="AS154" s="236">
        <f t="shared" si="615"/>
        <v>1250.46</v>
      </c>
      <c r="AT154" s="236">
        <f t="shared" si="615"/>
        <v>1697.31</v>
      </c>
      <c r="AU154" s="236">
        <f t="shared" si="615"/>
        <v>2037.375</v>
      </c>
      <c r="AV154" s="236">
        <f t="shared" si="615"/>
        <v>2328.0749999999998</v>
      </c>
      <c r="AW154" s="236">
        <f t="shared" si="615"/>
        <v>2570.7600000000002</v>
      </c>
      <c r="AX154" s="236">
        <f t="shared" si="615"/>
        <v>2723.67</v>
      </c>
      <c r="AY154" s="236">
        <f t="shared" si="615"/>
        <v>2792.16</v>
      </c>
      <c r="AZ154" s="236">
        <f t="shared" si="615"/>
        <v>2743.4250000000002</v>
      </c>
      <c r="BA154" s="236">
        <f t="shared" si="615"/>
        <v>2732.76</v>
      </c>
      <c r="BB154" s="236">
        <f t="shared" si="615"/>
        <v>2777.67</v>
      </c>
      <c r="BC154" s="236">
        <f t="shared" si="615"/>
        <v>2737.26</v>
      </c>
      <c r="BD154" s="236">
        <f t="shared" si="615"/>
        <v>2650.77</v>
      </c>
      <c r="BE154" s="236">
        <f t="shared" si="615"/>
        <v>2673.8100000000004</v>
      </c>
      <c r="BF154" s="236">
        <f t="shared" ref="BF154" si="616">+SUMPRODUCT(AZ152:BE152,AZ153:BE153)+(AY152*AY153+BF152*BF153)/2</f>
        <v>2748.4578671186073</v>
      </c>
      <c r="BG154" s="236">
        <f t="shared" ref="BG154" ca="1" si="617">+SUMPRODUCT(BA152:BF152,BA153:BF153)+(AZ152*AZ153+BG152*BG153)/2</f>
        <v>2715.8956952000513</v>
      </c>
      <c r="BH154" s="236">
        <f t="shared" ref="BH154" ca="1" si="618">+SUMPRODUCT(BB152:BG152,BB153:BG153)+(BA152*BA153+BH152*BH153)/2</f>
        <v>2623.0057795242537</v>
      </c>
      <c r="BI154" s="236">
        <f t="shared" ref="BI154" ca="1" si="619">+SUMPRODUCT(BC152:BH152,BC153:BH153)+(BB152*BB153+BI152*BI153)/2</f>
        <v>2656.0788300483396</v>
      </c>
    </row>
    <row r="155" spans="2:61" s="236" customFormat="1" hidden="1" outlineLevel="1">
      <c r="B155" s="236" t="s">
        <v>168</v>
      </c>
      <c r="C155" s="274"/>
      <c r="E155" s="308"/>
      <c r="F155" s="295">
        <f>+SUM(AT155:AW155)</f>
        <v>-4164.4800000000005</v>
      </c>
      <c r="G155" s="295">
        <f>+SUM(AX155:BA155)</f>
        <v>-4261.68</v>
      </c>
      <c r="H155" s="295">
        <f t="shared" si="608"/>
        <v>-4083.8399999999997</v>
      </c>
      <c r="I155" s="295">
        <f t="shared" si="608"/>
        <v>-4139.2419579659054</v>
      </c>
      <c r="J155" s="236">
        <f ca="1">-J137*J156/1000</f>
        <v>-4172.0234098788187</v>
      </c>
      <c r="K155" s="236">
        <f t="shared" ref="K155:P155" ca="1" si="620">-K137*K156/1000</f>
        <v>-4219.9663692585245</v>
      </c>
      <c r="L155" s="236">
        <f t="shared" ca="1" si="620"/>
        <v>-4256.4054126170131</v>
      </c>
      <c r="M155" s="236">
        <f t="shared" ca="1" si="620"/>
        <v>-4282.1327576923732</v>
      </c>
      <c r="N155" s="236">
        <f t="shared" ca="1" si="620"/>
        <v>-4188.8312948029707</v>
      </c>
      <c r="O155" s="236">
        <f t="shared" ca="1" si="620"/>
        <v>-4091.397494553732</v>
      </c>
      <c r="P155" s="236">
        <f t="shared" ca="1" si="620"/>
        <v>-3990.784888628702</v>
      </c>
      <c r="Q155" s="274"/>
      <c r="R155" s="274"/>
      <c r="S155" s="274"/>
      <c r="T155" s="274"/>
      <c r="U155" s="274"/>
      <c r="V155" s="274"/>
      <c r="W155" s="274"/>
      <c r="X155" s="274"/>
      <c r="Y155" s="274"/>
      <c r="Z155" s="274"/>
      <c r="AA155" s="274"/>
      <c r="AB155" s="274"/>
      <c r="AC155" s="274"/>
      <c r="AD155" s="274"/>
      <c r="AE155" s="274"/>
      <c r="AF155" s="274"/>
      <c r="AG155" s="274"/>
      <c r="AH155" s="274"/>
      <c r="AI155" s="274"/>
      <c r="AJ155" s="274"/>
      <c r="AK155" s="274"/>
      <c r="AN155" s="236">
        <f t="shared" ref="AN155:AW155" si="621">-AN137*AN156/1000</f>
        <v>-83.76</v>
      </c>
      <c r="AO155" s="236">
        <f t="shared" si="621"/>
        <v>-284.39999999999998</v>
      </c>
      <c r="AP155" s="236">
        <f t="shared" si="621"/>
        <v>-688.32</v>
      </c>
      <c r="AQ155" s="236">
        <f t="shared" si="621"/>
        <v>-754.08</v>
      </c>
      <c r="AR155" s="236">
        <f t="shared" si="621"/>
        <v>-816</v>
      </c>
      <c r="AS155" s="236">
        <f t="shared" si="621"/>
        <v>-1416</v>
      </c>
      <c r="AT155" s="236">
        <f t="shared" si="621"/>
        <v>-967.2</v>
      </c>
      <c r="AU155" s="236">
        <f t="shared" si="621"/>
        <v>-930.24000000000012</v>
      </c>
      <c r="AV155" s="236">
        <f t="shared" si="621"/>
        <v>-988.32</v>
      </c>
      <c r="AW155" s="236">
        <f t="shared" si="621"/>
        <v>-1278.72</v>
      </c>
      <c r="AX155" s="236">
        <f t="shared" ref="AX155:BC155" si="622">-AX137*AX156/1000</f>
        <v>-979.2</v>
      </c>
      <c r="AY155" s="236">
        <f t="shared" si="622"/>
        <v>-956.16</v>
      </c>
      <c r="AZ155" s="236">
        <f t="shared" si="622"/>
        <v>-1015.92</v>
      </c>
      <c r="BA155" s="236">
        <f t="shared" si="622"/>
        <v>-1310.4000000000001</v>
      </c>
      <c r="BB155" s="236">
        <f t="shared" si="622"/>
        <v>-826.56</v>
      </c>
      <c r="BC155" s="236">
        <f t="shared" si="622"/>
        <v>-876.48</v>
      </c>
      <c r="BD155" s="236">
        <f t="shared" ref="BD155:BE155" si="623">-BD137*BD156/1000</f>
        <v>-929.28</v>
      </c>
      <c r="BE155" s="236">
        <f t="shared" si="623"/>
        <v>-1451.52</v>
      </c>
      <c r="BF155" s="236">
        <f t="shared" ref="BF155:BI155" si="624">-BF137*BF156/1000</f>
        <v>-881.96195796590575</v>
      </c>
      <c r="BG155" s="236">
        <f t="shared" ca="1" si="624"/>
        <v>-916.45312513512943</v>
      </c>
      <c r="BH155" s="236">
        <f t="shared" ca="1" si="624"/>
        <v>-914.45399126061602</v>
      </c>
      <c r="BI155" s="236">
        <f t="shared" ca="1" si="624"/>
        <v>-1398.8956115345084</v>
      </c>
    </row>
    <row r="156" spans="2:61" s="236" customFormat="1" hidden="1" outlineLevel="1">
      <c r="B156" s="285" t="s">
        <v>169</v>
      </c>
      <c r="C156" s="274"/>
      <c r="E156" s="308"/>
      <c r="F156" s="295"/>
      <c r="G156" s="295"/>
      <c r="H156" s="295"/>
      <c r="I156" s="295"/>
      <c r="J156" s="328">
        <v>240</v>
      </c>
      <c r="K156" s="328">
        <v>240</v>
      </c>
      <c r="L156" s="328">
        <v>240</v>
      </c>
      <c r="M156" s="328">
        <v>240</v>
      </c>
      <c r="N156" s="328">
        <v>240</v>
      </c>
      <c r="O156" s="328">
        <v>240</v>
      </c>
      <c r="P156" s="328">
        <v>240</v>
      </c>
      <c r="Q156" s="274"/>
      <c r="R156" s="274"/>
      <c r="S156" s="274"/>
      <c r="T156" s="274"/>
      <c r="U156" s="274"/>
      <c r="V156" s="274"/>
      <c r="W156" s="274"/>
      <c r="X156" s="274"/>
      <c r="Y156" s="274"/>
      <c r="Z156" s="274"/>
      <c r="AA156" s="274"/>
      <c r="AB156" s="274"/>
      <c r="AC156" s="274"/>
      <c r="AD156" s="274"/>
      <c r="AE156" s="274"/>
      <c r="AF156" s="274"/>
      <c r="AG156" s="274"/>
      <c r="AH156" s="274"/>
      <c r="AI156" s="274"/>
      <c r="AJ156" s="274"/>
      <c r="AK156" s="274"/>
      <c r="AN156" s="328">
        <v>240</v>
      </c>
      <c r="AO156" s="328">
        <v>240</v>
      </c>
      <c r="AP156" s="328">
        <v>240</v>
      </c>
      <c r="AQ156" s="328">
        <v>240</v>
      </c>
      <c r="AR156" s="328">
        <v>240</v>
      </c>
      <c r="AS156" s="328">
        <v>240</v>
      </c>
      <c r="AT156" s="328">
        <v>240</v>
      </c>
      <c r="AU156" s="328">
        <v>240</v>
      </c>
      <c r="AV156" s="328">
        <v>240</v>
      </c>
      <c r="AW156" s="328">
        <v>240</v>
      </c>
      <c r="AX156" s="328">
        <v>240</v>
      </c>
      <c r="AY156" s="328">
        <v>240</v>
      </c>
      <c r="AZ156" s="328">
        <v>240</v>
      </c>
      <c r="BA156" s="328">
        <v>240</v>
      </c>
      <c r="BB156" s="328">
        <v>240</v>
      </c>
      <c r="BC156" s="328">
        <v>240</v>
      </c>
      <c r="BD156" s="328">
        <v>240</v>
      </c>
      <c r="BE156" s="328">
        <v>240</v>
      </c>
      <c r="BF156" s="328">
        <v>240</v>
      </c>
      <c r="BG156" s="328">
        <v>240</v>
      </c>
      <c r="BH156" s="328">
        <v>240</v>
      </c>
      <c r="BI156" s="328">
        <v>240</v>
      </c>
    </row>
    <row r="157" spans="2:61" s="236" customFormat="1" hidden="1" outlineLevel="1">
      <c r="B157" s="236" t="s">
        <v>170</v>
      </c>
      <c r="C157" s="274"/>
      <c r="E157" s="308"/>
      <c r="F157" s="295">
        <f>+SUM(AT157:AW157)</f>
        <v>-4500.54</v>
      </c>
      <c r="G157" s="295">
        <f>+SUM(AX157:BA157)</f>
        <v>-7654.6574999999993</v>
      </c>
      <c r="H157" s="295">
        <f>+SUM(BB157:BE157)</f>
        <v>-10264.032675</v>
      </c>
      <c r="I157" s="295">
        <f>+SUM(BC157:BF157)</f>
        <v>-10493.536275000002</v>
      </c>
      <c r="J157" s="236">
        <f ca="1">-AVERAGE(I139:J139)*J158*12/1000</f>
        <v>-14611.757915915616</v>
      </c>
      <c r="K157" s="236">
        <f t="shared" ref="K157:P157" ca="1" si="625">-AVERAGE(J139:K139)*K158*12/1000</f>
        <v>-20209.748460303181</v>
      </c>
      <c r="L157" s="236">
        <f t="shared" ca="1" si="625"/>
        <v>-23388.387878506503</v>
      </c>
      <c r="M157" s="236">
        <f t="shared" ca="1" si="625"/>
        <v>-26590.339692372523</v>
      </c>
      <c r="N157" s="236">
        <f t="shared" ca="1" si="625"/>
        <v>-29766.951212058277</v>
      </c>
      <c r="O157" s="236">
        <f t="shared" ca="1" si="625"/>
        <v>-32872.03700806704</v>
      </c>
      <c r="P157" s="236">
        <f t="shared" ca="1" si="625"/>
        <v>-35902.855401760455</v>
      </c>
      <c r="Q157" s="274"/>
      <c r="R157" s="274"/>
      <c r="S157" s="274"/>
      <c r="T157" s="274"/>
      <c r="U157" s="274"/>
      <c r="V157" s="274"/>
      <c r="W157" s="274"/>
      <c r="X157" s="274"/>
      <c r="Y157" s="274"/>
      <c r="Z157" s="274"/>
      <c r="AA157" s="274"/>
      <c r="AB157" s="274"/>
      <c r="AC157" s="274"/>
      <c r="AD157" s="274"/>
      <c r="AE157" s="274"/>
      <c r="AF157" s="274"/>
      <c r="AG157" s="274"/>
      <c r="AH157" s="274"/>
      <c r="AI157" s="274"/>
      <c r="AJ157" s="274"/>
      <c r="AK157" s="274"/>
      <c r="AN157" s="236">
        <f t="shared" ref="AN157:BE157" si="626">-AVERAGE(AM139:AN139)*AN158*3/1000</f>
        <v>-15.705</v>
      </c>
      <c r="AO157" s="236">
        <f t="shared" si="626"/>
        <v>-42.3675</v>
      </c>
      <c r="AP157" s="236">
        <f t="shared" si="626"/>
        <v>-133.56</v>
      </c>
      <c r="AQ157" s="236">
        <f t="shared" si="626"/>
        <v>-268.78500000000003</v>
      </c>
      <c r="AR157" s="236">
        <f t="shared" si="626"/>
        <v>-415.98</v>
      </c>
      <c r="AS157" s="236">
        <f t="shared" si="626"/>
        <v>-625.23</v>
      </c>
      <c r="AT157" s="236">
        <f t="shared" si="626"/>
        <v>-848.65499999999997</v>
      </c>
      <c r="AU157" s="236">
        <f t="shared" si="626"/>
        <v>-1026.54</v>
      </c>
      <c r="AV157" s="236">
        <f t="shared" si="626"/>
        <v>-1206.405</v>
      </c>
      <c r="AW157" s="236">
        <f t="shared" si="626"/>
        <v>-1418.94</v>
      </c>
      <c r="AX157" s="236">
        <f t="shared" si="626"/>
        <v>-1630.62</v>
      </c>
      <c r="AY157" s="236">
        <f t="shared" si="626"/>
        <v>-1812.06</v>
      </c>
      <c r="AZ157" s="236">
        <f t="shared" si="626"/>
        <v>-1996.9425000000001</v>
      </c>
      <c r="BA157" s="236">
        <f t="shared" si="626"/>
        <v>-2215.0349999999999</v>
      </c>
      <c r="BB157" s="236">
        <f t="shared" si="626"/>
        <v>-2415.375</v>
      </c>
      <c r="BC157" s="236">
        <f t="shared" si="626"/>
        <v>-2568.6670500000005</v>
      </c>
      <c r="BD157" s="236">
        <f t="shared" si="626"/>
        <v>-2639.5346250000007</v>
      </c>
      <c r="BE157" s="236">
        <f t="shared" si="626"/>
        <v>-2640.4560000000001</v>
      </c>
      <c r="BF157" s="236">
        <f t="shared" ref="BF157" si="627">-AVERAGE(BE139:BF139)*BF158*3/1000</f>
        <v>-2644.8786</v>
      </c>
      <c r="BG157" s="236">
        <f t="shared" ref="BG157" ca="1" si="628">-AVERAGE(BF139:BG139)*BG158*3/1000</f>
        <v>-2642.2168500000002</v>
      </c>
      <c r="BH157" s="236">
        <f t="shared" ref="BH157" ca="1" si="629">-AVERAGE(BG139:BH139)*BH158*3/1000</f>
        <v>-2639.3001862500005</v>
      </c>
      <c r="BI157" s="236">
        <f t="shared" ref="BI157" ca="1" si="630">-AVERAGE(BH139:BI139)*BI158*3/1000</f>
        <v>-2643.3378562500002</v>
      </c>
    </row>
    <row r="158" spans="2:61" s="236" customFormat="1" hidden="1" outlineLevel="1">
      <c r="B158" s="285" t="s">
        <v>154</v>
      </c>
      <c r="C158" s="274"/>
      <c r="E158" s="308"/>
      <c r="F158" s="295"/>
      <c r="G158" s="295"/>
      <c r="H158" s="295"/>
      <c r="I158" s="295"/>
      <c r="J158" s="328">
        <v>15</v>
      </c>
      <c r="K158" s="328">
        <v>15</v>
      </c>
      <c r="L158" s="328">
        <v>15</v>
      </c>
      <c r="M158" s="328">
        <v>15</v>
      </c>
      <c r="N158" s="328">
        <v>15</v>
      </c>
      <c r="O158" s="328">
        <v>15</v>
      </c>
      <c r="P158" s="328">
        <v>15</v>
      </c>
      <c r="Q158" s="274"/>
      <c r="R158" s="274"/>
      <c r="S158" s="274"/>
      <c r="T158" s="274"/>
      <c r="U158" s="274"/>
      <c r="V158" s="274"/>
      <c r="W158" s="274"/>
      <c r="X158" s="274"/>
      <c r="Y158" s="274"/>
      <c r="Z158" s="274"/>
      <c r="AA158" s="274"/>
      <c r="AB158" s="274"/>
      <c r="AC158" s="274"/>
      <c r="AD158" s="274"/>
      <c r="AE158" s="274"/>
      <c r="AF158" s="274"/>
      <c r="AG158" s="274"/>
      <c r="AH158" s="274"/>
      <c r="AI158" s="274"/>
      <c r="AJ158" s="274"/>
      <c r="AK158" s="274"/>
      <c r="AN158" s="328">
        <v>15</v>
      </c>
      <c r="AO158" s="328">
        <v>15</v>
      </c>
      <c r="AP158" s="328">
        <v>15</v>
      </c>
      <c r="AQ158" s="328">
        <v>15</v>
      </c>
      <c r="AR158" s="328">
        <v>15</v>
      </c>
      <c r="AS158" s="328">
        <v>15</v>
      </c>
      <c r="AT158" s="328">
        <v>15</v>
      </c>
      <c r="AU158" s="328">
        <v>15</v>
      </c>
      <c r="AV158" s="328">
        <v>15</v>
      </c>
      <c r="AW158" s="328">
        <v>15</v>
      </c>
      <c r="AX158" s="328">
        <v>15</v>
      </c>
      <c r="AY158" s="328">
        <v>15</v>
      </c>
      <c r="AZ158" s="328">
        <v>15</v>
      </c>
      <c r="BA158" s="328">
        <v>15</v>
      </c>
      <c r="BB158" s="328">
        <v>15</v>
      </c>
      <c r="BC158" s="328">
        <v>15</v>
      </c>
      <c r="BD158" s="328">
        <v>15</v>
      </c>
      <c r="BE158" s="328">
        <v>15</v>
      </c>
      <c r="BF158" s="328">
        <v>15</v>
      </c>
      <c r="BG158" s="328">
        <v>15</v>
      </c>
      <c r="BH158" s="328">
        <v>15</v>
      </c>
      <c r="BI158" s="328">
        <v>15</v>
      </c>
    </row>
    <row r="159" spans="2:61" s="236" customFormat="1" ht="15.75" hidden="1" outlineLevel="1">
      <c r="B159" t="s">
        <v>27</v>
      </c>
      <c r="C159" s="274"/>
      <c r="E159" s="308"/>
      <c r="F159" s="295">
        <f>+SUM(AT159:AW159)</f>
        <v>-31.500000000000455</v>
      </c>
      <c r="G159" s="295">
        <f>+SUM(AX159:BA159)</f>
        <v>-924.32249999999954</v>
      </c>
      <c r="H159" s="295">
        <f>+SUM(BB159:BE159)</f>
        <v>-3508.3626750000008</v>
      </c>
      <c r="I159" s="295">
        <f>+SUM(BC159:BF159)</f>
        <v>-3822.4803658472993</v>
      </c>
      <c r="J159" s="236">
        <f ca="1">+J154+J155+J157</f>
        <v>-6383.0208314364627</v>
      </c>
      <c r="K159" s="236">
        <f t="shared" ref="K159:P159" ca="1" si="631">+K154+K155+K157</f>
        <v>-11902.273469325155</v>
      </c>
      <c r="L159" s="236">
        <f t="shared" ca="1" si="631"/>
        <v>-14993.522120363854</v>
      </c>
      <c r="M159" s="236">
        <f t="shared" ca="1" si="631"/>
        <v>-18111.289985926203</v>
      </c>
      <c r="N159" s="236">
        <f t="shared" ca="1" si="631"/>
        <v>-21198.655839757699</v>
      </c>
      <c r="O159" s="236">
        <f t="shared" ca="1" si="631"/>
        <v>-24400.039871231736</v>
      </c>
      <c r="P159" s="236">
        <f t="shared" ca="1" si="631"/>
        <v>-27621.831910984805</v>
      </c>
      <c r="Q159" s="274"/>
      <c r="R159" s="274"/>
      <c r="S159" s="274"/>
      <c r="T159" s="274"/>
      <c r="U159" s="274"/>
      <c r="V159" s="274"/>
      <c r="W159" s="274"/>
      <c r="X159" s="274"/>
      <c r="Y159" s="274"/>
      <c r="Z159" s="274"/>
      <c r="AA159" s="274"/>
      <c r="AB159" s="274"/>
      <c r="AC159" s="274"/>
      <c r="AD159" s="274"/>
      <c r="AE159" s="274"/>
      <c r="AF159" s="274"/>
      <c r="AG159" s="274"/>
      <c r="AH159" s="274"/>
      <c r="AI159" s="274"/>
      <c r="AJ159" s="274"/>
      <c r="AK159" s="274"/>
      <c r="AN159" s="236">
        <f>+AN154+AN155+AN157</f>
        <v>-83.76</v>
      </c>
      <c r="AO159" s="236">
        <f t="shared" ref="AO159:AW159" si="632">+AO154+AO155+AO157</f>
        <v>-242.03249999999997</v>
      </c>
      <c r="AP159" s="236">
        <f t="shared" si="632"/>
        <v>-554.76</v>
      </c>
      <c r="AQ159" s="236">
        <f t="shared" si="632"/>
        <v>-485.29500000000002</v>
      </c>
      <c r="AR159" s="236">
        <f t="shared" si="632"/>
        <v>-400.02</v>
      </c>
      <c r="AS159" s="236">
        <f t="shared" si="632"/>
        <v>-790.77</v>
      </c>
      <c r="AT159" s="236">
        <f t="shared" si="632"/>
        <v>-118.54500000000007</v>
      </c>
      <c r="AU159" s="236">
        <f t="shared" si="632"/>
        <v>80.5949999999998</v>
      </c>
      <c r="AV159" s="236">
        <f t="shared" si="632"/>
        <v>133.34999999999968</v>
      </c>
      <c r="AW159" s="236">
        <f t="shared" si="632"/>
        <v>-126.89999999999986</v>
      </c>
      <c r="AX159" s="236">
        <f t="shared" ref="AX159:BC159" si="633">+AX154+AX155+AX157</f>
        <v>113.85000000000014</v>
      </c>
      <c r="AY159" s="236">
        <f t="shared" si="633"/>
        <v>23.940000000000055</v>
      </c>
      <c r="AZ159" s="236">
        <f t="shared" si="633"/>
        <v>-269.4375</v>
      </c>
      <c r="BA159" s="236">
        <f t="shared" si="633"/>
        <v>-792.67499999999973</v>
      </c>
      <c r="BB159" s="236">
        <f t="shared" si="633"/>
        <v>-464.26499999999987</v>
      </c>
      <c r="BC159" s="236">
        <f t="shared" si="633"/>
        <v>-707.88705000000027</v>
      </c>
      <c r="BD159" s="236">
        <f t="shared" ref="BD159:BE159" si="634">+BD154+BD155+BD157</f>
        <v>-918.04462500000068</v>
      </c>
      <c r="BE159" s="236">
        <f t="shared" si="634"/>
        <v>-1418.1659999999997</v>
      </c>
      <c r="BF159" s="236">
        <f t="shared" ref="BF159:BI159" si="635">+BF154+BF155+BF157</f>
        <v>-778.38269084729836</v>
      </c>
      <c r="BG159" s="236">
        <f t="shared" ca="1" si="635"/>
        <v>-842.77427993507854</v>
      </c>
      <c r="BH159" s="236">
        <f t="shared" ca="1" si="635"/>
        <v>-930.74839798636276</v>
      </c>
      <c r="BI159" s="236">
        <f t="shared" ca="1" si="635"/>
        <v>-1386.154637736169</v>
      </c>
    </row>
    <row r="160" spans="2:61" hidden="1" outlineLevel="1">
      <c r="AM160" s="236"/>
      <c r="AN160" s="236"/>
      <c r="AO160" s="236"/>
      <c r="AP160" s="236"/>
      <c r="AQ160" s="236"/>
      <c r="AR160" s="236"/>
      <c r="AS160" s="236"/>
      <c r="AT160" s="236"/>
      <c r="AU160" s="236"/>
    </row>
    <row r="161" spans="2:61" hidden="1" outlineLevel="1">
      <c r="B161" s="235" t="s">
        <v>333</v>
      </c>
      <c r="D161" s="236"/>
      <c r="E161" s="236"/>
      <c r="AL161" s="328">
        <v>10000</v>
      </c>
      <c r="AM161" s="328">
        <v>13100</v>
      </c>
      <c r="AN161" s="328">
        <v>16100</v>
      </c>
      <c r="AO161" s="328">
        <v>21100</v>
      </c>
      <c r="AP161" s="328">
        <v>32600</v>
      </c>
      <c r="AQ161" s="328">
        <v>41300</v>
      </c>
      <c r="AR161" s="328">
        <v>46900</v>
      </c>
      <c r="AS161" s="328">
        <v>52400</v>
      </c>
      <c r="AT161" s="328">
        <v>55600</v>
      </c>
      <c r="AU161" s="328">
        <v>57800</v>
      </c>
      <c r="AV161" s="261">
        <f>+AU161+2000</f>
        <v>59800</v>
      </c>
      <c r="AW161" s="261">
        <f>+AV161+2000</f>
        <v>61800</v>
      </c>
      <c r="AX161" s="261">
        <f>+AX163*3</f>
        <v>62100</v>
      </c>
      <c r="AY161" s="261">
        <f>+AY163*3</f>
        <v>61200</v>
      </c>
      <c r="AZ161" s="261">
        <v>57100</v>
      </c>
      <c r="BA161" s="261">
        <v>57000</v>
      </c>
      <c r="BB161" s="261">
        <v>57000</v>
      </c>
      <c r="BC161" s="261">
        <v>57000</v>
      </c>
      <c r="BD161" s="261">
        <v>57000</v>
      </c>
      <c r="BE161" s="261">
        <v>57000</v>
      </c>
    </row>
    <row r="162" spans="2:61" hidden="1" outlineLevel="1">
      <c r="B162" s="324" t="s">
        <v>336</v>
      </c>
      <c r="D162" s="325"/>
      <c r="E162" s="325"/>
      <c r="AL162" s="325">
        <f t="shared" ref="AL162:AW162" si="636">+AL161/AL67</f>
        <v>0.14134475398945567</v>
      </c>
      <c r="AM162" s="325">
        <f t="shared" si="636"/>
        <v>0.18378742388955918</v>
      </c>
      <c r="AN162" s="325">
        <f t="shared" si="636"/>
        <v>0.22351177254553531</v>
      </c>
      <c r="AO162" s="325">
        <f t="shared" si="636"/>
        <v>0.29048156612241527</v>
      </c>
      <c r="AP162" s="325">
        <f t="shared" si="636"/>
        <v>0.44480222673998171</v>
      </c>
      <c r="AQ162" s="325">
        <f t="shared" si="636"/>
        <v>0.55561534736049079</v>
      </c>
      <c r="AR162" s="325">
        <f t="shared" si="636"/>
        <v>0.6244590906064843</v>
      </c>
      <c r="AS162" s="325">
        <f t="shared" si="636"/>
        <v>0.69156658308037477</v>
      </c>
      <c r="AT162" s="325">
        <f t="shared" si="636"/>
        <v>0.72989826058418117</v>
      </c>
      <c r="AU162" s="325">
        <f t="shared" si="636"/>
        <v>0.75515083419343876</v>
      </c>
      <c r="AV162" s="325">
        <f t="shared" si="636"/>
        <v>0.77995591553520893</v>
      </c>
      <c r="AW162" s="325">
        <f t="shared" si="636"/>
        <v>0.80150444199468263</v>
      </c>
      <c r="AX162" s="325">
        <f t="shared" ref="AX162:BC162" si="637">+AX161/AX67</f>
        <v>0.80505068837667559</v>
      </c>
      <c r="AY162" s="325">
        <f t="shared" si="637"/>
        <v>0.79177178342712984</v>
      </c>
      <c r="AZ162" s="325">
        <f t="shared" si="637"/>
        <v>0.73784049206595337</v>
      </c>
      <c r="BA162" s="325">
        <f t="shared" si="637"/>
        <v>0.73280794003831173</v>
      </c>
      <c r="BB162" s="325">
        <f t="shared" si="637"/>
        <v>0.73691967575534267</v>
      </c>
      <c r="BC162" s="325">
        <f t="shared" si="637"/>
        <v>0.7364245939974936</v>
      </c>
      <c r="BD162" s="325">
        <f t="shared" ref="BD162:BE162" si="638">+BD161/BD67</f>
        <v>0.7362914163921721</v>
      </c>
      <c r="BE162" s="325">
        <f t="shared" si="638"/>
        <v>0.7319422150882825</v>
      </c>
    </row>
    <row r="163" spans="2:61" hidden="1" outlineLevel="1">
      <c r="B163" s="235" t="s">
        <v>334</v>
      </c>
      <c r="D163" s="236"/>
      <c r="E163" s="236"/>
      <c r="AL163" s="328">
        <v>3300</v>
      </c>
      <c r="AM163" s="328">
        <v>4300</v>
      </c>
      <c r="AN163" s="328">
        <v>5300</v>
      </c>
      <c r="AO163" s="328">
        <v>7200</v>
      </c>
      <c r="AP163" s="328">
        <v>11300</v>
      </c>
      <c r="AQ163" s="328">
        <v>14600</v>
      </c>
      <c r="AR163" s="328">
        <v>16700</v>
      </c>
      <c r="AS163" s="328">
        <v>18400</v>
      </c>
      <c r="AT163" s="328">
        <v>19400</v>
      </c>
      <c r="AU163" s="328">
        <v>20100</v>
      </c>
      <c r="AV163" s="328">
        <v>20800</v>
      </c>
      <c r="AW163" s="328">
        <v>21200</v>
      </c>
      <c r="AX163" s="328">
        <v>20700</v>
      </c>
      <c r="AY163" s="328">
        <v>20400</v>
      </c>
      <c r="AZ163" s="328">
        <f t="shared" ref="AZ163:BE163" si="639">+AZ161/3</f>
        <v>19033.333333333332</v>
      </c>
      <c r="BA163" s="328">
        <f t="shared" si="639"/>
        <v>19000</v>
      </c>
      <c r="BB163" s="328">
        <f t="shared" si="639"/>
        <v>19000</v>
      </c>
      <c r="BC163" s="328">
        <f t="shared" si="639"/>
        <v>19000</v>
      </c>
      <c r="BD163" s="328">
        <f t="shared" si="639"/>
        <v>19000</v>
      </c>
      <c r="BE163" s="328">
        <f t="shared" si="639"/>
        <v>19000</v>
      </c>
    </row>
    <row r="164" spans="2:61" s="274" customFormat="1" hidden="1" outlineLevel="1">
      <c r="B164" s="274" t="s">
        <v>331</v>
      </c>
      <c r="AT164" s="274">
        <f t="shared" ref="AT164:AY164" si="640">+AT130*AT165</f>
        <v>35370.652799999996</v>
      </c>
      <c r="AU164" s="274">
        <f t="shared" si="640"/>
        <v>36771.135999999999</v>
      </c>
      <c r="AV164" s="274">
        <f t="shared" si="640"/>
        <v>38327.275800000003</v>
      </c>
      <c r="AW164" s="274">
        <f t="shared" si="640"/>
        <v>40906.712</v>
      </c>
      <c r="AX164" s="274">
        <f t="shared" si="640"/>
        <v>41792.256000000001</v>
      </c>
      <c r="AY164" s="274">
        <f t="shared" si="640"/>
        <v>43850.745000000003</v>
      </c>
      <c r="AZ164" s="274">
        <f t="shared" ref="AZ164:BA164" si="641">+AZ130*AZ165</f>
        <v>47044.800000000003</v>
      </c>
      <c r="BA164" s="274">
        <f t="shared" si="641"/>
        <v>47460.504000000008</v>
      </c>
      <c r="BB164" s="274">
        <f t="shared" ref="BB164:BC164" si="642">+BB130*BB165</f>
        <v>47108.880000000005</v>
      </c>
      <c r="BC164" s="274">
        <f t="shared" si="642"/>
        <v>47012.784000000007</v>
      </c>
      <c r="BD164" s="274">
        <f t="shared" ref="BD164:BE164" si="643">+BD130*BD165</f>
        <v>46837.33600000001</v>
      </c>
      <c r="BE164" s="274">
        <f t="shared" si="643"/>
        <v>47045.544000000002</v>
      </c>
    </row>
    <row r="165" spans="2:61" hidden="1" outlineLevel="1">
      <c r="B165" s="324" t="s">
        <v>335</v>
      </c>
      <c r="AT165" s="327">
        <v>0.62</v>
      </c>
      <c r="AU165" s="327">
        <v>0.64</v>
      </c>
      <c r="AV165" s="327">
        <v>0.66</v>
      </c>
      <c r="AW165" s="327">
        <v>0.7</v>
      </c>
      <c r="AX165" s="327">
        <v>0.72</v>
      </c>
      <c r="AY165" s="327">
        <v>0.75</v>
      </c>
      <c r="AZ165" s="327">
        <v>0.8</v>
      </c>
      <c r="BA165" s="327">
        <v>0.8</v>
      </c>
      <c r="BB165" s="327">
        <v>0.8</v>
      </c>
      <c r="BC165" s="327">
        <v>0.8</v>
      </c>
      <c r="BD165" s="327">
        <v>0.8</v>
      </c>
      <c r="BE165" s="327">
        <v>0.8</v>
      </c>
    </row>
    <row r="166" spans="2:61" hidden="1" outlineLevel="1">
      <c r="B166" s="235" t="s">
        <v>332</v>
      </c>
      <c r="AR166" s="328">
        <v>462</v>
      </c>
      <c r="AS166" s="328">
        <v>386</v>
      </c>
      <c r="AT166" s="328">
        <v>313</v>
      </c>
      <c r="AU166" s="328">
        <v>334</v>
      </c>
      <c r="AV166" s="328">
        <v>510</v>
      </c>
      <c r="AW166" s="328">
        <v>672</v>
      </c>
      <c r="AX166" s="328">
        <v>556</v>
      </c>
      <c r="AY166" s="328">
        <v>477</v>
      </c>
      <c r="AZ166" s="328">
        <v>595</v>
      </c>
      <c r="BA166" s="328">
        <v>669</v>
      </c>
      <c r="BB166" s="328">
        <v>669</v>
      </c>
      <c r="BC166" s="328">
        <v>669</v>
      </c>
      <c r="BD166" s="328">
        <v>669</v>
      </c>
      <c r="BE166" s="328">
        <v>669</v>
      </c>
    </row>
    <row r="167" spans="2:61" ht="15.75" collapsed="1" thickBot="1">
      <c r="B167" s="324"/>
      <c r="AT167" s="327"/>
      <c r="AU167" s="327"/>
      <c r="AV167" s="327"/>
      <c r="AW167" s="327"/>
      <c r="AX167" s="327"/>
      <c r="AY167" s="327"/>
      <c r="AZ167" s="327"/>
      <c r="BA167" s="327"/>
      <c r="BB167" s="327"/>
      <c r="BC167" s="327"/>
      <c r="BD167" s="327"/>
      <c r="BE167" s="327"/>
    </row>
    <row r="168" spans="2:61" s="251" customFormat="1" ht="15.75" thickBot="1">
      <c r="B168" s="194" t="s">
        <v>321</v>
      </c>
      <c r="C168" s="163"/>
      <c r="D168" s="195">
        <f>+D$6</f>
        <v>2013</v>
      </c>
      <c r="E168" s="196">
        <f t="shared" ref="E168:P168" si="644">+E$6</f>
        <v>2014</v>
      </c>
      <c r="F168" s="196">
        <f t="shared" si="644"/>
        <v>2015</v>
      </c>
      <c r="G168" s="196">
        <f t="shared" si="644"/>
        <v>2016</v>
      </c>
      <c r="H168" s="196">
        <f t="shared" si="644"/>
        <v>2017</v>
      </c>
      <c r="I168" s="196" t="str">
        <f t="shared" si="644"/>
        <v>2018E</v>
      </c>
      <c r="J168" s="196" t="str">
        <f t="shared" si="644"/>
        <v>2019E</v>
      </c>
      <c r="K168" s="196" t="str">
        <f t="shared" si="644"/>
        <v>2020E</v>
      </c>
      <c r="L168" s="196" t="str">
        <f t="shared" si="644"/>
        <v>2021E</v>
      </c>
      <c r="M168" s="196" t="str">
        <f t="shared" si="644"/>
        <v>2022E</v>
      </c>
      <c r="N168" s="196" t="str">
        <f t="shared" si="644"/>
        <v>2023E</v>
      </c>
      <c r="O168" s="196" t="str">
        <f t="shared" si="644"/>
        <v>2024E</v>
      </c>
      <c r="P168" s="197" t="str">
        <f t="shared" si="644"/>
        <v>2025E</v>
      </c>
      <c r="Q168" s="318"/>
      <c r="R168" s="196" t="s">
        <v>228</v>
      </c>
      <c r="S168" s="196" t="s">
        <v>229</v>
      </c>
      <c r="T168" s="196" t="s">
        <v>230</v>
      </c>
      <c r="U168" s="196" t="s">
        <v>231</v>
      </c>
      <c r="V168" s="196" t="s">
        <v>232</v>
      </c>
      <c r="W168" s="196" t="s">
        <v>233</v>
      </c>
      <c r="X168" s="196" t="s">
        <v>234</v>
      </c>
      <c r="Y168" s="196" t="s">
        <v>235</v>
      </c>
      <c r="Z168" s="196" t="s">
        <v>236</v>
      </c>
      <c r="AA168" s="196" t="s">
        <v>237</v>
      </c>
      <c r="AB168" s="196" t="s">
        <v>238</v>
      </c>
      <c r="AC168" s="196" t="s">
        <v>239</v>
      </c>
      <c r="AD168" s="196" t="s">
        <v>240</v>
      </c>
      <c r="AE168" s="196" t="s">
        <v>241</v>
      </c>
      <c r="AF168" s="196" t="s">
        <v>242</v>
      </c>
      <c r="AG168" s="196" t="s">
        <v>243</v>
      </c>
      <c r="AH168" s="196" t="s">
        <v>244</v>
      </c>
      <c r="AI168" s="196" t="s">
        <v>245</v>
      </c>
      <c r="AJ168" s="196" t="s">
        <v>246</v>
      </c>
      <c r="AK168" s="196" t="s">
        <v>247</v>
      </c>
      <c r="AL168" s="196" t="s">
        <v>248</v>
      </c>
      <c r="AM168" s="196" t="s">
        <v>249</v>
      </c>
      <c r="AN168" s="196" t="s">
        <v>250</v>
      </c>
      <c r="AO168" s="196" t="s">
        <v>251</v>
      </c>
      <c r="AP168" s="196" t="s">
        <v>156</v>
      </c>
      <c r="AQ168" s="196" t="s">
        <v>157</v>
      </c>
      <c r="AR168" s="196" t="s">
        <v>158</v>
      </c>
      <c r="AS168" s="196" t="s">
        <v>159</v>
      </c>
      <c r="AT168" s="196" t="str">
        <f>+AT$6</f>
        <v>1Q15</v>
      </c>
      <c r="AU168" s="196" t="str">
        <f t="shared" ref="AU168:BI168" si="645">+AU$6</f>
        <v>2Q15</v>
      </c>
      <c r="AV168" s="196" t="str">
        <f t="shared" si="645"/>
        <v>3Q15</v>
      </c>
      <c r="AW168" s="196" t="str">
        <f t="shared" si="645"/>
        <v>4Q15</v>
      </c>
      <c r="AX168" s="196" t="str">
        <f t="shared" si="645"/>
        <v>1Q16</v>
      </c>
      <c r="AY168" s="196" t="str">
        <f t="shared" si="645"/>
        <v>2Q16</v>
      </c>
      <c r="AZ168" s="196" t="str">
        <f t="shared" si="645"/>
        <v>3Q16</v>
      </c>
      <c r="BA168" s="196" t="str">
        <f t="shared" si="645"/>
        <v>4Q16</v>
      </c>
      <c r="BB168" s="196" t="str">
        <f t="shared" si="645"/>
        <v>1Q17</v>
      </c>
      <c r="BC168" s="196" t="str">
        <f t="shared" si="645"/>
        <v>2Q17</v>
      </c>
      <c r="BD168" s="196" t="str">
        <f t="shared" si="645"/>
        <v>3Q17</v>
      </c>
      <c r="BE168" s="196" t="str">
        <f t="shared" si="645"/>
        <v>4Q17</v>
      </c>
      <c r="BF168" s="196" t="str">
        <f t="shared" si="645"/>
        <v>1Q18E</v>
      </c>
      <c r="BG168" s="196" t="str">
        <f t="shared" si="645"/>
        <v>2Q18E</v>
      </c>
      <c r="BH168" s="196" t="str">
        <f t="shared" si="645"/>
        <v>3Q18E</v>
      </c>
      <c r="BI168" s="197" t="str">
        <f t="shared" si="645"/>
        <v>4Q18E</v>
      </c>
    </row>
    <row r="169" spans="2:61">
      <c r="B169" s="324"/>
      <c r="AT169" s="327"/>
      <c r="AU169" s="327"/>
      <c r="AV169" s="327"/>
      <c r="AW169" s="327"/>
      <c r="AX169" s="327"/>
      <c r="AY169" s="327"/>
      <c r="AZ169" s="327"/>
      <c r="BA169" s="327"/>
      <c r="BB169" s="327"/>
      <c r="BC169" s="327"/>
      <c r="BD169" s="327"/>
      <c r="BE169" s="327"/>
    </row>
    <row r="170" spans="2:61" s="236" customFormat="1">
      <c r="B170" s="236" t="s">
        <v>28</v>
      </c>
      <c r="C170" s="274"/>
      <c r="D170" s="236">
        <f>SUM(AL170:AO170)</f>
        <v>7978.84</v>
      </c>
      <c r="E170" s="308">
        <f>+SUM(AP170:AS170)</f>
        <v>9285.6</v>
      </c>
      <c r="F170" s="295">
        <f>SUM(AT170:AW170)</f>
        <v>9703.52</v>
      </c>
      <c r="G170" s="295">
        <f>SUM(AX170:BA170)</f>
        <v>9173.32</v>
      </c>
      <c r="H170" s="295">
        <f>+SUM(BB170:BE170)</f>
        <v>9310.16</v>
      </c>
      <c r="I170" s="295">
        <f ca="1">+SUM(BF170:BI170)</f>
        <v>9502.7007822032756</v>
      </c>
      <c r="J170" s="236">
        <f ca="1">+J127*J171/1000</f>
        <v>9467.804328518152</v>
      </c>
      <c r="K170" s="236">
        <f t="shared" ref="K170:P170" ca="1" si="646">+K127*K171/1000</f>
        <v>9410.1213843595033</v>
      </c>
      <c r="L170" s="236">
        <f t="shared" ca="1" si="646"/>
        <v>9332.4365258513535</v>
      </c>
      <c r="M170" s="236">
        <f t="shared" ca="1" si="646"/>
        <v>9237.2723950780073</v>
      </c>
      <c r="N170" s="236">
        <f t="shared" ca="1" si="646"/>
        <v>9126.9090822961516</v>
      </c>
      <c r="O170" s="236">
        <f t="shared" ca="1" si="646"/>
        <v>9003.4027331202415</v>
      </c>
      <c r="P170" s="236">
        <f t="shared" ca="1" si="646"/>
        <v>8868.6033204523155</v>
      </c>
      <c r="Q170" s="274"/>
      <c r="R170" s="274"/>
      <c r="S170" s="274"/>
      <c r="T170" s="274"/>
      <c r="U170" s="274"/>
      <c r="V170" s="274"/>
      <c r="W170" s="274"/>
      <c r="X170" s="274"/>
      <c r="Y170" s="274"/>
      <c r="Z170" s="274"/>
      <c r="AA170" s="274"/>
      <c r="AB170" s="274"/>
      <c r="AC170" s="274"/>
      <c r="AD170" s="236">
        <f>+AD174-AD172</f>
        <v>1349</v>
      </c>
      <c r="AE170" s="236">
        <f t="shared" ref="AE170:AV170" si="647">+AE174-AE172</f>
        <v>1446</v>
      </c>
      <c r="AF170" s="236">
        <f t="shared" si="647"/>
        <v>1345</v>
      </c>
      <c r="AG170" s="236">
        <f t="shared" si="647"/>
        <v>2349</v>
      </c>
      <c r="AH170" s="236">
        <f t="shared" si="647"/>
        <v>1570</v>
      </c>
      <c r="AI170" s="236">
        <f t="shared" si="647"/>
        <v>1588</v>
      </c>
      <c r="AJ170" s="236">
        <f t="shared" si="647"/>
        <v>1726</v>
      </c>
      <c r="AK170" s="236">
        <f t="shared" si="647"/>
        <v>2693</v>
      </c>
      <c r="AL170" s="236">
        <f t="shared" si="647"/>
        <v>1628</v>
      </c>
      <c r="AM170" s="236">
        <f t="shared" si="647"/>
        <v>1922</v>
      </c>
      <c r="AN170" s="236">
        <f t="shared" si="647"/>
        <v>1936.24</v>
      </c>
      <c r="AO170" s="236">
        <f t="shared" si="647"/>
        <v>2492.6</v>
      </c>
      <c r="AP170" s="236">
        <f t="shared" si="647"/>
        <v>1790.6799999999998</v>
      </c>
      <c r="AQ170" s="236">
        <f t="shared" si="647"/>
        <v>2027.92</v>
      </c>
      <c r="AR170" s="236">
        <f t="shared" si="647"/>
        <v>2098</v>
      </c>
      <c r="AS170" s="236">
        <f>+AS174-AS172</f>
        <v>3369</v>
      </c>
      <c r="AT170" s="236">
        <f t="shared" si="647"/>
        <v>2406.8000000000002</v>
      </c>
      <c r="AU170" s="236">
        <f t="shared" si="647"/>
        <v>2258.7599999999998</v>
      </c>
      <c r="AV170" s="236">
        <f t="shared" si="647"/>
        <v>2245.6799999999998</v>
      </c>
      <c r="AW170" s="236">
        <f t="shared" ref="AW170:BB170" si="648">+AW174-AW172</f>
        <v>2792.2799999999997</v>
      </c>
      <c r="AX170" s="236">
        <f t="shared" si="648"/>
        <v>2176.8000000000002</v>
      </c>
      <c r="AY170" s="236">
        <f t="shared" si="648"/>
        <v>2056.84</v>
      </c>
      <c r="AZ170" s="236">
        <f t="shared" si="648"/>
        <v>2213.08</v>
      </c>
      <c r="BA170" s="236">
        <f t="shared" si="648"/>
        <v>2726.6</v>
      </c>
      <c r="BB170" s="236">
        <f t="shared" si="648"/>
        <v>1802.44</v>
      </c>
      <c r="BC170" s="236">
        <f t="shared" ref="BC170:BD170" si="649">+BC174-BC172</f>
        <v>2107.52</v>
      </c>
      <c r="BD170" s="236">
        <f t="shared" si="649"/>
        <v>1965.72</v>
      </c>
      <c r="BE170" s="236">
        <f t="shared" ref="BE170" si="650">+BE174-BE172</f>
        <v>3434.48</v>
      </c>
      <c r="BF170" s="236">
        <f t="shared" ref="BF170:BI170" si="651">+BF127*BF171/1000</f>
        <v>2038.3025849178675</v>
      </c>
      <c r="BG170" s="236">
        <f t="shared" ca="1" si="651"/>
        <v>2118.0151332459222</v>
      </c>
      <c r="BH170" s="236">
        <f t="shared" ca="1" si="651"/>
        <v>2113.3949342597707</v>
      </c>
      <c r="BI170" s="236">
        <f t="shared" ca="1" si="651"/>
        <v>3232.9881297797151</v>
      </c>
    </row>
    <row r="171" spans="2:61" s="292" customFormat="1">
      <c r="B171" s="329" t="s">
        <v>337</v>
      </c>
      <c r="C171" s="321"/>
      <c r="D171" s="321">
        <f t="shared" ref="D171:I171" si="652">+D170/D127*1000</f>
        <v>291.19854014598542</v>
      </c>
      <c r="E171" s="321">
        <f t="shared" si="652"/>
        <v>321.30103806228379</v>
      </c>
      <c r="F171" s="321">
        <f t="shared" si="652"/>
        <v>386.59442231075695</v>
      </c>
      <c r="G171" s="321">
        <f t="shared" si="652"/>
        <v>426.66604651162788</v>
      </c>
      <c r="H171" s="321">
        <f t="shared" si="652"/>
        <v>460.89900990099011</v>
      </c>
      <c r="I171" s="321">
        <f t="shared" ca="1" si="652"/>
        <v>477.01111111111118</v>
      </c>
      <c r="J171" s="321">
        <f ca="1">+I171+5</f>
        <v>482.01111111111118</v>
      </c>
      <c r="K171" s="321">
        <f t="shared" ref="K171:P171" ca="1" si="653">+J171+5</f>
        <v>487.01111111111118</v>
      </c>
      <c r="L171" s="321">
        <f t="shared" ca="1" si="653"/>
        <v>492.01111111111118</v>
      </c>
      <c r="M171" s="321">
        <f t="shared" ca="1" si="653"/>
        <v>497.01111111111118</v>
      </c>
      <c r="N171" s="321">
        <f t="shared" ca="1" si="653"/>
        <v>502.01111111111118</v>
      </c>
      <c r="O171" s="321">
        <f t="shared" ca="1" si="653"/>
        <v>507.01111111111118</v>
      </c>
      <c r="P171" s="321">
        <f t="shared" ca="1" si="653"/>
        <v>512.01111111111118</v>
      </c>
      <c r="Q171" s="321"/>
      <c r="R171" s="321"/>
      <c r="S171" s="321"/>
      <c r="T171" s="321"/>
      <c r="U171" s="321"/>
      <c r="V171" s="321"/>
      <c r="W171" s="321"/>
      <c r="X171" s="321"/>
      <c r="Y171" s="321"/>
      <c r="Z171" s="321"/>
      <c r="AA171" s="321"/>
      <c r="AB171" s="321"/>
      <c r="AC171" s="321"/>
      <c r="AD171" s="321">
        <f t="shared" ref="AD171:AW171" si="654">+AD170/AD127*1000</f>
        <v>245.27272727272728</v>
      </c>
      <c r="AE171" s="321">
        <f t="shared" si="654"/>
        <v>258.21428571428572</v>
      </c>
      <c r="AF171" s="321">
        <f t="shared" si="654"/>
        <v>280.20833333333331</v>
      </c>
      <c r="AG171" s="321">
        <f t="shared" si="654"/>
        <v>249.89361702127661</v>
      </c>
      <c r="AH171" s="321">
        <f t="shared" si="654"/>
        <v>285.45818235787345</v>
      </c>
      <c r="AI171" s="321">
        <f t="shared" si="654"/>
        <v>311.37254901960785</v>
      </c>
      <c r="AJ171" s="321">
        <f t="shared" si="654"/>
        <v>282.95398345390981</v>
      </c>
      <c r="AK171" s="321">
        <f t="shared" si="654"/>
        <v>264.02431118464136</v>
      </c>
      <c r="AL171" s="321">
        <f t="shared" si="654"/>
        <v>271.33333333333331</v>
      </c>
      <c r="AM171" s="321">
        <f t="shared" si="654"/>
        <v>282.64705882352939</v>
      </c>
      <c r="AN171" s="321">
        <f t="shared" si="654"/>
        <v>288.9910447761194</v>
      </c>
      <c r="AO171" s="321">
        <f t="shared" si="654"/>
        <v>315.51898734177212</v>
      </c>
      <c r="AP171" s="321">
        <f t="shared" si="654"/>
        <v>308.7379310344827</v>
      </c>
      <c r="AQ171" s="321">
        <f t="shared" si="654"/>
        <v>327.08387096774192</v>
      </c>
      <c r="AR171" s="321">
        <f t="shared" si="654"/>
        <v>308.52941176470591</v>
      </c>
      <c r="AS171" s="321">
        <f t="shared" si="654"/>
        <v>333.56435643564356</v>
      </c>
      <c r="AT171" s="321">
        <f t="shared" si="654"/>
        <v>388.19354838709683</v>
      </c>
      <c r="AU171" s="321">
        <f t="shared" si="654"/>
        <v>396.27368421052626</v>
      </c>
      <c r="AV171" s="321">
        <f t="shared" si="654"/>
        <v>387.18620689655171</v>
      </c>
      <c r="AW171" s="321">
        <f t="shared" si="654"/>
        <v>377.33513513513509</v>
      </c>
      <c r="AX171" s="321">
        <f t="shared" ref="AX171:BC171" si="655">+AX170/AX127*1000</f>
        <v>426.82352941176475</v>
      </c>
      <c r="AY171" s="321">
        <f t="shared" si="655"/>
        <v>428.50833333333338</v>
      </c>
      <c r="AZ171" s="321">
        <f t="shared" si="655"/>
        <v>433.93725490196078</v>
      </c>
      <c r="BA171" s="321">
        <f t="shared" si="655"/>
        <v>419.47692307692307</v>
      </c>
      <c r="BB171" s="321">
        <f t="shared" si="655"/>
        <v>429.15238095238095</v>
      </c>
      <c r="BC171" s="321">
        <f t="shared" si="655"/>
        <v>478.9818181818182</v>
      </c>
      <c r="BD171" s="321">
        <f t="shared" ref="BD171:BE171" si="656">+BD170/BD127*1000</f>
        <v>446.75454545454545</v>
      </c>
      <c r="BE171" s="321">
        <f t="shared" si="656"/>
        <v>477.01111111111112</v>
      </c>
      <c r="BF171" s="219">
        <f>+BE171</f>
        <v>477.01111111111112</v>
      </c>
      <c r="BG171" s="219">
        <f t="shared" ref="BG171:BI171" si="657">+BF171</f>
        <v>477.01111111111112</v>
      </c>
      <c r="BH171" s="219">
        <f t="shared" si="657"/>
        <v>477.01111111111112</v>
      </c>
      <c r="BI171" s="219">
        <f t="shared" si="657"/>
        <v>477.01111111111112</v>
      </c>
    </row>
    <row r="172" spans="2:61" s="236" customFormat="1">
      <c r="B172" s="236" t="s">
        <v>338</v>
      </c>
      <c r="C172" s="274"/>
      <c r="D172" s="236">
        <f>SUM(AL172:AO172)</f>
        <v>368.15999999999997</v>
      </c>
      <c r="E172" s="308">
        <f>+SUM(AP172:AS172)</f>
        <v>3674.4</v>
      </c>
      <c r="F172" s="295">
        <f>SUM(AT172:AW172)</f>
        <v>4164.4800000000005</v>
      </c>
      <c r="G172" s="295">
        <f>SUM(AX172:BA172)</f>
        <v>4261.68</v>
      </c>
      <c r="H172" s="295">
        <f>+SUM(BB172:BE172)</f>
        <v>4083.8399999999997</v>
      </c>
      <c r="I172" s="295">
        <f ca="1">+SUM(BF172:BI172)</f>
        <v>4111.7646858961598</v>
      </c>
      <c r="J172" s="236">
        <f ca="1">+J137*J173/1000</f>
        <v>4172.0234098788187</v>
      </c>
      <c r="K172" s="236">
        <f t="shared" ref="K172:P172" ca="1" si="658">+K137*K173/1000</f>
        <v>4219.9663692585245</v>
      </c>
      <c r="L172" s="236">
        <f t="shared" ca="1" si="658"/>
        <v>4256.4054126170131</v>
      </c>
      <c r="M172" s="236">
        <f t="shared" ca="1" si="658"/>
        <v>4282.1327576923732</v>
      </c>
      <c r="N172" s="236">
        <f t="shared" ca="1" si="658"/>
        <v>4188.8312948029707</v>
      </c>
      <c r="O172" s="236">
        <f t="shared" ca="1" si="658"/>
        <v>4091.397494553732</v>
      </c>
      <c r="P172" s="236">
        <f t="shared" ca="1" si="658"/>
        <v>3990.784888628702</v>
      </c>
      <c r="Q172" s="274"/>
      <c r="R172" s="274"/>
      <c r="S172" s="274"/>
      <c r="T172" s="274"/>
      <c r="U172" s="274"/>
      <c r="V172" s="274"/>
      <c r="W172" s="274"/>
      <c r="X172" s="274"/>
      <c r="Y172" s="274"/>
      <c r="Z172" s="274"/>
      <c r="AA172" s="274"/>
      <c r="AB172" s="274"/>
      <c r="AC172" s="274"/>
      <c r="AD172" s="274"/>
      <c r="AE172" s="274"/>
      <c r="AF172" s="274"/>
      <c r="AG172" s="274"/>
      <c r="AH172" s="274"/>
      <c r="AI172" s="274"/>
      <c r="AJ172" s="274"/>
      <c r="AK172" s="274"/>
      <c r="AN172" s="236">
        <f t="shared" ref="AN172:AW172" si="659">+AN137*AN173/1000</f>
        <v>83.76</v>
      </c>
      <c r="AO172" s="236">
        <f t="shared" si="659"/>
        <v>284.39999999999998</v>
      </c>
      <c r="AP172" s="236">
        <f t="shared" si="659"/>
        <v>688.32</v>
      </c>
      <c r="AQ172" s="236">
        <f t="shared" si="659"/>
        <v>754.08</v>
      </c>
      <c r="AR172" s="236">
        <f t="shared" si="659"/>
        <v>816</v>
      </c>
      <c r="AS172" s="236">
        <f t="shared" si="659"/>
        <v>1416</v>
      </c>
      <c r="AT172" s="236">
        <f t="shared" si="659"/>
        <v>967.2</v>
      </c>
      <c r="AU172" s="236">
        <f t="shared" si="659"/>
        <v>930.24000000000012</v>
      </c>
      <c r="AV172" s="236">
        <f t="shared" si="659"/>
        <v>988.32</v>
      </c>
      <c r="AW172" s="236">
        <f t="shared" si="659"/>
        <v>1278.72</v>
      </c>
      <c r="AX172" s="236">
        <f t="shared" ref="AX172:BC172" si="660">+AX137*AX173/1000</f>
        <v>979.2</v>
      </c>
      <c r="AY172" s="236">
        <f t="shared" si="660"/>
        <v>956.16</v>
      </c>
      <c r="AZ172" s="236">
        <f t="shared" si="660"/>
        <v>1015.92</v>
      </c>
      <c r="BA172" s="236">
        <f t="shared" si="660"/>
        <v>1310.4000000000001</v>
      </c>
      <c r="BB172" s="236">
        <f t="shared" si="660"/>
        <v>826.56</v>
      </c>
      <c r="BC172" s="236">
        <f t="shared" si="660"/>
        <v>876.48</v>
      </c>
      <c r="BD172" s="236">
        <f t="shared" ref="BD172:BE172" si="661">+BD137*BD173/1000</f>
        <v>929.28</v>
      </c>
      <c r="BE172" s="236">
        <f t="shared" si="661"/>
        <v>1451.52</v>
      </c>
      <c r="BF172" s="236">
        <f t="shared" ref="BF172:BI172" si="662">+BF137*BF173/1000</f>
        <v>881.96195796590575</v>
      </c>
      <c r="BG172" s="236">
        <f t="shared" ca="1" si="662"/>
        <v>916.45312513512943</v>
      </c>
      <c r="BH172" s="236">
        <f t="shared" ca="1" si="662"/>
        <v>914.45399126061602</v>
      </c>
      <c r="BI172" s="236">
        <f t="shared" ca="1" si="662"/>
        <v>1398.8956115345084</v>
      </c>
    </row>
    <row r="173" spans="2:61" s="292" customFormat="1">
      <c r="B173" s="329" t="s">
        <v>337</v>
      </c>
      <c r="C173" s="321"/>
      <c r="D173" s="330">
        <v>240</v>
      </c>
      <c r="E173" s="330">
        <v>240</v>
      </c>
      <c r="F173" s="330">
        <v>240</v>
      </c>
      <c r="G173" s="330">
        <v>240</v>
      </c>
      <c r="H173" s="330">
        <v>240</v>
      </c>
      <c r="I173" s="330">
        <v>240</v>
      </c>
      <c r="J173" s="330">
        <v>240</v>
      </c>
      <c r="K173" s="330">
        <v>240</v>
      </c>
      <c r="L173" s="330">
        <v>240</v>
      </c>
      <c r="M173" s="330">
        <v>240</v>
      </c>
      <c r="N173" s="330">
        <v>240</v>
      </c>
      <c r="O173" s="330">
        <v>240</v>
      </c>
      <c r="P173" s="330">
        <v>240</v>
      </c>
      <c r="Q173" s="321"/>
      <c r="R173" s="321"/>
      <c r="S173" s="321"/>
      <c r="T173" s="321"/>
      <c r="U173" s="321"/>
      <c r="V173" s="321"/>
      <c r="W173" s="321"/>
      <c r="X173" s="321"/>
      <c r="Y173" s="321"/>
      <c r="Z173" s="321"/>
      <c r="AA173" s="321"/>
      <c r="AB173" s="321"/>
      <c r="AC173" s="321"/>
      <c r="AD173" s="321"/>
      <c r="AE173" s="321"/>
      <c r="AF173" s="321"/>
      <c r="AG173" s="321"/>
      <c r="AH173" s="321"/>
      <c r="AI173" s="321"/>
      <c r="AJ173" s="321"/>
      <c r="AK173" s="321"/>
      <c r="AN173" s="330">
        <v>240</v>
      </c>
      <c r="AO173" s="330">
        <v>240</v>
      </c>
      <c r="AP173" s="330">
        <v>240</v>
      </c>
      <c r="AQ173" s="330">
        <v>240</v>
      </c>
      <c r="AR173" s="330">
        <v>240</v>
      </c>
      <c r="AS173" s="330">
        <v>240</v>
      </c>
      <c r="AT173" s="330">
        <v>240</v>
      </c>
      <c r="AU173" s="330">
        <v>240</v>
      </c>
      <c r="AV173" s="330">
        <v>240</v>
      </c>
      <c r="AW173" s="330">
        <v>240</v>
      </c>
      <c r="AX173" s="330">
        <v>240</v>
      </c>
      <c r="AY173" s="330">
        <v>240</v>
      </c>
      <c r="AZ173" s="330">
        <v>240</v>
      </c>
      <c r="BA173" s="330">
        <v>240</v>
      </c>
      <c r="BB173" s="330">
        <v>240</v>
      </c>
      <c r="BC173" s="330">
        <v>240</v>
      </c>
      <c r="BD173" s="330">
        <v>240</v>
      </c>
      <c r="BE173" s="330">
        <v>240</v>
      </c>
      <c r="BF173" s="330">
        <v>240</v>
      </c>
      <c r="BG173" s="330">
        <v>240</v>
      </c>
      <c r="BH173" s="330">
        <v>240</v>
      </c>
      <c r="BI173" s="330">
        <v>240</v>
      </c>
    </row>
    <row r="174" spans="2:61" s="252" customFormat="1">
      <c r="B174" s="252" t="s">
        <v>339</v>
      </c>
      <c r="C174" s="247"/>
      <c r="D174" s="252">
        <f>SUM(AL174:AO174)</f>
        <v>8347</v>
      </c>
      <c r="E174" s="247">
        <f>+SUM(AP174:AS174)</f>
        <v>12960</v>
      </c>
      <c r="F174" s="306">
        <f>SUM(AT174:AW174)</f>
        <v>13868</v>
      </c>
      <c r="G174" s="306">
        <f>SUM(AX174:BA174)</f>
        <v>13435</v>
      </c>
      <c r="H174" s="306">
        <f>+SUM(BB174:BE174)</f>
        <v>13394</v>
      </c>
      <c r="I174" s="306">
        <f ca="1">+SUM(BF174:BI174)</f>
        <v>13614.465468099435</v>
      </c>
      <c r="J174" s="252">
        <f ca="1">+J170+J172</f>
        <v>13639.827738396971</v>
      </c>
      <c r="K174" s="252">
        <f t="shared" ref="K174:P174" ca="1" si="663">+K170+K172</f>
        <v>13630.087753618027</v>
      </c>
      <c r="L174" s="252">
        <f t="shared" ca="1" si="663"/>
        <v>13588.841938468366</v>
      </c>
      <c r="M174" s="252">
        <f t="shared" ca="1" si="663"/>
        <v>13519.405152770381</v>
      </c>
      <c r="N174" s="252">
        <f t="shared" ca="1" si="663"/>
        <v>13315.740377099122</v>
      </c>
      <c r="O174" s="252">
        <f t="shared" ca="1" si="663"/>
        <v>13094.800227673973</v>
      </c>
      <c r="P174" s="252">
        <f t="shared" ca="1" si="663"/>
        <v>12859.388209081018</v>
      </c>
      <c r="Q174" s="247"/>
      <c r="R174" s="247"/>
      <c r="S174" s="247"/>
      <c r="T174" s="247"/>
      <c r="U174" s="247"/>
      <c r="V174" s="247"/>
      <c r="W174" s="247"/>
      <c r="X174" s="247"/>
      <c r="Y174" s="247"/>
      <c r="Z174" s="247"/>
      <c r="AA174" s="247"/>
      <c r="AB174" s="247"/>
      <c r="AC174" s="247"/>
      <c r="AD174" s="247">
        <f t="shared" ref="AD174:AW174" si="664">+AD9</f>
        <v>1349</v>
      </c>
      <c r="AE174" s="247">
        <f t="shared" si="664"/>
        <v>1446</v>
      </c>
      <c r="AF174" s="247">
        <f t="shared" si="664"/>
        <v>1345</v>
      </c>
      <c r="AG174" s="247">
        <f t="shared" si="664"/>
        <v>2349</v>
      </c>
      <c r="AH174" s="247">
        <f t="shared" si="664"/>
        <v>1570</v>
      </c>
      <c r="AI174" s="247">
        <f t="shared" si="664"/>
        <v>1588</v>
      </c>
      <c r="AJ174" s="247">
        <f t="shared" si="664"/>
        <v>1726</v>
      </c>
      <c r="AK174" s="247">
        <f t="shared" si="664"/>
        <v>2693</v>
      </c>
      <c r="AL174" s="247">
        <f t="shared" si="664"/>
        <v>1628</v>
      </c>
      <c r="AM174" s="247">
        <f t="shared" si="664"/>
        <v>1922</v>
      </c>
      <c r="AN174" s="247">
        <f t="shared" si="664"/>
        <v>2020</v>
      </c>
      <c r="AO174" s="247">
        <f t="shared" si="664"/>
        <v>2777</v>
      </c>
      <c r="AP174" s="247">
        <f t="shared" si="664"/>
        <v>2479</v>
      </c>
      <c r="AQ174" s="247">
        <f t="shared" si="664"/>
        <v>2782</v>
      </c>
      <c r="AR174" s="247">
        <f t="shared" si="664"/>
        <v>2914</v>
      </c>
      <c r="AS174" s="247">
        <f t="shared" si="664"/>
        <v>4785</v>
      </c>
      <c r="AT174" s="247">
        <f t="shared" si="664"/>
        <v>3374</v>
      </c>
      <c r="AU174" s="247">
        <f t="shared" si="664"/>
        <v>3189</v>
      </c>
      <c r="AV174" s="247">
        <f t="shared" si="664"/>
        <v>3234</v>
      </c>
      <c r="AW174" s="247">
        <f t="shared" si="664"/>
        <v>4071</v>
      </c>
      <c r="AX174" s="247">
        <f t="shared" ref="AX174:BC174" si="665">+AX9</f>
        <v>3156</v>
      </c>
      <c r="AY174" s="247">
        <f t="shared" si="665"/>
        <v>3013</v>
      </c>
      <c r="AZ174" s="247">
        <f t="shared" si="665"/>
        <v>3229</v>
      </c>
      <c r="BA174" s="247">
        <f t="shared" si="665"/>
        <v>4037</v>
      </c>
      <c r="BB174" s="247">
        <f t="shared" si="665"/>
        <v>2629</v>
      </c>
      <c r="BC174" s="247">
        <f t="shared" si="665"/>
        <v>2984</v>
      </c>
      <c r="BD174" s="247">
        <f t="shared" ref="BD174:BE174" si="666">+BD9</f>
        <v>2895</v>
      </c>
      <c r="BE174" s="247">
        <f t="shared" si="666"/>
        <v>4886</v>
      </c>
      <c r="BF174" s="252">
        <f t="shared" ref="BF174:BI174" si="667">+BF170+BF172</f>
        <v>2920.2645428837732</v>
      </c>
      <c r="BG174" s="252">
        <f t="shared" ca="1" si="667"/>
        <v>3034.4682583810518</v>
      </c>
      <c r="BH174" s="252">
        <f t="shared" ca="1" si="667"/>
        <v>3027.8489255203867</v>
      </c>
      <c r="BI174" s="252">
        <f t="shared" ca="1" si="667"/>
        <v>4631.8837413142237</v>
      </c>
    </row>
    <row r="175" spans="2:61" s="271" customFormat="1">
      <c r="B175" s="282" t="s">
        <v>252</v>
      </c>
      <c r="C175" s="275"/>
      <c r="D175" s="282"/>
      <c r="E175" s="302">
        <f t="shared" ref="E175:J175" si="668">+E174/D174-1</f>
        <v>0.5526536480172517</v>
      </c>
      <c r="F175" s="302">
        <f t="shared" si="668"/>
        <v>7.0061728395061751E-2</v>
      </c>
      <c r="G175" s="302">
        <f t="shared" si="668"/>
        <v>-3.1222959330833522E-2</v>
      </c>
      <c r="H175" s="302">
        <f t="shared" si="668"/>
        <v>-3.0517305545217921E-3</v>
      </c>
      <c r="I175" s="302">
        <f t="shared" ca="1" si="668"/>
        <v>1.6460017029971352E-2</v>
      </c>
      <c r="J175" s="302">
        <f t="shared" ca="1" si="668"/>
        <v>1.8628913751306264E-3</v>
      </c>
      <c r="K175" s="302">
        <f t="shared" ref="K175" ca="1" si="669">+K174/J174-1</f>
        <v>-7.1408414869678083E-4</v>
      </c>
      <c r="L175" s="302">
        <f t="shared" ref="L175" ca="1" si="670">+L174/K174-1</f>
        <v>-3.026085810688417E-3</v>
      </c>
      <c r="M175" s="302">
        <f t="shared" ref="M175" ca="1" si="671">+M174/L174-1</f>
        <v>-5.1098383521127611E-3</v>
      </c>
      <c r="N175" s="302">
        <f t="shared" ref="N175" ca="1" si="672">+N174/M174-1</f>
        <v>-1.5064625504586204E-2</v>
      </c>
      <c r="O175" s="302">
        <f t="shared" ref="O175" ca="1" si="673">+O174/N174-1</f>
        <v>-1.659240441523846E-2</v>
      </c>
      <c r="P175" s="302">
        <f t="shared" ref="P175" ca="1" si="674">+P174/O174-1</f>
        <v>-1.797751890062782E-2</v>
      </c>
      <c r="Q175" s="275"/>
      <c r="R175" s="275"/>
      <c r="S175" s="275"/>
      <c r="T175" s="275"/>
      <c r="U175" s="275"/>
      <c r="V175" s="275"/>
      <c r="W175" s="275"/>
      <c r="X175" s="275"/>
      <c r="Y175" s="275"/>
      <c r="Z175" s="275"/>
      <c r="AA175" s="275"/>
      <c r="AB175" s="275"/>
      <c r="AC175" s="275"/>
      <c r="AD175" s="275"/>
      <c r="AE175" s="275"/>
      <c r="AF175" s="275"/>
      <c r="AG175" s="275"/>
      <c r="AH175" s="283">
        <f t="shared" ref="AH175:BE175" si="675">+AH174/AD174-1</f>
        <v>0.16382505559673843</v>
      </c>
      <c r="AI175" s="283">
        <f t="shared" si="675"/>
        <v>9.820193637621033E-2</v>
      </c>
      <c r="AJ175" s="283">
        <f t="shared" si="675"/>
        <v>0.28327137546468406</v>
      </c>
      <c r="AK175" s="283">
        <f t="shared" si="675"/>
        <v>0.1464452958705833</v>
      </c>
      <c r="AL175" s="283">
        <f t="shared" si="675"/>
        <v>3.6942675159235661E-2</v>
      </c>
      <c r="AM175" s="283">
        <f t="shared" si="675"/>
        <v>0.2103274559193955</v>
      </c>
      <c r="AN175" s="283">
        <f t="shared" si="675"/>
        <v>0.17033603707995359</v>
      </c>
      <c r="AO175" s="283">
        <f t="shared" si="675"/>
        <v>3.119197920534722E-2</v>
      </c>
      <c r="AP175" s="283">
        <f t="shared" si="675"/>
        <v>0.52272727272727271</v>
      </c>
      <c r="AQ175" s="283">
        <f t="shared" si="675"/>
        <v>0.44745057232049956</v>
      </c>
      <c r="AR175" s="283">
        <f t="shared" si="675"/>
        <v>0.44257425742574252</v>
      </c>
      <c r="AS175" s="283">
        <f t="shared" si="675"/>
        <v>0.72308246308966506</v>
      </c>
      <c r="AT175" s="283">
        <f t="shared" si="675"/>
        <v>0.36103267446551035</v>
      </c>
      <c r="AU175" s="283">
        <f t="shared" si="675"/>
        <v>0.14629762760603882</v>
      </c>
      <c r="AV175" s="283">
        <f t="shared" si="675"/>
        <v>0.10981468771448188</v>
      </c>
      <c r="AW175" s="283">
        <f t="shared" si="675"/>
        <v>-0.14921630094043892</v>
      </c>
      <c r="AX175" s="283">
        <f t="shared" si="675"/>
        <v>-6.4611736810906928E-2</v>
      </c>
      <c r="AY175" s="283">
        <f t="shared" si="675"/>
        <v>-5.5189714644089061E-2</v>
      </c>
      <c r="AZ175" s="283">
        <f t="shared" si="675"/>
        <v>-1.5460729746443747E-3</v>
      </c>
      <c r="BA175" s="283">
        <f t="shared" si="675"/>
        <v>-8.351756325227222E-3</v>
      </c>
      <c r="BB175" s="283">
        <f t="shared" si="675"/>
        <v>-0.16698352344740175</v>
      </c>
      <c r="BC175" s="283">
        <f t="shared" si="675"/>
        <v>-9.6249585131098492E-3</v>
      </c>
      <c r="BD175" s="283">
        <f t="shared" si="675"/>
        <v>-0.10343759677918862</v>
      </c>
      <c r="BE175" s="283">
        <f t="shared" si="675"/>
        <v>0.21030468169432748</v>
      </c>
      <c r="BF175" s="283">
        <f t="shared" ref="BF175" si="676">+BF174/BB174-1</f>
        <v>0.11078909961345507</v>
      </c>
      <c r="BG175" s="283">
        <f t="shared" ref="BG175" ca="1" si="677">+BG174/BC174-1</f>
        <v>1.6912955221532133E-2</v>
      </c>
      <c r="BH175" s="283">
        <f t="shared" ref="BH175" ca="1" si="678">+BH174/BD174-1</f>
        <v>4.5889093444002382E-2</v>
      </c>
      <c r="BI175" s="283">
        <f t="shared" ref="BI175" ca="1" si="679">+BI174/BE174-1</f>
        <v>-5.2009058265611197E-2</v>
      </c>
    </row>
    <row r="176" spans="2:61">
      <c r="B176" s="324"/>
      <c r="AT176" s="327"/>
      <c r="AU176" s="327"/>
      <c r="AV176" s="327"/>
      <c r="AW176" s="327"/>
      <c r="AX176" s="327"/>
      <c r="AY176" s="327"/>
      <c r="AZ176" s="327"/>
      <c r="BA176" s="327"/>
      <c r="BB176" s="327"/>
      <c r="BC176" s="327"/>
      <c r="BD176" s="327"/>
      <c r="BE176" s="327"/>
    </row>
    <row r="177" spans="2:61" s="252" customFormat="1">
      <c r="B177" s="386" t="s">
        <v>439</v>
      </c>
      <c r="C177" s="247"/>
      <c r="D177" s="252">
        <f>+D8</f>
        <v>61552</v>
      </c>
      <c r="E177" s="252">
        <f t="shared" ref="E177:J177" si="680">+E8</f>
        <v>61032</v>
      </c>
      <c r="F177" s="252">
        <f t="shared" si="680"/>
        <v>59837</v>
      </c>
      <c r="G177" s="252">
        <f t="shared" si="680"/>
        <v>59386</v>
      </c>
      <c r="H177" s="252">
        <f t="shared" ref="H177:I177" si="681">+H8</f>
        <v>57955</v>
      </c>
      <c r="I177" s="252">
        <f t="shared" ca="1" si="681"/>
        <v>57016.696655321575</v>
      </c>
      <c r="J177" s="252">
        <f t="shared" ca="1" si="680"/>
        <v>57140.67531033876</v>
      </c>
      <c r="K177" s="252">
        <f t="shared" ref="K177:P177" ca="1" si="682">+K8</f>
        <v>57110.995755259006</v>
      </c>
      <c r="L177" s="252">
        <f t="shared" ca="1" si="682"/>
        <v>56873.587052753821</v>
      </c>
      <c r="M177" s="252">
        <f t="shared" ca="1" si="682"/>
        <v>56453.523352758471</v>
      </c>
      <c r="N177" s="252">
        <f t="shared" ca="1" si="682"/>
        <v>55873.823962380047</v>
      </c>
      <c r="O177" s="252">
        <f t="shared" ca="1" si="682"/>
        <v>55155.546537204151</v>
      </c>
      <c r="P177" s="252">
        <f t="shared" ca="1" si="682"/>
        <v>54317.885824256846</v>
      </c>
      <c r="Q177" s="247"/>
      <c r="R177" s="247"/>
      <c r="S177" s="247"/>
      <c r="T177" s="247"/>
      <c r="U177" s="247"/>
      <c r="V177" s="247"/>
      <c r="W177" s="247"/>
      <c r="X177" s="247"/>
      <c r="Y177" s="247"/>
      <c r="Z177" s="247"/>
      <c r="AA177" s="247"/>
      <c r="AB177" s="247"/>
      <c r="AC177" s="247"/>
      <c r="AD177" s="252">
        <f t="shared" ref="AD177:AW177" si="683">+AD8</f>
        <v>13961</v>
      </c>
      <c r="AE177" s="252">
        <f t="shared" si="683"/>
        <v>14157</v>
      </c>
      <c r="AF177" s="252">
        <f t="shared" si="683"/>
        <v>14261</v>
      </c>
      <c r="AG177" s="252">
        <f t="shared" si="683"/>
        <v>14347</v>
      </c>
      <c r="AH177" s="252">
        <f t="shared" si="683"/>
        <v>14566</v>
      </c>
      <c r="AI177" s="252">
        <f t="shared" si="683"/>
        <v>14765</v>
      </c>
      <c r="AJ177" s="252">
        <f t="shared" si="683"/>
        <v>14906</v>
      </c>
      <c r="AK177" s="252">
        <f t="shared" si="683"/>
        <v>14949</v>
      </c>
      <c r="AL177" s="252">
        <f t="shared" si="683"/>
        <v>15063</v>
      </c>
      <c r="AM177" s="252">
        <f t="shared" si="683"/>
        <v>15369</v>
      </c>
      <c r="AN177" s="252">
        <f t="shared" si="683"/>
        <v>15460</v>
      </c>
      <c r="AO177" s="252">
        <f t="shared" si="683"/>
        <v>15660</v>
      </c>
      <c r="AP177" s="252">
        <f t="shared" si="683"/>
        <v>15387</v>
      </c>
      <c r="AQ177" s="252">
        <f t="shared" si="683"/>
        <v>15148</v>
      </c>
      <c r="AR177" s="252">
        <f t="shared" si="683"/>
        <v>15423</v>
      </c>
      <c r="AS177" s="252">
        <f t="shared" si="683"/>
        <v>15074</v>
      </c>
      <c r="AT177" s="252">
        <f t="shared" si="683"/>
        <v>14812</v>
      </c>
      <c r="AU177" s="252">
        <f t="shared" si="683"/>
        <v>15115</v>
      </c>
      <c r="AV177" s="252">
        <f t="shared" si="683"/>
        <v>15095</v>
      </c>
      <c r="AW177" s="252">
        <f t="shared" si="683"/>
        <v>14815</v>
      </c>
      <c r="AX177" s="252">
        <f t="shared" ref="AX177:BC177" si="684">+AX8</f>
        <v>14798</v>
      </c>
      <c r="AY177" s="252">
        <f t="shared" si="684"/>
        <v>14912</v>
      </c>
      <c r="AZ177" s="252">
        <f t="shared" si="684"/>
        <v>14963</v>
      </c>
      <c r="BA177" s="252">
        <f t="shared" si="684"/>
        <v>14713</v>
      </c>
      <c r="BB177" s="252">
        <f t="shared" si="684"/>
        <v>14538</v>
      </c>
      <c r="BC177" s="252">
        <f t="shared" si="684"/>
        <v>14534</v>
      </c>
      <c r="BD177" s="252">
        <f t="shared" ref="BD177:BE177" si="685">+BD8</f>
        <v>14541</v>
      </c>
      <c r="BE177" s="252">
        <f t="shared" si="685"/>
        <v>14342</v>
      </c>
      <c r="BF177" s="252">
        <f ca="1">+BF8</f>
        <v>14226.855149443001</v>
      </c>
      <c r="BG177" s="252">
        <f t="shared" ref="BG177:BI177" ca="1" si="686">+BG8</f>
        <v>14224.498836645129</v>
      </c>
      <c r="BH177" s="252">
        <f t="shared" ca="1" si="686"/>
        <v>14253.915436283152</v>
      </c>
      <c r="BI177" s="252">
        <f t="shared" ca="1" si="686"/>
        <v>14311.427232950295</v>
      </c>
    </row>
    <row r="178" spans="2:61" s="271" customFormat="1">
      <c r="B178" s="282" t="s">
        <v>252</v>
      </c>
      <c r="C178" s="275"/>
      <c r="D178" s="282"/>
      <c r="E178" s="302">
        <f t="shared" ref="E178:J178" si="687">+E177/D177-1</f>
        <v>-8.4481414088900531E-3</v>
      </c>
      <c r="F178" s="302">
        <f t="shared" si="687"/>
        <v>-1.9579892515401709E-2</v>
      </c>
      <c r="G178" s="302">
        <f t="shared" si="687"/>
        <v>-7.5371425706503015E-3</v>
      </c>
      <c r="H178" s="302">
        <f t="shared" si="687"/>
        <v>-2.4096588421513521E-2</v>
      </c>
      <c r="I178" s="302">
        <f t="shared" ca="1" si="687"/>
        <v>-1.6190205239900335E-2</v>
      </c>
      <c r="J178" s="302">
        <f t="shared" ca="1" si="687"/>
        <v>2.1744271816843685E-3</v>
      </c>
      <c r="K178" s="302">
        <f t="shared" ref="K178" ca="1" si="688">+K177/J177-1</f>
        <v>-5.1941204612226954E-4</v>
      </c>
      <c r="L178" s="302">
        <f t="shared" ref="L178" ca="1" si="689">+L177/K177-1</f>
        <v>-4.1569701134710479E-3</v>
      </c>
      <c r="M178" s="302">
        <f t="shared" ref="M178" ca="1" si="690">+M177/L177-1</f>
        <v>-7.3859188731266734E-3</v>
      </c>
      <c r="N178" s="302">
        <f t="shared" ref="N178" ca="1" si="691">+N177/M177-1</f>
        <v>-1.02686131166001E-2</v>
      </c>
      <c r="O178" s="302">
        <f t="shared" ref="O178" ca="1" si="692">+O177/N177-1</f>
        <v>-1.2855347535538519E-2</v>
      </c>
      <c r="P178" s="302">
        <f t="shared" ref="P178" ca="1" si="693">+P177/O177-1</f>
        <v>-1.5187243451250665E-2</v>
      </c>
      <c r="Q178" s="275"/>
      <c r="R178" s="275"/>
      <c r="S178" s="275"/>
      <c r="T178" s="275"/>
      <c r="U178" s="275"/>
      <c r="V178" s="275"/>
      <c r="W178" s="275"/>
      <c r="X178" s="275"/>
      <c r="Y178" s="275"/>
      <c r="Z178" s="275"/>
      <c r="AA178" s="275"/>
      <c r="AB178" s="275"/>
      <c r="AC178" s="275"/>
      <c r="AD178" s="275"/>
      <c r="AE178" s="275"/>
      <c r="AF178" s="275"/>
      <c r="AG178" s="275"/>
      <c r="AH178" s="283">
        <f t="shared" ref="AH178:BE178" si="694">+AH177/AD177-1</f>
        <v>4.3335004655826959E-2</v>
      </c>
      <c r="AI178" s="283">
        <f t="shared" si="694"/>
        <v>4.2946952037861141E-2</v>
      </c>
      <c r="AJ178" s="283">
        <f t="shared" si="694"/>
        <v>4.5228244863614098E-2</v>
      </c>
      <c r="AK178" s="283">
        <f t="shared" si="694"/>
        <v>4.1959991635882155E-2</v>
      </c>
      <c r="AL178" s="283">
        <f t="shared" si="694"/>
        <v>3.4120554716462914E-2</v>
      </c>
      <c r="AM178" s="283">
        <f t="shared" si="694"/>
        <v>4.0907551642397566E-2</v>
      </c>
      <c r="AN178" s="283">
        <f t="shared" si="694"/>
        <v>3.7166241781832809E-2</v>
      </c>
      <c r="AO178" s="283">
        <f t="shared" si="694"/>
        <v>4.7561709813365383E-2</v>
      </c>
      <c r="AP178" s="283">
        <f t="shared" si="694"/>
        <v>2.1509659430392292E-2</v>
      </c>
      <c r="AQ178" s="283">
        <f t="shared" si="694"/>
        <v>-1.4379595289218505E-2</v>
      </c>
      <c r="AR178" s="283">
        <f t="shared" si="694"/>
        <v>-2.3932729624838167E-3</v>
      </c>
      <c r="AS178" s="283">
        <f t="shared" si="694"/>
        <v>-3.7420178799489112E-2</v>
      </c>
      <c r="AT178" s="283">
        <f t="shared" si="694"/>
        <v>-3.7369207772795177E-2</v>
      </c>
      <c r="AU178" s="283">
        <f t="shared" si="694"/>
        <v>-2.1785054132559267E-3</v>
      </c>
      <c r="AV178" s="283">
        <f t="shared" si="694"/>
        <v>-2.1266938987226869E-2</v>
      </c>
      <c r="AW178" s="283">
        <f t="shared" si="694"/>
        <v>-1.718190261377206E-2</v>
      </c>
      <c r="AX178" s="283">
        <f t="shared" si="694"/>
        <v>-9.4517958412099201E-4</v>
      </c>
      <c r="AY178" s="283">
        <f t="shared" si="694"/>
        <v>-1.3430367184915637E-2</v>
      </c>
      <c r="AZ178" s="283">
        <f t="shared" si="694"/>
        <v>-8.7446174229877105E-3</v>
      </c>
      <c r="BA178" s="283">
        <f t="shared" si="694"/>
        <v>-6.8849139385758207E-3</v>
      </c>
      <c r="BB178" s="283">
        <f t="shared" si="694"/>
        <v>-1.7569941884038376E-2</v>
      </c>
      <c r="BC178" s="283">
        <f t="shared" si="694"/>
        <v>-2.5348712446351951E-2</v>
      </c>
      <c r="BD178" s="283">
        <f t="shared" si="694"/>
        <v>-2.8202900487870108E-2</v>
      </c>
      <c r="BE178" s="283">
        <f t="shared" si="694"/>
        <v>-2.5215795554951459E-2</v>
      </c>
      <c r="BF178" s="283">
        <f t="shared" ref="BF178" ca="1" si="695">+BF177/BB177-1</f>
        <v>-2.1402177091553121E-2</v>
      </c>
      <c r="BG178" s="283">
        <f t="shared" ref="BG178" ca="1" si="696">+BG177/BC177-1</f>
        <v>-2.129497477328135E-2</v>
      </c>
      <c r="BH178" s="283">
        <f t="shared" ref="BH178" ca="1" si="697">+BH177/BD177-1</f>
        <v>-1.9743110082996229E-2</v>
      </c>
      <c r="BI178" s="283">
        <f t="shared" ref="BI178" ca="1" si="698">+BI177/BE177-1</f>
        <v>-2.1316948159046945E-3</v>
      </c>
    </row>
    <row r="179" spans="2:61">
      <c r="B179" s="324"/>
      <c r="AT179" s="327"/>
      <c r="AU179" s="327"/>
      <c r="AV179" s="327"/>
      <c r="AW179" s="327"/>
      <c r="AX179" s="327"/>
      <c r="AY179" s="327"/>
      <c r="AZ179" s="327"/>
      <c r="BA179" s="327"/>
      <c r="BB179" s="327"/>
      <c r="BC179" s="327"/>
      <c r="BD179" s="327"/>
      <c r="BE179" s="327"/>
    </row>
    <row r="180" spans="2:61" ht="15.75" thickBot="1">
      <c r="B180" s="324"/>
      <c r="AT180" s="327"/>
      <c r="AU180" s="327"/>
      <c r="AV180" s="327"/>
      <c r="AW180" s="327"/>
      <c r="AX180" s="327"/>
      <c r="AY180" s="327"/>
      <c r="AZ180" s="327"/>
      <c r="BA180" s="327"/>
      <c r="BB180" s="327"/>
      <c r="BC180" s="327"/>
      <c r="BD180" s="327"/>
      <c r="BE180" s="327"/>
    </row>
    <row r="181" spans="2:61" s="251" customFormat="1" ht="15.75" thickBot="1">
      <c r="B181" s="194" t="s">
        <v>498</v>
      </c>
      <c r="C181" s="163"/>
      <c r="D181" s="195">
        <f>+D$6</f>
        <v>2013</v>
      </c>
      <c r="E181" s="196">
        <f t="shared" ref="E181:P181" si="699">+E$6</f>
        <v>2014</v>
      </c>
      <c r="F181" s="196">
        <f t="shared" si="699"/>
        <v>2015</v>
      </c>
      <c r="G181" s="196">
        <f t="shared" si="699"/>
        <v>2016</v>
      </c>
      <c r="H181" s="196">
        <f t="shared" si="699"/>
        <v>2017</v>
      </c>
      <c r="I181" s="196" t="str">
        <f t="shared" si="699"/>
        <v>2018E</v>
      </c>
      <c r="J181" s="196" t="str">
        <f t="shared" si="699"/>
        <v>2019E</v>
      </c>
      <c r="K181" s="196" t="str">
        <f t="shared" si="699"/>
        <v>2020E</v>
      </c>
      <c r="L181" s="196" t="str">
        <f t="shared" si="699"/>
        <v>2021E</v>
      </c>
      <c r="M181" s="196" t="str">
        <f t="shared" si="699"/>
        <v>2022E</v>
      </c>
      <c r="N181" s="196" t="str">
        <f t="shared" si="699"/>
        <v>2023E</v>
      </c>
      <c r="O181" s="196" t="str">
        <f t="shared" si="699"/>
        <v>2024E</v>
      </c>
      <c r="P181" s="197" t="str">
        <f t="shared" si="699"/>
        <v>2025E</v>
      </c>
      <c r="Q181" s="318"/>
      <c r="R181" s="196" t="s">
        <v>228</v>
      </c>
      <c r="S181" s="196" t="s">
        <v>229</v>
      </c>
      <c r="T181" s="196" t="s">
        <v>230</v>
      </c>
      <c r="U181" s="196" t="s">
        <v>231</v>
      </c>
      <c r="V181" s="196" t="s">
        <v>232</v>
      </c>
      <c r="W181" s="196" t="s">
        <v>233</v>
      </c>
      <c r="X181" s="196" t="s">
        <v>234</v>
      </c>
      <c r="Y181" s="196" t="s">
        <v>235</v>
      </c>
      <c r="Z181" s="196" t="s">
        <v>236</v>
      </c>
      <c r="AA181" s="196" t="s">
        <v>237</v>
      </c>
      <c r="AB181" s="196" t="s">
        <v>238</v>
      </c>
      <c r="AC181" s="196" t="s">
        <v>239</v>
      </c>
      <c r="AD181" s="196" t="s">
        <v>240</v>
      </c>
      <c r="AE181" s="196" t="s">
        <v>241</v>
      </c>
      <c r="AF181" s="196" t="s">
        <v>242</v>
      </c>
      <c r="AG181" s="196" t="s">
        <v>243</v>
      </c>
      <c r="AH181" s="196" t="s">
        <v>244</v>
      </c>
      <c r="AI181" s="196" t="s">
        <v>245</v>
      </c>
      <c r="AJ181" s="196" t="s">
        <v>246</v>
      </c>
      <c r="AK181" s="196" t="s">
        <v>247</v>
      </c>
      <c r="AL181" s="196" t="s">
        <v>248</v>
      </c>
      <c r="AM181" s="196" t="s">
        <v>249</v>
      </c>
      <c r="AN181" s="196" t="s">
        <v>250</v>
      </c>
      <c r="AO181" s="196" t="s">
        <v>251</v>
      </c>
      <c r="AP181" s="196" t="s">
        <v>156</v>
      </c>
      <c r="AQ181" s="196" t="s">
        <v>157</v>
      </c>
      <c r="AR181" s="196" t="s">
        <v>158</v>
      </c>
      <c r="AS181" s="196" t="s">
        <v>159</v>
      </c>
      <c r="AT181" s="196" t="str">
        <f>+AT$6</f>
        <v>1Q15</v>
      </c>
      <c r="AU181" s="196" t="str">
        <f t="shared" ref="AU181:BI181" si="700">+AU$6</f>
        <v>2Q15</v>
      </c>
      <c r="AV181" s="196" t="str">
        <f t="shared" si="700"/>
        <v>3Q15</v>
      </c>
      <c r="AW181" s="196" t="str">
        <f t="shared" si="700"/>
        <v>4Q15</v>
      </c>
      <c r="AX181" s="196" t="str">
        <f t="shared" si="700"/>
        <v>1Q16</v>
      </c>
      <c r="AY181" s="196" t="str">
        <f t="shared" si="700"/>
        <v>2Q16</v>
      </c>
      <c r="AZ181" s="196" t="str">
        <f t="shared" si="700"/>
        <v>3Q16</v>
      </c>
      <c r="BA181" s="196" t="str">
        <f t="shared" si="700"/>
        <v>4Q16</v>
      </c>
      <c r="BB181" s="196" t="str">
        <f t="shared" si="700"/>
        <v>1Q17</v>
      </c>
      <c r="BC181" s="196" t="str">
        <f t="shared" si="700"/>
        <v>2Q17</v>
      </c>
      <c r="BD181" s="196" t="str">
        <f t="shared" si="700"/>
        <v>3Q17</v>
      </c>
      <c r="BE181" s="196" t="str">
        <f t="shared" si="700"/>
        <v>4Q17</v>
      </c>
      <c r="BF181" s="196" t="str">
        <f t="shared" si="700"/>
        <v>1Q18E</v>
      </c>
      <c r="BG181" s="196" t="str">
        <f t="shared" si="700"/>
        <v>2Q18E</v>
      </c>
      <c r="BH181" s="196" t="str">
        <f t="shared" si="700"/>
        <v>3Q18E</v>
      </c>
      <c r="BI181" s="197" t="str">
        <f t="shared" si="700"/>
        <v>4Q18E</v>
      </c>
    </row>
    <row r="182" spans="2:61">
      <c r="B182" s="324"/>
      <c r="AT182" s="327"/>
      <c r="AU182" s="327"/>
      <c r="AV182" s="327"/>
      <c r="AW182" s="327"/>
      <c r="AX182" s="327"/>
      <c r="AY182" s="327"/>
      <c r="AZ182" s="327"/>
      <c r="BA182" s="327"/>
      <c r="BB182" s="327"/>
      <c r="BC182" s="327"/>
      <c r="BD182" s="327"/>
      <c r="BE182" s="327"/>
    </row>
    <row r="183" spans="2:61" s="236" customFormat="1">
      <c r="B183" s="236" t="s">
        <v>499</v>
      </c>
      <c r="C183" s="274"/>
      <c r="E183" s="308"/>
      <c r="F183" s="295"/>
      <c r="G183" s="295"/>
      <c r="H183" s="295"/>
      <c r="I183" s="295">
        <f ca="1">+SUM(BF183:BI183)</f>
        <v>57592.622884163211</v>
      </c>
      <c r="J183" s="236">
        <f t="shared" ref="J183:P183" ca="1" si="701">+J59+J90+J103</f>
        <v>57717.853848827028</v>
      </c>
      <c r="K183" s="236">
        <f t="shared" ca="1" si="701"/>
        <v>57687.874500261627</v>
      </c>
      <c r="L183" s="236">
        <f t="shared" ca="1" si="701"/>
        <v>57448.067730054361</v>
      </c>
      <c r="M183" s="236">
        <f t="shared" ca="1" si="701"/>
        <v>57023.760962382294</v>
      </c>
      <c r="N183" s="236">
        <f t="shared" ca="1" si="701"/>
        <v>56438.206022606122</v>
      </c>
      <c r="O183" s="236">
        <f t="shared" ca="1" si="701"/>
        <v>55712.673269903193</v>
      </c>
      <c r="P183" s="236">
        <f t="shared" ca="1" si="701"/>
        <v>54866.551337633195</v>
      </c>
      <c r="Q183" s="274"/>
      <c r="R183" s="274"/>
      <c r="S183" s="274"/>
      <c r="T183" s="274"/>
      <c r="U183" s="274"/>
      <c r="V183" s="274"/>
      <c r="W183" s="274"/>
      <c r="X183" s="274"/>
      <c r="Y183" s="274"/>
      <c r="Z183" s="274"/>
      <c r="AA183" s="274"/>
      <c r="AB183" s="274"/>
      <c r="AC183" s="274"/>
      <c r="BB183" s="236">
        <f>+BB8</f>
        <v>14538</v>
      </c>
      <c r="BC183" s="236">
        <f t="shared" ref="BC183:BE183" si="702">+BC8</f>
        <v>14534</v>
      </c>
      <c r="BD183" s="236">
        <f t="shared" si="702"/>
        <v>14541</v>
      </c>
      <c r="BE183" s="236">
        <f t="shared" si="702"/>
        <v>14342</v>
      </c>
      <c r="BF183" s="236">
        <f ca="1">+BF59+BF90+BF103</f>
        <v>14370.560757013132</v>
      </c>
      <c r="BG183" s="236">
        <f t="shared" ref="BG183:BI183" ca="1" si="703">+BG59+BG90+BG103</f>
        <v>14368.180643075888</v>
      </c>
      <c r="BH183" s="236">
        <f t="shared" ca="1" si="703"/>
        <v>14397.894380083992</v>
      </c>
      <c r="BI183" s="236">
        <f t="shared" ca="1" si="703"/>
        <v>14455.987103990197</v>
      </c>
    </row>
    <row r="184" spans="2:61">
      <c r="B184" s="282" t="s">
        <v>252</v>
      </c>
      <c r="J184" s="520">
        <f ca="1">+J183/I183-1</f>
        <v>2.1744271816843685E-3</v>
      </c>
      <c r="K184" s="520">
        <f t="shared" ref="K184:P184" ca="1" si="704">+K183/J183-1</f>
        <v>-5.1941204612215852E-4</v>
      </c>
      <c r="L184" s="520">
        <f t="shared" ca="1" si="704"/>
        <v>-4.15697011347127E-3</v>
      </c>
      <c r="M184" s="520">
        <f t="shared" ca="1" si="704"/>
        <v>-7.3859188731266734E-3</v>
      </c>
      <c r="N184" s="520">
        <f t="shared" ca="1" si="704"/>
        <v>-1.0268613116599767E-2</v>
      </c>
      <c r="O184" s="520">
        <f t="shared" ca="1" si="704"/>
        <v>-1.285534753553863E-2</v>
      </c>
      <c r="P184" s="520">
        <f t="shared" ca="1" si="704"/>
        <v>-1.5187243451250554E-2</v>
      </c>
      <c r="BF184" s="520">
        <f ca="1">+BF183/BB183-1</f>
        <v>-1.1517350597528342E-2</v>
      </c>
      <c r="BG184" s="520">
        <f t="shared" ref="BG184:BI184" ca="1" si="705">+BG183/BC183-1</f>
        <v>-1.140906542755693E-2</v>
      </c>
      <c r="BH184" s="520">
        <f t="shared" ca="1" si="705"/>
        <v>-9.8415253363598465E-3</v>
      </c>
      <c r="BI184" s="520">
        <f t="shared" ca="1" si="705"/>
        <v>7.9477830142378192E-3</v>
      </c>
    </row>
    <row r="185" spans="2:61">
      <c r="B185" s="236" t="s">
        <v>500</v>
      </c>
      <c r="I185" s="295">
        <f ca="1">+SUM(BF185:BI185)</f>
        <v>13614.465468099435</v>
      </c>
      <c r="J185" s="236">
        <f t="shared" ref="J185:P185" ca="1" si="706">+J170+J172</f>
        <v>13639.827738396971</v>
      </c>
      <c r="K185" s="236">
        <f t="shared" ca="1" si="706"/>
        <v>13630.087753618027</v>
      </c>
      <c r="L185" s="236">
        <f t="shared" ca="1" si="706"/>
        <v>13588.841938468366</v>
      </c>
      <c r="M185" s="236">
        <f t="shared" ca="1" si="706"/>
        <v>13519.405152770381</v>
      </c>
      <c r="N185" s="236">
        <f t="shared" ca="1" si="706"/>
        <v>13315.740377099122</v>
      </c>
      <c r="O185" s="236">
        <f t="shared" ca="1" si="706"/>
        <v>13094.800227673973</v>
      </c>
      <c r="P185" s="236">
        <f t="shared" ca="1" si="706"/>
        <v>12859.388209081018</v>
      </c>
      <c r="BB185" s="236">
        <f>+BB9</f>
        <v>2629</v>
      </c>
      <c r="BC185" s="236">
        <f t="shared" ref="BC185:BE185" si="707">+BC9</f>
        <v>2984</v>
      </c>
      <c r="BD185" s="236">
        <f t="shared" si="707"/>
        <v>2895</v>
      </c>
      <c r="BE185" s="236">
        <f t="shared" si="707"/>
        <v>4886</v>
      </c>
      <c r="BF185" s="236">
        <f>+BF170+BF172</f>
        <v>2920.2645428837732</v>
      </c>
      <c r="BG185" s="236">
        <f t="shared" ref="BG185:BI185" ca="1" si="708">+BG170+BG172</f>
        <v>3034.4682583810518</v>
      </c>
      <c r="BH185" s="236">
        <f t="shared" ca="1" si="708"/>
        <v>3027.8489255203867</v>
      </c>
      <c r="BI185" s="236">
        <f t="shared" ca="1" si="708"/>
        <v>4631.8837413142237</v>
      </c>
    </row>
    <row r="186" spans="2:61">
      <c r="B186" s="282" t="s">
        <v>252</v>
      </c>
      <c r="J186" s="520">
        <f ca="1">+J185/I185-1</f>
        <v>1.8628913751306264E-3</v>
      </c>
      <c r="K186" s="520">
        <f t="shared" ref="K186" ca="1" si="709">+K185/J185-1</f>
        <v>-7.1408414869678083E-4</v>
      </c>
      <c r="L186" s="520">
        <f t="shared" ref="L186" ca="1" si="710">+L185/K185-1</f>
        <v>-3.026085810688417E-3</v>
      </c>
      <c r="M186" s="520">
        <f t="shared" ref="M186" ca="1" si="711">+M185/L185-1</f>
        <v>-5.1098383521127611E-3</v>
      </c>
      <c r="N186" s="520">
        <f t="shared" ref="N186" ca="1" si="712">+N185/M185-1</f>
        <v>-1.5064625504586204E-2</v>
      </c>
      <c r="O186" s="520">
        <f t="shared" ref="O186" ca="1" si="713">+O185/N185-1</f>
        <v>-1.659240441523846E-2</v>
      </c>
      <c r="P186" s="520">
        <f t="shared" ref="P186" ca="1" si="714">+P185/O185-1</f>
        <v>-1.797751890062782E-2</v>
      </c>
      <c r="BF186" s="520">
        <f>+BF185/BB185-1</f>
        <v>0.11078909961345507</v>
      </c>
      <c r="BG186" s="520">
        <f t="shared" ref="BG186" ca="1" si="715">+BG185/BC185-1</f>
        <v>1.6912955221532133E-2</v>
      </c>
      <c r="BH186" s="520">
        <f t="shared" ref="BH186" ca="1" si="716">+BH185/BD185-1</f>
        <v>4.5889093444002382E-2</v>
      </c>
      <c r="BI186" s="520">
        <f t="shared" ref="BI186" ca="1" si="717">+BI185/BE185-1</f>
        <v>-5.2009058265611197E-2</v>
      </c>
    </row>
    <row r="188" spans="2:61">
      <c r="B188" s="519" t="s">
        <v>501</v>
      </c>
      <c r="J188" s="521"/>
      <c r="K188" s="521"/>
      <c r="L188" s="521"/>
      <c r="M188" s="521"/>
      <c r="N188" s="521"/>
      <c r="O188" s="521"/>
      <c r="P188" s="521"/>
      <c r="BF188" s="521"/>
      <c r="BG188" s="521"/>
      <c r="BH188" s="521"/>
      <c r="BI188" s="521"/>
    </row>
    <row r="189" spans="2:61">
      <c r="B189" s="518" t="s">
        <v>502</v>
      </c>
      <c r="J189" s="521">
        <v>-0.01</v>
      </c>
      <c r="K189" s="521">
        <v>-0.01</v>
      </c>
      <c r="L189" s="521">
        <v>-0.01</v>
      </c>
      <c r="M189" s="521">
        <v>-0.01</v>
      </c>
      <c r="N189" s="521">
        <v>-0.01</v>
      </c>
      <c r="O189" s="521">
        <v>-0.01</v>
      </c>
      <c r="P189" s="521">
        <v>-0.01</v>
      </c>
      <c r="BF189" s="521">
        <v>-0.01</v>
      </c>
      <c r="BG189" s="521">
        <v>-0.01</v>
      </c>
      <c r="BH189" s="521">
        <v>-0.01</v>
      </c>
      <c r="BI189" s="521">
        <v>-0.01</v>
      </c>
    </row>
    <row r="190" spans="2:61">
      <c r="B190" s="235" t="s">
        <v>503</v>
      </c>
      <c r="J190" s="236">
        <f t="shared" ref="J190" ca="1" si="718">+J183+J191</f>
        <v>57140.67531033876</v>
      </c>
      <c r="K190" s="236">
        <f t="shared" ref="K190" ca="1" si="719">+K183+K191</f>
        <v>57110.995755259013</v>
      </c>
      <c r="L190" s="236">
        <f t="shared" ref="L190" ca="1" si="720">+L183+L191</f>
        <v>56873.587052753821</v>
      </c>
      <c r="M190" s="236">
        <f t="shared" ref="M190" ca="1" si="721">+M183+M191</f>
        <v>56453.523352758471</v>
      </c>
      <c r="N190" s="236">
        <f t="shared" ref="N190" ca="1" si="722">+N183+N191</f>
        <v>55873.823962380062</v>
      </c>
      <c r="O190" s="236">
        <f t="shared" ref="O190" ca="1" si="723">+O183+O191</f>
        <v>55155.546537204158</v>
      </c>
      <c r="P190" s="236">
        <f t="shared" ref="P190" ca="1" si="724">+P183+P191</f>
        <v>54317.88582425686</v>
      </c>
      <c r="BF190" s="236">
        <f ca="1">+BF183+BF191</f>
        <v>14226.855149443001</v>
      </c>
      <c r="BG190" s="236">
        <f t="shared" ref="BG190:BI190" ca="1" si="725">+BG183+BG191</f>
        <v>14224.498836645129</v>
      </c>
      <c r="BH190" s="236">
        <f t="shared" ca="1" si="725"/>
        <v>14253.915436283152</v>
      </c>
      <c r="BI190" s="236">
        <f t="shared" ca="1" si="725"/>
        <v>14311.427232950295</v>
      </c>
    </row>
    <row r="191" spans="2:61">
      <c r="B191" s="518" t="s">
        <v>504</v>
      </c>
      <c r="J191" s="236">
        <f t="shared" ref="J191:P191" ca="1" si="726">+J189*J183</f>
        <v>-577.17853848827031</v>
      </c>
      <c r="K191" s="236">
        <f t="shared" ca="1" si="726"/>
        <v>-576.87874500261626</v>
      </c>
      <c r="L191" s="236">
        <f t="shared" ca="1" si="726"/>
        <v>-574.48067730054368</v>
      </c>
      <c r="M191" s="236">
        <f t="shared" ca="1" si="726"/>
        <v>-570.237609623823</v>
      </c>
      <c r="N191" s="236">
        <f t="shared" ca="1" si="726"/>
        <v>-564.38206022606118</v>
      </c>
      <c r="O191" s="236">
        <f t="shared" ca="1" si="726"/>
        <v>-557.12673269903189</v>
      </c>
      <c r="P191" s="236">
        <f t="shared" ca="1" si="726"/>
        <v>-548.665513376332</v>
      </c>
      <c r="BF191" s="236">
        <f ca="1">+BF189*BF183</f>
        <v>-143.70560757013132</v>
      </c>
      <c r="BG191" s="236">
        <f t="shared" ref="BG191:BI191" ca="1" si="727">+BG189*BG183</f>
        <v>-143.68180643075888</v>
      </c>
      <c r="BH191" s="236">
        <f t="shared" ca="1" si="727"/>
        <v>-143.97894380083991</v>
      </c>
      <c r="BI191" s="236">
        <f t="shared" ca="1" si="727"/>
        <v>-144.55987103990196</v>
      </c>
    </row>
    <row r="192" spans="2:61">
      <c r="B192" s="235" t="s">
        <v>505</v>
      </c>
      <c r="J192" s="236">
        <f t="shared" ref="J192" ca="1" si="728">+J185+J193</f>
        <v>14217.00627688524</v>
      </c>
      <c r="K192" s="236">
        <f t="shared" ref="K192" ca="1" si="729">+K185+K193</f>
        <v>14206.966498620643</v>
      </c>
      <c r="L192" s="236">
        <f t="shared" ref="L192" ca="1" si="730">+L185+L193</f>
        <v>14163.32261576891</v>
      </c>
      <c r="M192" s="236">
        <f t="shared" ref="M192" ca="1" si="731">+M185+M193</f>
        <v>14089.642762394204</v>
      </c>
      <c r="N192" s="236">
        <f t="shared" ref="N192" ca="1" si="732">+N185+N193</f>
        <v>13880.122437325183</v>
      </c>
      <c r="O192" s="236">
        <f t="shared" ref="O192" ca="1" si="733">+O185+O193</f>
        <v>13651.926960373006</v>
      </c>
      <c r="P192" s="236">
        <f t="shared" ref="P192" ca="1" si="734">+P185+P193</f>
        <v>13408.053722457351</v>
      </c>
      <c r="BF192" s="236">
        <f ca="1">+BF185+BF193</f>
        <v>3063.9701504539044</v>
      </c>
      <c r="BG192" s="236">
        <f t="shared" ref="BG192:BI192" ca="1" si="735">+BG185+BG193</f>
        <v>3178.1500648118108</v>
      </c>
      <c r="BH192" s="236">
        <f t="shared" ca="1" si="735"/>
        <v>3171.8278693212264</v>
      </c>
      <c r="BI192" s="236">
        <f t="shared" ca="1" si="735"/>
        <v>4776.4436123541254</v>
      </c>
    </row>
    <row r="193" spans="2:61">
      <c r="B193" s="518" t="s">
        <v>506</v>
      </c>
      <c r="J193" s="236">
        <f t="shared" ref="J193:P193" ca="1" si="736">-J191</f>
        <v>577.17853848827031</v>
      </c>
      <c r="K193" s="236">
        <f t="shared" ca="1" si="736"/>
        <v>576.87874500261626</v>
      </c>
      <c r="L193" s="236">
        <f t="shared" ca="1" si="736"/>
        <v>574.48067730054368</v>
      </c>
      <c r="M193" s="236">
        <f t="shared" ca="1" si="736"/>
        <v>570.237609623823</v>
      </c>
      <c r="N193" s="236">
        <f t="shared" ca="1" si="736"/>
        <v>564.38206022606118</v>
      </c>
      <c r="O193" s="236">
        <f t="shared" ca="1" si="736"/>
        <v>557.12673269903189</v>
      </c>
      <c r="P193" s="236">
        <f t="shared" ca="1" si="736"/>
        <v>548.665513376332</v>
      </c>
      <c r="BF193" s="236">
        <f ca="1">-BF191</f>
        <v>143.70560757013132</v>
      </c>
      <c r="BG193" s="236">
        <f t="shared" ref="BG193:BI193" ca="1" si="737">-BG191</f>
        <v>143.68180643075888</v>
      </c>
      <c r="BH193" s="236">
        <f t="shared" ca="1" si="737"/>
        <v>143.97894380083991</v>
      </c>
      <c r="BI193" s="236">
        <f t="shared" ca="1" si="737"/>
        <v>144.55987103990196</v>
      </c>
    </row>
    <row r="195" spans="2:61">
      <c r="B195" s="522" t="s">
        <v>507</v>
      </c>
      <c r="J195" s="423">
        <f>0.125*'Income Statement'!I57</f>
        <v>775.16786419175583</v>
      </c>
      <c r="K195" s="423">
        <f>+J195/2</f>
        <v>387.58393209587791</v>
      </c>
      <c r="BF195" s="423">
        <f>+J195/4</f>
        <v>193.79196604793896</v>
      </c>
      <c r="BG195" s="423">
        <f>+BF195</f>
        <v>193.79196604793896</v>
      </c>
      <c r="BH195" s="423">
        <f t="shared" ref="BH195:BI195" si="738">+BG195</f>
        <v>193.79196604793896</v>
      </c>
      <c r="BI195" s="423">
        <f t="shared" si="738"/>
        <v>193.79196604793896</v>
      </c>
    </row>
  </sheetData>
  <pageMargins left="0" right="0" top="0" bottom="0" header="0" footer="0"/>
  <pageSetup scale="44" orientation="landscape"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0" tint="-0.34998626667073579"/>
    <pageSetUpPr fitToPage="1"/>
  </sheetPr>
  <dimension ref="B2:BK101"/>
  <sheetViews>
    <sheetView showGridLines="0" zoomScale="70" zoomScaleNormal="70" workbookViewId="0">
      <pane xSplit="2" ySplit="6" topLeftCell="C7" activePane="bottomRight" state="frozen"/>
      <selection activeCell="C7" sqref="C7"/>
      <selection pane="topRight" activeCell="C7" sqref="C7"/>
      <selection pane="bottomLeft" activeCell="C7" sqref="C7"/>
      <selection pane="bottomRight" activeCell="C7" sqref="C7"/>
    </sheetView>
  </sheetViews>
  <sheetFormatPr defaultRowHeight="15" outlineLevelRow="1" outlineLevelCol="1"/>
  <cols>
    <col min="1" max="1" width="1.6640625" style="235" customWidth="1"/>
    <col min="2" max="2" width="25.77734375" style="235" customWidth="1"/>
    <col min="3" max="3" width="1.6640625" style="266" customWidth="1"/>
    <col min="4" max="4" width="0" style="235" hidden="1" customWidth="1" outlineLevel="1"/>
    <col min="5" max="6" width="0" style="235" hidden="1" customWidth="1" outlineLevel="1" collapsed="1"/>
    <col min="7" max="7" width="8.88671875" style="235" collapsed="1"/>
    <col min="8" max="8" width="8.88671875" style="235"/>
    <col min="9" max="10" width="8.88671875" style="235" customWidth="1"/>
    <col min="11" max="16" width="8.88671875" style="235" hidden="1" customWidth="1" outlineLevel="1"/>
    <col min="17" max="17" width="1.6640625" style="266" customWidth="1" collapsed="1"/>
    <col min="18" max="37" width="1.6640625" style="266" hidden="1" customWidth="1" outlineLevel="1"/>
    <col min="38" max="41" width="8.88671875" style="235" hidden="1" customWidth="1" outlineLevel="1"/>
    <col min="42" max="42" width="8.88671875" style="235" hidden="1" customWidth="1" outlineLevel="1" collapsed="1"/>
    <col min="43" max="45" width="8.88671875" style="235" hidden="1" customWidth="1" outlineLevel="1"/>
    <col min="46" max="46" width="0" style="235" hidden="1" customWidth="1" outlineLevel="1" collapsed="1"/>
    <col min="47" max="49" width="0" style="235" hidden="1" customWidth="1" outlineLevel="1"/>
    <col min="50" max="50" width="0" style="235" hidden="1" customWidth="1" outlineLevel="1" collapsed="1"/>
    <col min="51" max="53" width="0" style="235" hidden="1" customWidth="1" outlineLevel="1"/>
    <col min="54" max="54" width="8.88671875" style="235" collapsed="1"/>
    <col min="55" max="61" width="8.88671875" style="235"/>
    <col min="62" max="62" width="1.6640625" style="235" customWidth="1"/>
    <col min="63" max="16384" width="8.88671875" style="235"/>
  </cols>
  <sheetData>
    <row r="2" spans="2:63">
      <c r="B2" s="240" t="s">
        <v>197</v>
      </c>
    </row>
    <row r="3" spans="2:63">
      <c r="B3" s="240" t="s">
        <v>198</v>
      </c>
    </row>
    <row r="4" spans="2:63">
      <c r="B4" s="235" t="s">
        <v>165</v>
      </c>
    </row>
    <row r="5" spans="2:63" ht="15.75" thickBot="1"/>
    <row r="6" spans="2:63" s="251" customFormat="1" ht="15.75" thickBot="1">
      <c r="B6" s="194" t="s">
        <v>351</v>
      </c>
      <c r="C6" s="276"/>
      <c r="D6" s="195">
        <f>'Income Statement'!D6</f>
        <v>2013</v>
      </c>
      <c r="E6" s="196">
        <f>'Income Statement'!E6</f>
        <v>2014</v>
      </c>
      <c r="F6" s="196">
        <f>'Income Statement'!F6</f>
        <v>2015</v>
      </c>
      <c r="G6" s="196">
        <f>'Income Statement'!G6</f>
        <v>2016</v>
      </c>
      <c r="H6" s="196">
        <f>'Income Statement'!H6</f>
        <v>2017</v>
      </c>
      <c r="I6" s="196" t="str">
        <f>'Income Statement'!I6</f>
        <v>2018E</v>
      </c>
      <c r="J6" s="196" t="str">
        <f>'Income Statement'!J6</f>
        <v>2019E</v>
      </c>
      <c r="K6" s="196" t="str">
        <f>'Income Statement'!K6</f>
        <v>2020E</v>
      </c>
      <c r="L6" s="196" t="str">
        <f>'Income Statement'!L6</f>
        <v>2021E</v>
      </c>
      <c r="M6" s="196" t="str">
        <f>'Income Statement'!M6</f>
        <v>2022E</v>
      </c>
      <c r="N6" s="196" t="str">
        <f>'Income Statement'!N6</f>
        <v>2023E</v>
      </c>
      <c r="O6" s="196" t="str">
        <f>'Income Statement'!O6</f>
        <v>2024E</v>
      </c>
      <c r="P6" s="197" t="str">
        <f>'Income Statement'!P6</f>
        <v>2025E</v>
      </c>
      <c r="Q6" s="241"/>
      <c r="R6" s="196"/>
      <c r="S6" s="196"/>
      <c r="T6" s="196"/>
      <c r="U6" s="196"/>
      <c r="V6" s="196"/>
      <c r="W6" s="196"/>
      <c r="X6" s="196"/>
      <c r="Y6" s="196"/>
      <c r="Z6" s="196"/>
      <c r="AA6" s="196"/>
      <c r="AB6" s="196"/>
      <c r="AC6" s="196"/>
      <c r="AD6" s="196"/>
      <c r="AE6" s="196"/>
      <c r="AF6" s="196"/>
      <c r="AG6" s="196"/>
      <c r="AH6" s="196"/>
      <c r="AI6" s="196"/>
      <c r="AJ6" s="196"/>
      <c r="AK6" s="196"/>
      <c r="AL6" s="196" t="s">
        <v>248</v>
      </c>
      <c r="AM6" s="196" t="s">
        <v>249</v>
      </c>
      <c r="AN6" s="196" t="s">
        <v>250</v>
      </c>
      <c r="AO6" s="196" t="s">
        <v>251</v>
      </c>
      <c r="AP6" s="196" t="str">
        <f>'Income Statement'!AP6</f>
        <v>1Q14</v>
      </c>
      <c r="AQ6" s="196" t="str">
        <f>'Income Statement'!AQ6</f>
        <v>2Q14</v>
      </c>
      <c r="AR6" s="196" t="str">
        <f>'Income Statement'!AR6</f>
        <v>3Q14</v>
      </c>
      <c r="AS6" s="196" t="str">
        <f>'Income Statement'!AS6</f>
        <v>4Q14</v>
      </c>
      <c r="AT6" s="196" t="str">
        <f>'Income Statement'!AT6</f>
        <v>1Q15</v>
      </c>
      <c r="AU6" s="196" t="str">
        <f>'Income Statement'!AU6</f>
        <v>2Q15</v>
      </c>
      <c r="AV6" s="196" t="str">
        <f>'Income Statement'!AV6</f>
        <v>3Q15</v>
      </c>
      <c r="AW6" s="196" t="str">
        <f>'Income Statement'!AW6</f>
        <v>4Q15</v>
      </c>
      <c r="AX6" s="196" t="str">
        <f>'Income Statement'!AX6</f>
        <v>1Q16</v>
      </c>
      <c r="AY6" s="196" t="str">
        <f>'Income Statement'!AY6</f>
        <v>2Q16</v>
      </c>
      <c r="AZ6" s="196" t="str">
        <f>'Income Statement'!AZ6</f>
        <v>3Q16</v>
      </c>
      <c r="BA6" s="196" t="str">
        <f>'Income Statement'!BA6</f>
        <v>4Q16</v>
      </c>
      <c r="BB6" s="196" t="str">
        <f>'Income Statement'!BB6</f>
        <v>1Q17</v>
      </c>
      <c r="BC6" s="196" t="str">
        <f>'Income Statement'!BC6</f>
        <v>2Q17</v>
      </c>
      <c r="BD6" s="196" t="str">
        <f>'Income Statement'!BD6</f>
        <v>3Q17</v>
      </c>
      <c r="BE6" s="196" t="str">
        <f>'Income Statement'!BE6</f>
        <v>4Q17</v>
      </c>
      <c r="BF6" s="196" t="str">
        <f>'Income Statement'!BF6</f>
        <v>1Q18E</v>
      </c>
      <c r="BG6" s="196" t="str">
        <f>'Income Statement'!BG6</f>
        <v>2Q18E</v>
      </c>
      <c r="BH6" s="196" t="str">
        <f>'Income Statement'!BH6</f>
        <v>3Q18E</v>
      </c>
      <c r="BI6" s="197" t="str">
        <f>'Income Statement'!BI6</f>
        <v>4Q18E</v>
      </c>
    </row>
    <row r="8" spans="2:63" s="236" customFormat="1">
      <c r="B8" s="236" t="s">
        <v>296</v>
      </c>
      <c r="C8" s="266"/>
      <c r="D8" s="300"/>
      <c r="E8" s="295">
        <f>SUM(AP8:AS8)</f>
        <v>24282</v>
      </c>
      <c r="F8" s="295">
        <f>SUM(AT8:AW8)</f>
        <v>22030</v>
      </c>
      <c r="G8" s="295">
        <f>SUM(AX8:BA8)</f>
        <v>20000</v>
      </c>
      <c r="H8" s="295">
        <f>SUM(BB8:BE8)</f>
        <v>18517</v>
      </c>
      <c r="I8" s="295">
        <f ca="1">SUM(BF8:BI8)</f>
        <v>18205.856922001938</v>
      </c>
      <c r="J8" s="236">
        <f ca="1">+J51</f>
        <v>18494.303138128675</v>
      </c>
      <c r="K8" s="236">
        <f t="shared" ref="K8:P8" ca="1" si="0">+K51</f>
        <v>18604.733456932652</v>
      </c>
      <c r="L8" s="236">
        <f t="shared" ca="1" si="0"/>
        <v>18590.878458869956</v>
      </c>
      <c r="M8" s="236">
        <f t="shared" ca="1" si="0"/>
        <v>18500.953619461558</v>
      </c>
      <c r="N8" s="236">
        <f t="shared" ca="1" si="0"/>
        <v>18377.714971701804</v>
      </c>
      <c r="O8" s="236">
        <f t="shared" ca="1" si="0"/>
        <v>18258.599036687294</v>
      </c>
      <c r="P8" s="236">
        <f t="shared" ca="1" si="0"/>
        <v>18175.933230075243</v>
      </c>
      <c r="Q8" s="266"/>
      <c r="R8" s="266"/>
      <c r="S8" s="266"/>
      <c r="T8" s="266"/>
      <c r="U8" s="266"/>
      <c r="V8" s="266"/>
      <c r="W8" s="266"/>
      <c r="X8" s="266"/>
      <c r="Y8" s="266"/>
      <c r="Z8" s="266"/>
      <c r="AA8" s="266"/>
      <c r="AB8" s="266"/>
      <c r="AC8" s="266"/>
      <c r="AD8" s="266"/>
      <c r="AE8" s="266"/>
      <c r="AF8" s="266"/>
      <c r="AG8" s="266"/>
      <c r="AH8" s="266"/>
      <c r="AI8" s="266"/>
      <c r="AJ8" s="266"/>
      <c r="AK8" s="266"/>
      <c r="AO8" s="261">
        <v>6737</v>
      </c>
      <c r="AP8" s="261">
        <v>6418</v>
      </c>
      <c r="AQ8" s="261">
        <v>6001</v>
      </c>
      <c r="AR8" s="261">
        <v>6071</v>
      </c>
      <c r="AS8" s="261">
        <v>5792</v>
      </c>
      <c r="AT8" s="261">
        <v>5620</v>
      </c>
      <c r="AU8" s="261">
        <v>5636</v>
      </c>
      <c r="AV8" s="261">
        <v>5527</v>
      </c>
      <c r="AW8" s="261">
        <v>5247</v>
      </c>
      <c r="AX8" s="422">
        <f>6943-AX9-AX10</f>
        <v>5059</v>
      </c>
      <c r="AY8" s="422">
        <f>6948-AY9-AY10</f>
        <v>5064</v>
      </c>
      <c r="AZ8" s="422">
        <f>6914-AZ9-AZ10</f>
        <v>5030</v>
      </c>
      <c r="BA8" s="422">
        <f>6731-BA9-BA10</f>
        <v>4847</v>
      </c>
      <c r="BB8" s="422">
        <f>6609-BB9-BB10</f>
        <v>4725</v>
      </c>
      <c r="BC8" s="422">
        <f>6528-BC9-BC10</f>
        <v>4644</v>
      </c>
      <c r="BD8" s="422">
        <f>6507-BD9-BD10</f>
        <v>4623</v>
      </c>
      <c r="BE8" s="422">
        <f>6409-BE9-BE10</f>
        <v>4525</v>
      </c>
      <c r="BF8" s="236">
        <f ca="1">+BF51</f>
        <v>4526.505980236393</v>
      </c>
      <c r="BG8" s="236">
        <f t="shared" ref="BG8:BI8" ca="1" si="1">+BG51</f>
        <v>4533.2726763579576</v>
      </c>
      <c r="BH8" s="236">
        <f t="shared" ca="1" si="1"/>
        <v>4553.3972866912154</v>
      </c>
      <c r="BI8" s="236">
        <f t="shared" ca="1" si="1"/>
        <v>4592.6809787163729</v>
      </c>
    </row>
    <row r="9" spans="2:63" s="236" customFormat="1">
      <c r="B9" s="236" t="s">
        <v>297</v>
      </c>
      <c r="C9" s="266"/>
      <c r="E9" s="295">
        <f>SUM(AP9:AS9)</f>
        <v>4205</v>
      </c>
      <c r="F9" s="295">
        <f>SUM(AT9:AW9)</f>
        <v>4662</v>
      </c>
      <c r="G9" s="295">
        <f>SUM(AX9:BA9)</f>
        <v>5004</v>
      </c>
      <c r="H9" s="295">
        <f>SUM(BB9:BE9)</f>
        <v>5004</v>
      </c>
      <c r="I9" s="295">
        <f>SUM(BF9:BI9)</f>
        <v>5105.1793894161665</v>
      </c>
      <c r="J9" s="236">
        <f>+J74</f>
        <v>5262.4904912390311</v>
      </c>
      <c r="K9" s="236">
        <f t="shared" ref="K9:P9" si="2">+K74</f>
        <v>5385.7877417638874</v>
      </c>
      <c r="L9" s="236">
        <f t="shared" si="2"/>
        <v>5475.5689122801459</v>
      </c>
      <c r="M9" s="236">
        <f t="shared" si="2"/>
        <v>5532.3268388828355</v>
      </c>
      <c r="N9" s="236">
        <f t="shared" si="2"/>
        <v>5556.5494634194019</v>
      </c>
      <c r="O9" s="236">
        <f t="shared" si="2"/>
        <v>5548.7198741302282</v>
      </c>
      <c r="P9" s="236">
        <f t="shared" si="2"/>
        <v>5509.3163459850048</v>
      </c>
      <c r="Q9" s="266"/>
      <c r="R9" s="266"/>
      <c r="S9" s="266"/>
      <c r="T9" s="266"/>
      <c r="U9" s="266"/>
      <c r="V9" s="266"/>
      <c r="W9" s="266"/>
      <c r="X9" s="266"/>
      <c r="Y9" s="266"/>
      <c r="Z9" s="266"/>
      <c r="AA9" s="266"/>
      <c r="AB9" s="266"/>
      <c r="AC9" s="266"/>
      <c r="AD9" s="266"/>
      <c r="AE9" s="266"/>
      <c r="AF9" s="266"/>
      <c r="AG9" s="266"/>
      <c r="AH9" s="266"/>
      <c r="AI9" s="266"/>
      <c r="AJ9" s="266"/>
      <c r="AK9" s="266"/>
      <c r="AO9" s="261">
        <v>611</v>
      </c>
      <c r="AP9" s="261">
        <v>732</v>
      </c>
      <c r="AQ9" s="261">
        <v>1211</v>
      </c>
      <c r="AR9" s="261">
        <v>1163</v>
      </c>
      <c r="AS9" s="261">
        <v>1099</v>
      </c>
      <c r="AT9" s="261">
        <v>1095</v>
      </c>
      <c r="AU9" s="261">
        <v>1118</v>
      </c>
      <c r="AV9" s="261">
        <v>1198</v>
      </c>
      <c r="AW9" s="261">
        <v>1251</v>
      </c>
      <c r="AX9" s="422">
        <f t="shared" ref="AX9:BE10" si="3">+AW9</f>
        <v>1251</v>
      </c>
      <c r="AY9" s="422">
        <f t="shared" si="3"/>
        <v>1251</v>
      </c>
      <c r="AZ9" s="422">
        <f t="shared" si="3"/>
        <v>1251</v>
      </c>
      <c r="BA9" s="422">
        <f t="shared" si="3"/>
        <v>1251</v>
      </c>
      <c r="BB9" s="422">
        <f t="shared" si="3"/>
        <v>1251</v>
      </c>
      <c r="BC9" s="422">
        <f t="shared" si="3"/>
        <v>1251</v>
      </c>
      <c r="BD9" s="422">
        <f t="shared" si="3"/>
        <v>1251</v>
      </c>
      <c r="BE9" s="422">
        <f t="shared" si="3"/>
        <v>1251</v>
      </c>
      <c r="BF9" s="236">
        <f t="shared" ref="BF9:BI9" si="4">+BF74</f>
        <v>1262.0143187358472</v>
      </c>
      <c r="BG9" s="236">
        <f t="shared" si="4"/>
        <v>1271.6101637196025</v>
      </c>
      <c r="BH9" s="236">
        <f t="shared" si="4"/>
        <v>1282.8067367529782</v>
      </c>
      <c r="BI9" s="236">
        <f t="shared" si="4"/>
        <v>1288.7481702077384</v>
      </c>
    </row>
    <row r="10" spans="2:63" s="236" customFormat="1">
      <c r="B10" s="236" t="s">
        <v>298</v>
      </c>
      <c r="C10" s="296"/>
      <c r="E10" s="295">
        <f>SUM(AP10:AS10)</f>
        <v>2363</v>
      </c>
      <c r="F10" s="295">
        <f>SUM(AT10:AW10)</f>
        <v>2458</v>
      </c>
      <c r="G10" s="295">
        <f>SUM(AX10:BA10)</f>
        <v>2532</v>
      </c>
      <c r="H10" s="295">
        <f>SUM(BB10:BE10)</f>
        <v>2532</v>
      </c>
      <c r="I10" s="295">
        <f>SUM(BF10:BI10)</f>
        <v>2181.1114520599253</v>
      </c>
      <c r="J10" s="236">
        <f>+J87</f>
        <v>2426.0483248202954</v>
      </c>
      <c r="K10" s="236">
        <f t="shared" ref="K10:P10" si="5">+K87</f>
        <v>2437.0427248202959</v>
      </c>
      <c r="L10" s="236">
        <f t="shared" si="5"/>
        <v>2448.0371248202955</v>
      </c>
      <c r="M10" s="236">
        <f t="shared" si="5"/>
        <v>2459.031524820296</v>
      </c>
      <c r="N10" s="236">
        <f t="shared" si="5"/>
        <v>2470.025924820296</v>
      </c>
      <c r="O10" s="236">
        <f t="shared" si="5"/>
        <v>2481.0203248202965</v>
      </c>
      <c r="P10" s="236">
        <f t="shared" si="5"/>
        <v>2492.0147248202961</v>
      </c>
      <c r="Q10" s="296"/>
      <c r="R10" s="296"/>
      <c r="S10" s="296"/>
      <c r="T10" s="296"/>
      <c r="U10" s="296"/>
      <c r="V10" s="296"/>
      <c r="W10" s="296"/>
      <c r="X10" s="296"/>
      <c r="Y10" s="296"/>
      <c r="Z10" s="296"/>
      <c r="AA10" s="296"/>
      <c r="AB10" s="296"/>
      <c r="AC10" s="296"/>
      <c r="AD10" s="296"/>
      <c r="AE10" s="296"/>
      <c r="AF10" s="296"/>
      <c r="AG10" s="296"/>
      <c r="AH10" s="296"/>
      <c r="AI10" s="296"/>
      <c r="AJ10" s="296"/>
      <c r="AK10" s="296"/>
      <c r="AO10" s="261">
        <v>569</v>
      </c>
      <c r="AP10" s="261">
        <v>539</v>
      </c>
      <c r="AQ10" s="261">
        <v>583</v>
      </c>
      <c r="AR10" s="261">
        <v>646</v>
      </c>
      <c r="AS10" s="261">
        <v>595</v>
      </c>
      <c r="AT10" s="261">
        <v>582</v>
      </c>
      <c r="AU10" s="261">
        <v>605</v>
      </c>
      <c r="AV10" s="261">
        <v>638</v>
      </c>
      <c r="AW10" s="261">
        <v>633</v>
      </c>
      <c r="AX10" s="422">
        <f t="shared" si="3"/>
        <v>633</v>
      </c>
      <c r="AY10" s="422">
        <f t="shared" si="3"/>
        <v>633</v>
      </c>
      <c r="AZ10" s="422">
        <f t="shared" si="3"/>
        <v>633</v>
      </c>
      <c r="BA10" s="422">
        <f t="shared" si="3"/>
        <v>633</v>
      </c>
      <c r="BB10" s="422">
        <f t="shared" si="3"/>
        <v>633</v>
      </c>
      <c r="BC10" s="422">
        <f t="shared" si="3"/>
        <v>633</v>
      </c>
      <c r="BD10" s="422">
        <f t="shared" si="3"/>
        <v>633</v>
      </c>
      <c r="BE10" s="422">
        <f t="shared" si="3"/>
        <v>633</v>
      </c>
      <c r="BF10" s="236">
        <f t="shared" ref="BF10:BI10" si="6">+BF87</f>
        <v>591.70558127340837</v>
      </c>
      <c r="BG10" s="236">
        <f t="shared" si="6"/>
        <v>559.49120449438215</v>
      </c>
      <c r="BH10" s="236">
        <f t="shared" si="6"/>
        <v>532.61197415730351</v>
      </c>
      <c r="BI10" s="236">
        <f t="shared" si="6"/>
        <v>497.30269213483155</v>
      </c>
    </row>
    <row r="11" spans="2:63" s="236" customFormat="1">
      <c r="B11" s="236" t="s">
        <v>284</v>
      </c>
      <c r="C11" s="296"/>
      <c r="E11" s="295">
        <f>SUM(AP11:AS11)</f>
        <v>5919</v>
      </c>
      <c r="F11" s="295">
        <f>SUM(AT11:AW11)</f>
        <v>5916</v>
      </c>
      <c r="G11" s="295">
        <f>SUM(AX11:BA11)</f>
        <v>5664</v>
      </c>
      <c r="H11" s="295">
        <f>SUM(BB11:BE11)</f>
        <v>5521</v>
      </c>
      <c r="I11" s="295">
        <f ca="1">SUM(BF11:BI11)</f>
        <v>5413.6082937163637</v>
      </c>
      <c r="J11" s="236">
        <f ca="1">'AT&amp;T Mobility'!J9*('Consumer Mobility'!I11/'AT&amp;T Mobility'!I9)</f>
        <v>5423.7617069410753</v>
      </c>
      <c r="K11" s="236">
        <f ca="1">'AT&amp;T Mobility'!K9*('Consumer Mobility'!J11/'AT&amp;T Mobility'!J9)</f>
        <v>5419.9315500263783</v>
      </c>
      <c r="L11" s="236">
        <f ca="1">'AT&amp;T Mobility'!L9*('Consumer Mobility'!K11/'AT&amp;T Mobility'!K9)</f>
        <v>5403.2814891103681</v>
      </c>
      <c r="M11" s="236">
        <f ca="1">'AT&amp;T Mobility'!M9*('Consumer Mobility'!L11/'AT&amp;T Mobility'!L9)</f>
        <v>5375.172760766025</v>
      </c>
      <c r="N11" s="236">
        <f ca="1">'AT&amp;T Mobility'!N9*('Consumer Mobility'!M11/'AT&amp;T Mobility'!M9)</f>
        <v>5295.2411426881172</v>
      </c>
      <c r="O11" s="236">
        <f ca="1">'AT&amp;T Mobility'!O9*('Consumer Mobility'!N11/'AT&amp;T Mobility'!N9)</f>
        <v>5208.1849885663714</v>
      </c>
      <c r="P11" s="236">
        <f ca="1">'AT&amp;T Mobility'!P9*('Consumer Mobility'!O11/'AT&amp;T Mobility'!O9)</f>
        <v>5115.147797515453</v>
      </c>
      <c r="Q11" s="296"/>
      <c r="R11" s="296"/>
      <c r="S11" s="296"/>
      <c r="T11" s="296"/>
      <c r="U11" s="296"/>
      <c r="V11" s="296"/>
      <c r="W11" s="296"/>
      <c r="X11" s="296"/>
      <c r="Y11" s="296"/>
      <c r="Z11" s="296"/>
      <c r="AA11" s="296"/>
      <c r="AB11" s="296"/>
      <c r="AC11" s="296"/>
      <c r="AD11" s="296"/>
      <c r="AE11" s="296"/>
      <c r="AF11" s="296"/>
      <c r="AG11" s="296"/>
      <c r="AH11" s="296"/>
      <c r="AI11" s="296"/>
      <c r="AJ11" s="296"/>
      <c r="AK11" s="296"/>
      <c r="AO11" s="261">
        <v>1429</v>
      </c>
      <c r="AP11" s="261">
        <v>1151</v>
      </c>
      <c r="AQ11" s="261">
        <v>1404</v>
      </c>
      <c r="AR11" s="261">
        <v>1328</v>
      </c>
      <c r="AS11" s="261">
        <v>2036</v>
      </c>
      <c r="AT11" s="261">
        <v>1481</v>
      </c>
      <c r="AU11" s="261">
        <v>1396</v>
      </c>
      <c r="AV11" s="261">
        <v>1421</v>
      </c>
      <c r="AW11" s="261">
        <v>1618</v>
      </c>
      <c r="AX11" s="261">
        <v>1385</v>
      </c>
      <c r="AY11" s="261">
        <v>1238</v>
      </c>
      <c r="AZ11" s="261">
        <v>1353</v>
      </c>
      <c r="BA11" s="261">
        <v>1688</v>
      </c>
      <c r="BB11" s="261">
        <v>1131</v>
      </c>
      <c r="BC11" s="261">
        <v>1263</v>
      </c>
      <c r="BD11" s="261">
        <v>1263</v>
      </c>
      <c r="BE11" s="261">
        <v>1864</v>
      </c>
      <c r="BF11" s="236">
        <f ca="1">'AT&amp;T Mobility'!BF9*('Consumer Mobility'!BE11/'AT&amp;T Mobility'!BE9)</f>
        <v>1168.8989685726726</v>
      </c>
      <c r="BG11" s="236">
        <f ca="1">'AT&amp;T Mobility'!BG9*('Consumer Mobility'!BF11/'AT&amp;T Mobility'!BF9)</f>
        <v>1212.4583955810922</v>
      </c>
      <c r="BH11" s="236">
        <f ca="1">'AT&amp;T Mobility'!BH9*('Consumer Mobility'!BG11/'AT&amp;T Mobility'!BG9)</f>
        <v>1210.0464896469027</v>
      </c>
      <c r="BI11" s="236">
        <f ca="1">'AT&amp;T Mobility'!BI9*('Consumer Mobility'!BH11/'AT&amp;T Mobility'!BH9)</f>
        <v>1822.204439915696</v>
      </c>
    </row>
    <row r="12" spans="2:63" s="252" customFormat="1" ht="15.75" thickBot="1">
      <c r="B12" s="156" t="s">
        <v>113</v>
      </c>
      <c r="C12" s="317"/>
      <c r="D12" s="200">
        <f>SUM(AL12:AO12)</f>
        <v>36243</v>
      </c>
      <c r="E12" s="200">
        <f t="shared" ref="E12:J12" si="7">SUM(E8:E11)</f>
        <v>36769</v>
      </c>
      <c r="F12" s="200">
        <f t="shared" si="7"/>
        <v>35066</v>
      </c>
      <c r="G12" s="200">
        <f>SUM(G8:G11)</f>
        <v>33200</v>
      </c>
      <c r="H12" s="200">
        <f>SUM(H8:H11)</f>
        <v>31574</v>
      </c>
      <c r="I12" s="200">
        <f ca="1">SUM(I8:I11)</f>
        <v>30905.756057194394</v>
      </c>
      <c r="J12" s="200">
        <f t="shared" ca="1" si="7"/>
        <v>31606.603661129076</v>
      </c>
      <c r="K12" s="200">
        <f t="shared" ref="K12:P12" ca="1" si="8">SUM(K8:K11)</f>
        <v>31847.495473543211</v>
      </c>
      <c r="L12" s="200">
        <f t="shared" ca="1" si="8"/>
        <v>31917.765985080769</v>
      </c>
      <c r="M12" s="200">
        <f t="shared" ca="1" si="8"/>
        <v>31867.484743930716</v>
      </c>
      <c r="N12" s="200">
        <f t="shared" ca="1" si="8"/>
        <v>31699.531502629623</v>
      </c>
      <c r="O12" s="200">
        <f t="shared" ca="1" si="8"/>
        <v>31496.52422420419</v>
      </c>
      <c r="P12" s="200">
        <f t="shared" ca="1" si="8"/>
        <v>31292.412098395995</v>
      </c>
      <c r="Q12" s="317"/>
      <c r="R12" s="188"/>
      <c r="S12" s="188"/>
      <c r="T12" s="188"/>
      <c r="U12" s="188"/>
      <c r="V12" s="188"/>
      <c r="W12" s="188"/>
      <c r="X12" s="188"/>
      <c r="Y12" s="188"/>
      <c r="Z12" s="188"/>
      <c r="AA12" s="188"/>
      <c r="AB12" s="188"/>
      <c r="AC12" s="188"/>
      <c r="AD12" s="188"/>
      <c r="AE12" s="188"/>
      <c r="AF12" s="188"/>
      <c r="AG12" s="188"/>
      <c r="AH12" s="188"/>
      <c r="AI12" s="188"/>
      <c r="AJ12" s="188"/>
      <c r="AK12" s="188"/>
      <c r="AL12" s="160">
        <v>8904</v>
      </c>
      <c r="AM12" s="160">
        <v>9056</v>
      </c>
      <c r="AN12" s="160">
        <v>8937</v>
      </c>
      <c r="AO12" s="156">
        <f>SUM(AO8:AO11)</f>
        <v>9346</v>
      </c>
      <c r="AP12" s="156">
        <f t="shared" ref="AP12:AV12" si="9">SUM(AP8:AP11)</f>
        <v>8840</v>
      </c>
      <c r="AQ12" s="156">
        <f t="shared" si="9"/>
        <v>9199</v>
      </c>
      <c r="AR12" s="156">
        <f t="shared" si="9"/>
        <v>9208</v>
      </c>
      <c r="AS12" s="156">
        <f t="shared" si="9"/>
        <v>9522</v>
      </c>
      <c r="AT12" s="156">
        <f t="shared" si="9"/>
        <v>8778</v>
      </c>
      <c r="AU12" s="156">
        <f t="shared" si="9"/>
        <v>8755</v>
      </c>
      <c r="AV12" s="156">
        <f t="shared" si="9"/>
        <v>8784</v>
      </c>
      <c r="AW12" s="156">
        <f t="shared" ref="AW12:BB12" si="10">SUM(AW8:AW11)</f>
        <v>8749</v>
      </c>
      <c r="AX12" s="156">
        <f t="shared" si="10"/>
        <v>8328</v>
      </c>
      <c r="AY12" s="156">
        <f t="shared" si="10"/>
        <v>8186</v>
      </c>
      <c r="AZ12" s="156">
        <f t="shared" si="10"/>
        <v>8267</v>
      </c>
      <c r="BA12" s="156">
        <f t="shared" si="10"/>
        <v>8419</v>
      </c>
      <c r="BB12" s="156">
        <f t="shared" si="10"/>
        <v>7740</v>
      </c>
      <c r="BC12" s="156">
        <f t="shared" ref="BC12:BD12" si="11">SUM(BC8:BC11)</f>
        <v>7791</v>
      </c>
      <c r="BD12" s="156">
        <f t="shared" si="11"/>
        <v>7770</v>
      </c>
      <c r="BE12" s="156">
        <f t="shared" ref="BE12" si="12">SUM(BE8:BE11)</f>
        <v>8273</v>
      </c>
      <c r="BF12" s="156">
        <f t="shared" ref="BF12:BI12" ca="1" si="13">SUM(BF8:BF11)</f>
        <v>7549.1248488183219</v>
      </c>
      <c r="BG12" s="156">
        <f t="shared" ca="1" si="13"/>
        <v>7576.8324401530344</v>
      </c>
      <c r="BH12" s="156">
        <f t="shared" ca="1" si="13"/>
        <v>7578.8624872484006</v>
      </c>
      <c r="BI12" s="156">
        <f t="shared" ca="1" si="13"/>
        <v>8200.9362809746399</v>
      </c>
      <c r="BK12" s="236"/>
    </row>
    <row r="13" spans="2:63" s="248" customFormat="1" ht="15.75" thickTop="1">
      <c r="B13" s="245" t="s">
        <v>252</v>
      </c>
      <c r="C13" s="266"/>
      <c r="D13" s="245"/>
      <c r="E13" s="259">
        <f t="shared" ref="E13:J13" si="14">+E12/D12-1</f>
        <v>1.451314736638798E-2</v>
      </c>
      <c r="F13" s="259">
        <f t="shared" si="14"/>
        <v>-4.6316190268976598E-2</v>
      </c>
      <c r="G13" s="259">
        <f t="shared" si="14"/>
        <v>-5.3213939428506274E-2</v>
      </c>
      <c r="H13" s="259">
        <f t="shared" si="14"/>
        <v>-4.8975903614457805E-2</v>
      </c>
      <c r="I13" s="259">
        <f t="shared" ca="1" si="14"/>
        <v>-2.1164373940761538E-2</v>
      </c>
      <c r="J13" s="259">
        <f t="shared" ca="1" si="14"/>
        <v>2.2676927968941829E-2</v>
      </c>
      <c r="K13" s="259">
        <f t="shared" ref="K13" ca="1" si="15">+K12/J12-1</f>
        <v>7.6215658916365392E-3</v>
      </c>
      <c r="L13" s="259">
        <f t="shared" ref="L13" ca="1" si="16">+L12/K12-1</f>
        <v>2.2064690014929056E-3</v>
      </c>
      <c r="M13" s="259">
        <f t="shared" ref="M13" ca="1" si="17">+M12/L12-1</f>
        <v>-1.5753371076645539E-3</v>
      </c>
      <c r="N13" s="259">
        <f t="shared" ref="N13" ca="1" si="18">+N12/M12-1</f>
        <v>-5.2703639038559347E-3</v>
      </c>
      <c r="O13" s="259">
        <f t="shared" ref="O13" ca="1" si="19">+O12/N12-1</f>
        <v>-6.4041097392431023E-3</v>
      </c>
      <c r="P13" s="259">
        <f t="shared" ref="P13" ca="1" si="20">+P12/O12-1</f>
        <v>-6.4804650937114738E-3</v>
      </c>
      <c r="Q13" s="266"/>
      <c r="R13" s="266"/>
      <c r="S13" s="266"/>
      <c r="T13" s="266"/>
      <c r="U13" s="266"/>
      <c r="V13" s="266"/>
      <c r="W13" s="266"/>
      <c r="X13" s="266"/>
      <c r="Y13" s="266"/>
      <c r="Z13" s="266"/>
      <c r="AA13" s="266"/>
      <c r="AB13" s="266"/>
      <c r="AC13" s="266"/>
      <c r="AD13" s="266"/>
      <c r="AE13" s="266"/>
      <c r="AF13" s="266"/>
      <c r="AG13" s="266"/>
      <c r="AH13" s="266"/>
      <c r="AI13" s="266"/>
      <c r="AJ13" s="266"/>
      <c r="AK13" s="266"/>
      <c r="AP13" s="248">
        <f t="shared" ref="AP13:BE13" si="21">+AP12/AL12-1</f>
        <v>-7.1877807726864473E-3</v>
      </c>
      <c r="AQ13" s="248">
        <f t="shared" si="21"/>
        <v>1.5790636042402717E-2</v>
      </c>
      <c r="AR13" s="248">
        <f t="shared" si="21"/>
        <v>3.0323374734250841E-2</v>
      </c>
      <c r="AS13" s="248">
        <f t="shared" si="21"/>
        <v>1.8831585705114451E-2</v>
      </c>
      <c r="AT13" s="248">
        <f t="shared" si="21"/>
        <v>-7.0135746606334592E-3</v>
      </c>
      <c r="AU13" s="248">
        <f t="shared" si="21"/>
        <v>-4.826611588216112E-2</v>
      </c>
      <c r="AV13" s="248">
        <f t="shared" si="21"/>
        <v>-4.6046915725456161E-2</v>
      </c>
      <c r="AW13" s="248">
        <f t="shared" si="21"/>
        <v>-8.1180424280613339E-2</v>
      </c>
      <c r="AX13" s="248">
        <f t="shared" si="21"/>
        <v>-5.1264524948735457E-2</v>
      </c>
      <c r="AY13" s="248">
        <f t="shared" si="21"/>
        <v>-6.4991433466590531E-2</v>
      </c>
      <c r="AZ13" s="248">
        <f t="shared" si="21"/>
        <v>-5.8857012750455406E-2</v>
      </c>
      <c r="BA13" s="248">
        <f t="shared" si="21"/>
        <v>-3.7718596411018379E-2</v>
      </c>
      <c r="BB13" s="248">
        <f t="shared" si="21"/>
        <v>-7.0605187319884744E-2</v>
      </c>
      <c r="BC13" s="248">
        <f t="shared" si="21"/>
        <v>-4.8253115074517461E-2</v>
      </c>
      <c r="BD13" s="248">
        <f t="shared" si="21"/>
        <v>-6.0118543607112662E-2</v>
      </c>
      <c r="BE13" s="248">
        <f t="shared" si="21"/>
        <v>-1.7341727045967481E-2</v>
      </c>
      <c r="BF13" s="248">
        <f t="shared" ref="BF13" ca="1" si="22">+BF12/BB12-1</f>
        <v>-2.4660872245694798E-2</v>
      </c>
      <c r="BG13" s="248">
        <f t="shared" ref="BG13" ca="1" si="23">+BG12/BC12-1</f>
        <v>-2.7489097657164119E-2</v>
      </c>
      <c r="BH13" s="248">
        <f t="shared" ref="BH13" ca="1" si="24">+BH12/BD12-1</f>
        <v>-2.4599422490553358E-2</v>
      </c>
      <c r="BI13" s="248">
        <f t="shared" ref="BI13" ca="1" si="25">+BI12/BE12-1</f>
        <v>-8.710711836741214E-3</v>
      </c>
    </row>
    <row r="15" spans="2:63" s="236" customFormat="1">
      <c r="B15" s="236" t="s">
        <v>272</v>
      </c>
      <c r="C15" s="296"/>
      <c r="D15" s="295">
        <f>SUM(AL15:AO15)</f>
        <v>22545</v>
      </c>
      <c r="E15" s="295">
        <f>SUM(AP15:AS15)</f>
        <v>23314</v>
      </c>
      <c r="F15" s="295">
        <f>SUM(AT15:AW15)</f>
        <v>20163</v>
      </c>
      <c r="G15" s="295">
        <f>SUM(AX15:BA15)</f>
        <v>19566</v>
      </c>
      <c r="H15" s="295">
        <f>SUM(BB15:BE15)</f>
        <v>18966</v>
      </c>
      <c r="I15" s="295">
        <f ca="1">SUM(BF15:BI15)</f>
        <v>18247.664503351665</v>
      </c>
      <c r="J15" s="236">
        <f ca="1">+J12*J16</f>
        <v>18503.432458589941</v>
      </c>
      <c r="K15" s="236">
        <f t="shared" ref="K15:P15" ca="1" si="26">+K12*K16</f>
        <v>18485.220110926814</v>
      </c>
      <c r="L15" s="236">
        <f t="shared" ca="1" si="26"/>
        <v>18366.41834616194</v>
      </c>
      <c r="M15" s="236">
        <f t="shared" ca="1" si="26"/>
        <v>18178.147622086686</v>
      </c>
      <c r="N15" s="236">
        <f t="shared" ca="1" si="26"/>
        <v>17923.844511507126</v>
      </c>
      <c r="O15" s="236">
        <f t="shared" ca="1" si="26"/>
        <v>17651.575623185283</v>
      </c>
      <c r="P15" s="236">
        <f t="shared" ca="1" si="26"/>
        <v>17380.723143018244</v>
      </c>
      <c r="Q15" s="296"/>
      <c r="R15" s="296"/>
      <c r="S15" s="296"/>
      <c r="T15" s="296"/>
      <c r="U15" s="296"/>
      <c r="V15" s="296"/>
      <c r="W15" s="296"/>
      <c r="X15" s="296"/>
      <c r="Y15" s="296"/>
      <c r="Z15" s="296"/>
      <c r="AA15" s="296"/>
      <c r="AB15" s="296"/>
      <c r="AC15" s="296"/>
      <c r="AD15" s="296"/>
      <c r="AE15" s="296"/>
      <c r="AF15" s="296"/>
      <c r="AG15" s="296"/>
      <c r="AH15" s="296"/>
      <c r="AI15" s="296"/>
      <c r="AJ15" s="296"/>
      <c r="AK15" s="296"/>
      <c r="AL15" s="261">
        <v>5276</v>
      </c>
      <c r="AM15" s="261">
        <v>5437</v>
      </c>
      <c r="AN15" s="261">
        <v>5502</v>
      </c>
      <c r="AO15" s="261">
        <v>6330</v>
      </c>
      <c r="AP15" s="260">
        <f>5436-17</f>
        <v>5419</v>
      </c>
      <c r="AQ15" s="260">
        <f>6006-96</f>
        <v>5910</v>
      </c>
      <c r="AR15" s="260">
        <f>5731-171</f>
        <v>5560</v>
      </c>
      <c r="AS15" s="260">
        <f>6718-293</f>
        <v>6425</v>
      </c>
      <c r="AT15" s="260">
        <f>5541-209</f>
        <v>5332</v>
      </c>
      <c r="AU15" s="260">
        <f>5202-215-364</f>
        <v>4623</v>
      </c>
      <c r="AV15" s="260">
        <f>5065-142-250</f>
        <v>4673</v>
      </c>
      <c r="AW15" s="260">
        <f>5669-79-55</f>
        <v>5535</v>
      </c>
      <c r="AX15" s="260">
        <f>4912-42</f>
        <v>4870</v>
      </c>
      <c r="AY15" s="260">
        <f>4680-33</f>
        <v>4647</v>
      </c>
      <c r="AZ15" s="260">
        <f>4751-17</f>
        <v>4734</v>
      </c>
      <c r="BA15" s="260">
        <f>5316-1</f>
        <v>5315</v>
      </c>
      <c r="BB15" s="471">
        <f>4528</f>
        <v>4528</v>
      </c>
      <c r="BC15" s="471">
        <v>4520</v>
      </c>
      <c r="BD15" s="471">
        <v>4551</v>
      </c>
      <c r="BE15" s="471">
        <v>5367</v>
      </c>
      <c r="BF15" s="236">
        <f t="shared" ref="BF15:BI15" ca="1" si="27">+BF12*BF16</f>
        <v>4377.6890926526321</v>
      </c>
      <c r="BG15" s="236">
        <f t="shared" ca="1" si="27"/>
        <v>4310.5854165877618</v>
      </c>
      <c r="BH15" s="236">
        <f t="shared" ca="1" si="27"/>
        <v>4351.6027883342558</v>
      </c>
      <c r="BI15" s="236">
        <f t="shared" ca="1" si="27"/>
        <v>5207.7872057770155</v>
      </c>
    </row>
    <row r="16" spans="2:63" s="248" customFormat="1" outlineLevel="1">
      <c r="B16" s="245" t="s">
        <v>273</v>
      </c>
      <c r="C16" s="296"/>
      <c r="D16" s="259">
        <f t="shared" ref="D16:I16" si="28">+D15/D$12</f>
        <v>0.62205115470573624</v>
      </c>
      <c r="E16" s="259">
        <f t="shared" si="28"/>
        <v>0.63406674100465066</v>
      </c>
      <c r="F16" s="259">
        <f t="shared" si="28"/>
        <v>0.57500142588262138</v>
      </c>
      <c r="G16" s="259">
        <f t="shared" si="28"/>
        <v>0.58933734939759042</v>
      </c>
      <c r="H16" s="259">
        <f t="shared" si="28"/>
        <v>0.60068410717679099</v>
      </c>
      <c r="I16" s="259">
        <f t="shared" ca="1" si="28"/>
        <v>0.5904293190427834</v>
      </c>
      <c r="J16" s="210">
        <f ca="1">+I16-0.005</f>
        <v>0.58542931904278339</v>
      </c>
      <c r="K16" s="210">
        <f t="shared" ref="K16:P16" ca="1" si="29">+J16-0.005</f>
        <v>0.58042931904278339</v>
      </c>
      <c r="L16" s="210">
        <f t="shared" ca="1" si="29"/>
        <v>0.57542931904278338</v>
      </c>
      <c r="M16" s="210">
        <f t="shared" ca="1" si="29"/>
        <v>0.57042931904278338</v>
      </c>
      <c r="N16" s="210">
        <f t="shared" ca="1" si="29"/>
        <v>0.56542931904278337</v>
      </c>
      <c r="O16" s="210">
        <f t="shared" ca="1" si="29"/>
        <v>0.56042931904278337</v>
      </c>
      <c r="P16" s="210">
        <f t="shared" ca="1" si="29"/>
        <v>0.55542931904278336</v>
      </c>
      <c r="Q16" s="296"/>
      <c r="R16" s="296"/>
      <c r="S16" s="296"/>
      <c r="T16" s="296"/>
      <c r="U16" s="296"/>
      <c r="V16" s="296"/>
      <c r="W16" s="296"/>
      <c r="X16" s="296"/>
      <c r="Y16" s="296"/>
      <c r="Z16" s="296"/>
      <c r="AA16" s="296"/>
      <c r="AB16" s="296"/>
      <c r="AC16" s="296"/>
      <c r="AD16" s="296"/>
      <c r="AE16" s="296"/>
      <c r="AF16" s="296"/>
      <c r="AG16" s="296"/>
      <c r="AH16" s="296"/>
      <c r="AI16" s="296"/>
      <c r="AJ16" s="296"/>
      <c r="AK16" s="296"/>
      <c r="AL16" s="248">
        <f t="shared" ref="AL16:AV16" si="30">+AL15/AL$12</f>
        <v>0.59254267744833777</v>
      </c>
      <c r="AM16" s="248">
        <f t="shared" si="30"/>
        <v>0.60037544169611312</v>
      </c>
      <c r="AN16" s="248">
        <f t="shared" si="30"/>
        <v>0.61564283316549173</v>
      </c>
      <c r="AO16" s="248">
        <f t="shared" si="30"/>
        <v>0.67729509950781086</v>
      </c>
      <c r="AP16" s="248">
        <f t="shared" si="30"/>
        <v>0.6130090497737557</v>
      </c>
      <c r="AQ16" s="248">
        <f t="shared" si="30"/>
        <v>0.64246113708011743</v>
      </c>
      <c r="AR16" s="248">
        <f t="shared" si="30"/>
        <v>0.60382276281494351</v>
      </c>
      <c r="AS16" s="248">
        <f t="shared" si="30"/>
        <v>0.67475320310859066</v>
      </c>
      <c r="AT16" s="248">
        <f t="shared" si="30"/>
        <v>0.60742766005923898</v>
      </c>
      <c r="AU16" s="248">
        <f t="shared" si="30"/>
        <v>0.52804111936036546</v>
      </c>
      <c r="AV16" s="248">
        <f t="shared" si="30"/>
        <v>0.53198998178506374</v>
      </c>
      <c r="AW16" s="248">
        <f t="shared" ref="AW16:BB16" si="31">+AW15/AW$12</f>
        <v>0.63264373071208135</v>
      </c>
      <c r="AX16" s="248">
        <f t="shared" si="31"/>
        <v>0.58477425552353501</v>
      </c>
      <c r="AY16" s="248">
        <f t="shared" si="31"/>
        <v>0.56767652088932319</v>
      </c>
      <c r="AZ16" s="248">
        <f t="shared" si="31"/>
        <v>0.57263820007257771</v>
      </c>
      <c r="BA16" s="248">
        <f t="shared" si="31"/>
        <v>0.63131013184463713</v>
      </c>
      <c r="BB16" s="248">
        <f t="shared" si="31"/>
        <v>0.58501291989664084</v>
      </c>
      <c r="BC16" s="248">
        <f t="shared" ref="BC16:BD16" si="32">+BC15/BC$12</f>
        <v>0.58015659093826211</v>
      </c>
      <c r="BD16" s="248">
        <f t="shared" si="32"/>
        <v>0.58571428571428574</v>
      </c>
      <c r="BE16" s="248">
        <f t="shared" ref="BE16" si="33">+BE15/BE$12</f>
        <v>0.64873685482896171</v>
      </c>
      <c r="BF16" s="210">
        <f t="shared" ref="BF16" si="34">+AVERAGE(AX16,BB16)-0.005</f>
        <v>0.57989358771008792</v>
      </c>
      <c r="BG16" s="210">
        <f t="shared" ref="BG16" si="35">+AVERAGE(AY16,BC16)-0.005</f>
        <v>0.56891655591379264</v>
      </c>
      <c r="BH16" s="210">
        <f t="shared" ref="BH16" si="36">+AVERAGE(AZ16,BD16)-0.005</f>
        <v>0.57417624289343172</v>
      </c>
      <c r="BI16" s="210">
        <f t="shared" ref="BI16" si="37">+AVERAGE(BA16,BE16)-0.005</f>
        <v>0.63502349333679942</v>
      </c>
    </row>
    <row r="17" spans="2:63" s="248" customFormat="1" outlineLevel="1">
      <c r="B17" s="298" t="s">
        <v>342</v>
      </c>
      <c r="C17" s="296"/>
      <c r="D17" s="259"/>
      <c r="E17" s="259"/>
      <c r="F17" s="259"/>
      <c r="G17" s="259"/>
      <c r="H17" s="259"/>
      <c r="I17" s="259"/>
      <c r="J17" s="245"/>
      <c r="K17" s="245"/>
      <c r="L17" s="245"/>
      <c r="M17" s="245"/>
      <c r="N17" s="245"/>
      <c r="O17" s="245"/>
      <c r="P17" s="245"/>
      <c r="Q17" s="296"/>
      <c r="R17" s="296"/>
      <c r="S17" s="296"/>
      <c r="T17" s="296"/>
      <c r="U17" s="296"/>
      <c r="V17" s="296"/>
      <c r="W17" s="296"/>
      <c r="X17" s="296"/>
      <c r="Y17" s="296"/>
      <c r="Z17" s="296"/>
      <c r="AA17" s="296"/>
      <c r="AB17" s="296"/>
      <c r="AC17" s="296"/>
      <c r="AD17" s="296"/>
      <c r="AE17" s="296"/>
      <c r="AF17" s="296"/>
      <c r="AG17" s="296"/>
      <c r="AH17" s="296"/>
      <c r="AI17" s="296"/>
      <c r="AJ17" s="296"/>
      <c r="AK17" s="296"/>
      <c r="AM17" s="278">
        <f>+AM15-AL15</f>
        <v>161</v>
      </c>
      <c r="AN17" s="278">
        <f t="shared" ref="AN17:BE17" si="38">+AN15-AM15</f>
        <v>65</v>
      </c>
      <c r="AO17" s="278">
        <f t="shared" si="38"/>
        <v>828</v>
      </c>
      <c r="AP17" s="278">
        <f t="shared" si="38"/>
        <v>-911</v>
      </c>
      <c r="AQ17" s="278">
        <f t="shared" si="38"/>
        <v>491</v>
      </c>
      <c r="AR17" s="278">
        <f t="shared" si="38"/>
        <v>-350</v>
      </c>
      <c r="AS17" s="278">
        <f t="shared" si="38"/>
        <v>865</v>
      </c>
      <c r="AT17" s="278">
        <f t="shared" si="38"/>
        <v>-1093</v>
      </c>
      <c r="AU17" s="278">
        <f t="shared" si="38"/>
        <v>-709</v>
      </c>
      <c r="AV17" s="278">
        <f t="shared" si="38"/>
        <v>50</v>
      </c>
      <c r="AW17" s="278">
        <f t="shared" si="38"/>
        <v>862</v>
      </c>
      <c r="AX17" s="278">
        <f t="shared" si="38"/>
        <v>-665</v>
      </c>
      <c r="AY17" s="278">
        <f t="shared" si="38"/>
        <v>-223</v>
      </c>
      <c r="AZ17" s="278">
        <f t="shared" si="38"/>
        <v>87</v>
      </c>
      <c r="BA17" s="278">
        <f t="shared" si="38"/>
        <v>581</v>
      </c>
      <c r="BB17" s="278">
        <f t="shared" si="38"/>
        <v>-787</v>
      </c>
      <c r="BC17" s="278">
        <f t="shared" si="38"/>
        <v>-8</v>
      </c>
      <c r="BD17" s="278">
        <f t="shared" si="38"/>
        <v>31</v>
      </c>
      <c r="BE17" s="278">
        <f t="shared" si="38"/>
        <v>816</v>
      </c>
      <c r="BF17" s="278">
        <f t="shared" ref="BF17" ca="1" si="39">+BF15-BE15</f>
        <v>-989.3109073473679</v>
      </c>
      <c r="BG17" s="278">
        <f t="shared" ref="BG17" ca="1" si="40">+BG15-BF15</f>
        <v>-67.103676064870342</v>
      </c>
      <c r="BH17" s="278">
        <f t="shared" ref="BH17" ca="1" si="41">+BH15-BG15</f>
        <v>41.017371746494064</v>
      </c>
      <c r="BI17" s="278">
        <f t="shared" ref="BI17" ca="1" si="42">+BI15-BH15</f>
        <v>856.1844174427597</v>
      </c>
    </row>
    <row r="18" spans="2:63" s="248" customFormat="1" outlineLevel="1">
      <c r="B18" s="298" t="s">
        <v>343</v>
      </c>
      <c r="C18" s="296"/>
      <c r="D18" s="259"/>
      <c r="E18" s="278">
        <f t="shared" ref="E18:J18" si="43">+E15-D15</f>
        <v>769</v>
      </c>
      <c r="F18" s="278">
        <f t="shared" si="43"/>
        <v>-3151</v>
      </c>
      <c r="G18" s="278">
        <f t="shared" si="43"/>
        <v>-597</v>
      </c>
      <c r="H18" s="278">
        <f t="shared" si="43"/>
        <v>-600</v>
      </c>
      <c r="I18" s="278">
        <f t="shared" ca="1" si="43"/>
        <v>-718.33549664833481</v>
      </c>
      <c r="J18" s="278">
        <f t="shared" ca="1" si="43"/>
        <v>255.76795523827604</v>
      </c>
      <c r="K18" s="278">
        <f t="shared" ref="K18" ca="1" si="44">+K15-J15</f>
        <v>-18.21234766312773</v>
      </c>
      <c r="L18" s="278">
        <f t="shared" ref="L18" ca="1" si="45">+L15-K15</f>
        <v>-118.80176476487395</v>
      </c>
      <c r="M18" s="278">
        <f t="shared" ref="M18" ca="1" si="46">+M15-L15</f>
        <v>-188.27072407525338</v>
      </c>
      <c r="N18" s="278">
        <f t="shared" ref="N18" ca="1" si="47">+N15-M15</f>
        <v>-254.30311057955987</v>
      </c>
      <c r="O18" s="278">
        <f t="shared" ref="O18" ca="1" si="48">+O15-N15</f>
        <v>-272.26888832184341</v>
      </c>
      <c r="P18" s="278">
        <f t="shared" ref="P18" ca="1" si="49">+P15-O15</f>
        <v>-270.85248016703918</v>
      </c>
      <c r="Q18" s="296"/>
      <c r="R18" s="296"/>
      <c r="S18" s="296"/>
      <c r="T18" s="296"/>
      <c r="U18" s="296"/>
      <c r="V18" s="296"/>
      <c r="W18" s="296"/>
      <c r="X18" s="296"/>
      <c r="Y18" s="296"/>
      <c r="Z18" s="296"/>
      <c r="AA18" s="296"/>
      <c r="AB18" s="296"/>
      <c r="AC18" s="296"/>
      <c r="AD18" s="296"/>
      <c r="AE18" s="296"/>
      <c r="AF18" s="296"/>
      <c r="AG18" s="296"/>
      <c r="AH18" s="296"/>
      <c r="AI18" s="296"/>
      <c r="AJ18" s="296"/>
      <c r="AK18" s="296"/>
      <c r="AP18" s="278">
        <f>+AP15-AL15</f>
        <v>143</v>
      </c>
      <c r="AQ18" s="278">
        <f t="shared" ref="AQ18:BE18" si="50">+AQ15-AM15</f>
        <v>473</v>
      </c>
      <c r="AR18" s="278">
        <f t="shared" si="50"/>
        <v>58</v>
      </c>
      <c r="AS18" s="278">
        <f t="shared" si="50"/>
        <v>95</v>
      </c>
      <c r="AT18" s="278">
        <f t="shared" si="50"/>
        <v>-87</v>
      </c>
      <c r="AU18" s="278">
        <f t="shared" si="50"/>
        <v>-1287</v>
      </c>
      <c r="AV18" s="278">
        <f t="shared" si="50"/>
        <v>-887</v>
      </c>
      <c r="AW18" s="278">
        <f t="shared" si="50"/>
        <v>-890</v>
      </c>
      <c r="AX18" s="278">
        <f t="shared" si="50"/>
        <v>-462</v>
      </c>
      <c r="AY18" s="278">
        <f t="shared" si="50"/>
        <v>24</v>
      </c>
      <c r="AZ18" s="278">
        <f t="shared" si="50"/>
        <v>61</v>
      </c>
      <c r="BA18" s="278">
        <f t="shared" si="50"/>
        <v>-220</v>
      </c>
      <c r="BB18" s="278">
        <f t="shared" si="50"/>
        <v>-342</v>
      </c>
      <c r="BC18" s="278">
        <f t="shared" si="50"/>
        <v>-127</v>
      </c>
      <c r="BD18" s="278">
        <f t="shared" si="50"/>
        <v>-183</v>
      </c>
      <c r="BE18" s="278">
        <f t="shared" si="50"/>
        <v>52</v>
      </c>
      <c r="BF18" s="278">
        <f t="shared" ref="BF18" ca="1" si="51">+BF15-BB15</f>
        <v>-150.3109073473679</v>
      </c>
      <c r="BG18" s="278">
        <f t="shared" ref="BG18" ca="1" si="52">+BG15-BC15</f>
        <v>-209.41458341223824</v>
      </c>
      <c r="BH18" s="278">
        <f t="shared" ref="BH18" ca="1" si="53">+BH15-BD15</f>
        <v>-199.39721166574418</v>
      </c>
      <c r="BI18" s="278">
        <f t="shared" ref="BI18" ca="1" si="54">+BI15-BE15</f>
        <v>-159.21279422298448</v>
      </c>
    </row>
    <row r="19" spans="2:63">
      <c r="C19" s="247"/>
      <c r="Q19" s="247"/>
      <c r="R19" s="247"/>
      <c r="S19" s="247"/>
      <c r="T19" s="247"/>
      <c r="U19" s="247"/>
      <c r="V19" s="247"/>
      <c r="W19" s="247"/>
      <c r="X19" s="247"/>
      <c r="Y19" s="247"/>
      <c r="Z19" s="247"/>
      <c r="AA19" s="247"/>
      <c r="AB19" s="247"/>
      <c r="AC19" s="247"/>
      <c r="AD19" s="247"/>
      <c r="AE19" s="247"/>
      <c r="AF19" s="247"/>
      <c r="AG19" s="247"/>
      <c r="AH19" s="247"/>
      <c r="AI19" s="247"/>
      <c r="AJ19" s="247"/>
      <c r="AK19" s="247"/>
    </row>
    <row r="20" spans="2:63" s="252" customFormat="1" ht="15.75" thickBot="1">
      <c r="B20" s="156" t="s">
        <v>282</v>
      </c>
      <c r="C20" s="246"/>
      <c r="D20" s="200">
        <f t="shared" ref="D20:J20" si="55">+D12-D15</f>
        <v>13698</v>
      </c>
      <c r="E20" s="200">
        <f t="shared" si="55"/>
        <v>13455</v>
      </c>
      <c r="F20" s="200">
        <f t="shared" si="55"/>
        <v>14903</v>
      </c>
      <c r="G20" s="200">
        <f>+G12-G15</f>
        <v>13634</v>
      </c>
      <c r="H20" s="200">
        <f>+H12-H15</f>
        <v>12608</v>
      </c>
      <c r="I20" s="200">
        <f ca="1">+I12-I15</f>
        <v>12658.091553842729</v>
      </c>
      <c r="J20" s="200">
        <f t="shared" ca="1" si="55"/>
        <v>13103.171202539135</v>
      </c>
      <c r="K20" s="200">
        <f t="shared" ref="K20:P20" ca="1" si="56">+K12-K15</f>
        <v>13362.275362616398</v>
      </c>
      <c r="L20" s="200">
        <f t="shared" ca="1" si="56"/>
        <v>13551.347638918829</v>
      </c>
      <c r="M20" s="200">
        <f t="shared" ca="1" si="56"/>
        <v>13689.33712184403</v>
      </c>
      <c r="N20" s="200">
        <f t="shared" ca="1" si="56"/>
        <v>13775.686991122497</v>
      </c>
      <c r="O20" s="200">
        <f t="shared" ca="1" si="56"/>
        <v>13844.948601018907</v>
      </c>
      <c r="P20" s="200">
        <f t="shared" ca="1" si="56"/>
        <v>13911.688955377751</v>
      </c>
      <c r="Q20" s="246"/>
      <c r="R20" s="189"/>
      <c r="S20" s="189"/>
      <c r="T20" s="189"/>
      <c r="U20" s="189"/>
      <c r="V20" s="189"/>
      <c r="W20" s="189"/>
      <c r="X20" s="189"/>
      <c r="Y20" s="189"/>
      <c r="Z20" s="189"/>
      <c r="AA20" s="189"/>
      <c r="AB20" s="189"/>
      <c r="AC20" s="189"/>
      <c r="AD20" s="189"/>
      <c r="AE20" s="189"/>
      <c r="AF20" s="189"/>
      <c r="AG20" s="189"/>
      <c r="AH20" s="189"/>
      <c r="AI20" s="189"/>
      <c r="AJ20" s="189"/>
      <c r="AK20" s="189"/>
      <c r="AL20" s="156">
        <f t="shared" ref="AL20:AV20" si="57">+AL12-AL15</f>
        <v>3628</v>
      </c>
      <c r="AM20" s="156">
        <f t="shared" si="57"/>
        <v>3619</v>
      </c>
      <c r="AN20" s="156">
        <f t="shared" si="57"/>
        <v>3435</v>
      </c>
      <c r="AO20" s="156">
        <f t="shared" si="57"/>
        <v>3016</v>
      </c>
      <c r="AP20" s="156">
        <f t="shared" si="57"/>
        <v>3421</v>
      </c>
      <c r="AQ20" s="156">
        <f t="shared" si="57"/>
        <v>3289</v>
      </c>
      <c r="AR20" s="156">
        <f t="shared" si="57"/>
        <v>3648</v>
      </c>
      <c r="AS20" s="156">
        <f t="shared" si="57"/>
        <v>3097</v>
      </c>
      <c r="AT20" s="156">
        <f t="shared" si="57"/>
        <v>3446</v>
      </c>
      <c r="AU20" s="156">
        <f t="shared" si="57"/>
        <v>4132</v>
      </c>
      <c r="AV20" s="156">
        <f t="shared" si="57"/>
        <v>4111</v>
      </c>
      <c r="AW20" s="156">
        <f t="shared" ref="AW20:BB20" si="58">+AW12-AW15</f>
        <v>3214</v>
      </c>
      <c r="AX20" s="156">
        <f t="shared" si="58"/>
        <v>3458</v>
      </c>
      <c r="AY20" s="156">
        <f t="shared" si="58"/>
        <v>3539</v>
      </c>
      <c r="AZ20" s="156">
        <f t="shared" si="58"/>
        <v>3533</v>
      </c>
      <c r="BA20" s="156">
        <f t="shared" si="58"/>
        <v>3104</v>
      </c>
      <c r="BB20" s="156">
        <f t="shared" si="58"/>
        <v>3212</v>
      </c>
      <c r="BC20" s="156">
        <f t="shared" ref="BC20:BD20" si="59">+BC12-BC15</f>
        <v>3271</v>
      </c>
      <c r="BD20" s="156">
        <f t="shared" si="59"/>
        <v>3219</v>
      </c>
      <c r="BE20" s="156">
        <f t="shared" ref="BE20" si="60">+BE12-BE15</f>
        <v>2906</v>
      </c>
      <c r="BF20" s="156">
        <f t="shared" ref="BF20:BI20" ca="1" si="61">+BF12-BF15</f>
        <v>3171.4357561656898</v>
      </c>
      <c r="BG20" s="156">
        <f t="shared" ca="1" si="61"/>
        <v>3266.2470235652727</v>
      </c>
      <c r="BH20" s="156">
        <f t="shared" ca="1" si="61"/>
        <v>3227.2596989141448</v>
      </c>
      <c r="BI20" s="156">
        <f t="shared" ca="1" si="61"/>
        <v>2993.1490751976244</v>
      </c>
      <c r="BK20" s="236"/>
    </row>
    <row r="21" spans="2:63" s="248" customFormat="1" ht="15.75" thickTop="1">
      <c r="B21" s="245" t="s">
        <v>258</v>
      </c>
      <c r="C21" s="246"/>
      <c r="D21" s="259">
        <f t="shared" ref="D21:J21" si="62">+D20/D$12</f>
        <v>0.3779488452942637</v>
      </c>
      <c r="E21" s="259">
        <f t="shared" si="62"/>
        <v>0.36593325899534934</v>
      </c>
      <c r="F21" s="259">
        <f t="shared" si="62"/>
        <v>0.42499857411737868</v>
      </c>
      <c r="G21" s="259">
        <f>+G20/G$12</f>
        <v>0.41066265060240964</v>
      </c>
      <c r="H21" s="259">
        <f>+H20/H$12</f>
        <v>0.39931589282320895</v>
      </c>
      <c r="I21" s="259">
        <f ca="1">+I20/I$12</f>
        <v>0.4095706809572166</v>
      </c>
      <c r="J21" s="259">
        <f t="shared" ca="1" si="62"/>
        <v>0.41457068095721655</v>
      </c>
      <c r="K21" s="259">
        <f t="shared" ref="K21:P21" ca="1" si="63">+K20/K$12</f>
        <v>0.41957068095721656</v>
      </c>
      <c r="L21" s="259">
        <f t="shared" ca="1" si="63"/>
        <v>0.42457068095721667</v>
      </c>
      <c r="M21" s="259">
        <f t="shared" ca="1" si="63"/>
        <v>0.42957068095721662</v>
      </c>
      <c r="N21" s="259">
        <f t="shared" ca="1" si="63"/>
        <v>0.43457068095721668</v>
      </c>
      <c r="O21" s="259">
        <f t="shared" ca="1" si="63"/>
        <v>0.43957068095721669</v>
      </c>
      <c r="P21" s="259">
        <f t="shared" ca="1" si="63"/>
        <v>0.44457068095721664</v>
      </c>
      <c r="Q21" s="246"/>
      <c r="R21" s="246"/>
      <c r="S21" s="246"/>
      <c r="T21" s="246"/>
      <c r="U21" s="246"/>
      <c r="V21" s="246"/>
      <c r="W21" s="246"/>
      <c r="X21" s="246"/>
      <c r="Y21" s="246"/>
      <c r="Z21" s="246"/>
      <c r="AA21" s="246"/>
      <c r="AB21" s="246"/>
      <c r="AC21" s="246"/>
      <c r="AD21" s="246"/>
      <c r="AE21" s="246"/>
      <c r="AF21" s="246"/>
      <c r="AG21" s="246"/>
      <c r="AH21" s="246"/>
      <c r="AI21" s="246"/>
      <c r="AJ21" s="246"/>
      <c r="AK21" s="246"/>
      <c r="AL21" s="248">
        <f t="shared" ref="AL21:AV21" si="64">+AL20/AL$12</f>
        <v>0.40745732255166217</v>
      </c>
      <c r="AM21" s="248">
        <f t="shared" si="64"/>
        <v>0.39962455830388693</v>
      </c>
      <c r="AN21" s="248">
        <f t="shared" si="64"/>
        <v>0.38435716683450821</v>
      </c>
      <c r="AO21" s="248">
        <f t="shared" si="64"/>
        <v>0.3227049004921892</v>
      </c>
      <c r="AP21" s="248">
        <f t="shared" si="64"/>
        <v>0.38699095022624436</v>
      </c>
      <c r="AQ21" s="248">
        <f t="shared" si="64"/>
        <v>0.35753886291988257</v>
      </c>
      <c r="AR21" s="248">
        <f t="shared" si="64"/>
        <v>0.39617723718505649</v>
      </c>
      <c r="AS21" s="248">
        <f t="shared" si="64"/>
        <v>0.3252467968914094</v>
      </c>
      <c r="AT21" s="248">
        <f t="shared" si="64"/>
        <v>0.39257233994076102</v>
      </c>
      <c r="AU21" s="248">
        <f t="shared" si="64"/>
        <v>0.47195888063963448</v>
      </c>
      <c r="AV21" s="248">
        <f t="shared" si="64"/>
        <v>0.46801001821493626</v>
      </c>
      <c r="AW21" s="248">
        <f t="shared" ref="AW21:BB21" si="65">+AW20/AW$12</f>
        <v>0.36735626928791865</v>
      </c>
      <c r="AX21" s="248">
        <f t="shared" si="65"/>
        <v>0.41522574447646493</v>
      </c>
      <c r="AY21" s="248">
        <f t="shared" si="65"/>
        <v>0.43232347911067676</v>
      </c>
      <c r="AZ21" s="248">
        <f t="shared" si="65"/>
        <v>0.42736179992742229</v>
      </c>
      <c r="BA21" s="248">
        <f t="shared" si="65"/>
        <v>0.36868986815536287</v>
      </c>
      <c r="BB21" s="248">
        <f t="shared" si="65"/>
        <v>0.41498708010335916</v>
      </c>
      <c r="BC21" s="248">
        <f t="shared" ref="BC21:BD21" si="66">+BC20/BC$12</f>
        <v>0.41984340906173789</v>
      </c>
      <c r="BD21" s="248">
        <f t="shared" si="66"/>
        <v>0.41428571428571431</v>
      </c>
      <c r="BE21" s="248">
        <f t="shared" ref="BE21" si="67">+BE20/BE$12</f>
        <v>0.35126314517103829</v>
      </c>
      <c r="BF21" s="259">
        <f t="shared" ref="BF21:BI21" ca="1" si="68">+BF20/BF$12</f>
        <v>0.42010641228991202</v>
      </c>
      <c r="BG21" s="259">
        <f t="shared" ca="1" si="68"/>
        <v>0.43108344408620736</v>
      </c>
      <c r="BH21" s="259">
        <f t="shared" ca="1" si="68"/>
        <v>0.42582375710656828</v>
      </c>
      <c r="BI21" s="259">
        <f t="shared" ca="1" si="68"/>
        <v>0.36497650666320064</v>
      </c>
    </row>
    <row r="22" spans="2:63" s="248" customFormat="1">
      <c r="B22" s="245" t="s">
        <v>252</v>
      </c>
      <c r="C22" s="246"/>
      <c r="D22" s="259"/>
      <c r="E22" s="259">
        <f t="shared" ref="E22:J22" si="69">+E20/D20-1</f>
        <v>-1.7739816031537403E-2</v>
      </c>
      <c r="F22" s="259">
        <f t="shared" si="69"/>
        <v>0.10761798587885552</v>
      </c>
      <c r="G22" s="259">
        <f t="shared" si="69"/>
        <v>-8.5150640810575107E-2</v>
      </c>
      <c r="H22" s="259">
        <f t="shared" si="69"/>
        <v>-7.5253043860935898E-2</v>
      </c>
      <c r="I22" s="259">
        <f t="shared" ca="1" si="69"/>
        <v>3.9729976080844498E-3</v>
      </c>
      <c r="J22" s="259">
        <f t="shared" ca="1" si="69"/>
        <v>3.5161670841390658E-2</v>
      </c>
      <c r="K22" s="259">
        <f t="shared" ref="K22" ca="1" si="70">+K20/J20-1</f>
        <v>1.9774156658126651E-2</v>
      </c>
      <c r="L22" s="259">
        <f t="shared" ref="L22" ca="1" si="71">+L20/K20-1</f>
        <v>1.4149706630907977E-2</v>
      </c>
      <c r="M22" s="259">
        <f t="shared" ref="M22" ca="1" si="72">+M20/L20-1</f>
        <v>1.0182712937634397E-2</v>
      </c>
      <c r="N22" s="259">
        <f t="shared" ref="N22" ca="1" si="73">+N20/M20-1</f>
        <v>6.3078196197445813E-3</v>
      </c>
      <c r="O22" s="259">
        <f t="shared" ref="O22" ca="1" si="74">+O20/N20-1</f>
        <v>5.0278153054033048E-3</v>
      </c>
      <c r="P22" s="259">
        <f t="shared" ref="P22" ca="1" si="75">+P20/O20-1</f>
        <v>4.820556311341706E-3</v>
      </c>
      <c r="Q22" s="246"/>
      <c r="R22" s="246"/>
      <c r="S22" s="246"/>
      <c r="T22" s="246"/>
      <c r="U22" s="246"/>
      <c r="V22" s="246"/>
      <c r="W22" s="246"/>
      <c r="X22" s="246"/>
      <c r="Y22" s="246"/>
      <c r="Z22" s="246"/>
      <c r="AA22" s="246"/>
      <c r="AB22" s="246"/>
      <c r="AC22" s="246"/>
      <c r="AD22" s="246"/>
      <c r="AE22" s="246"/>
      <c r="AF22" s="246"/>
      <c r="AG22" s="246"/>
      <c r="AH22" s="246"/>
      <c r="AI22" s="246"/>
      <c r="AJ22" s="246"/>
      <c r="AK22" s="246"/>
      <c r="AP22" s="248">
        <f>+AP20/AL20-1</f>
        <v>-5.7056229327453134E-2</v>
      </c>
      <c r="AQ22" s="248">
        <f t="shared" ref="AQ22:BE22" si="76">+AQ20/AM20-1</f>
        <v>-9.1185410334346462E-2</v>
      </c>
      <c r="AR22" s="248">
        <f t="shared" si="76"/>
        <v>6.2008733624454138E-2</v>
      </c>
      <c r="AS22" s="248">
        <f t="shared" si="76"/>
        <v>2.6856763925729332E-2</v>
      </c>
      <c r="AT22" s="248">
        <f t="shared" si="76"/>
        <v>7.307804735457557E-3</v>
      </c>
      <c r="AU22" s="248">
        <f t="shared" si="76"/>
        <v>0.25630890848282162</v>
      </c>
      <c r="AV22" s="248">
        <f t="shared" si="76"/>
        <v>0.12691885964912286</v>
      </c>
      <c r="AW22" s="248">
        <f t="shared" si="76"/>
        <v>3.7778495318049776E-2</v>
      </c>
      <c r="AX22" s="248">
        <f t="shared" si="76"/>
        <v>3.4822983168891763E-3</v>
      </c>
      <c r="AY22" s="248">
        <f t="shared" si="76"/>
        <v>-0.14351403678606001</v>
      </c>
      <c r="AZ22" s="248">
        <f t="shared" si="76"/>
        <v>-0.14059839455120404</v>
      </c>
      <c r="BA22" s="248">
        <f t="shared" si="76"/>
        <v>-3.422526446795271E-2</v>
      </c>
      <c r="BB22" s="248">
        <f t="shared" si="76"/>
        <v>-7.1139386928860571E-2</v>
      </c>
      <c r="BC22" s="248">
        <f t="shared" si="76"/>
        <v>-7.5727606668550385E-2</v>
      </c>
      <c r="BD22" s="248">
        <f t="shared" si="76"/>
        <v>-8.8876309085762828E-2</v>
      </c>
      <c r="BE22" s="248">
        <f t="shared" si="76"/>
        <v>-6.3788659793814428E-2</v>
      </c>
      <c r="BF22" s="248">
        <f t="shared" ref="BF22" ca="1" si="77">+BF20/BB20-1</f>
        <v>-1.2628967569835114E-2</v>
      </c>
      <c r="BG22" s="248">
        <f t="shared" ref="BG22" ca="1" si="78">+BG20/BC20-1</f>
        <v>-1.4530652506045127E-3</v>
      </c>
      <c r="BH22" s="248">
        <f t="shared" ref="BH22" ca="1" si="79">+BH20/BD20-1</f>
        <v>2.5659207561803399E-3</v>
      </c>
      <c r="BI22" s="248">
        <f t="shared" ref="BI22" ca="1" si="80">+BI20/BE20-1</f>
        <v>2.9989358292368928E-2</v>
      </c>
    </row>
    <row r="23" spans="2:63">
      <c r="D23" s="300"/>
      <c r="E23" s="300"/>
      <c r="F23" s="300"/>
      <c r="G23" s="300"/>
      <c r="H23" s="300"/>
      <c r="I23" s="300"/>
    </row>
    <row r="24" spans="2:63" s="236" customFormat="1">
      <c r="B24" s="236" t="s">
        <v>274</v>
      </c>
      <c r="C24" s="274"/>
      <c r="D24" s="295">
        <f>SUM(AL24:AO24)</f>
        <v>3683</v>
      </c>
      <c r="E24" s="295">
        <f>SUM(AP24:AS24)</f>
        <v>3827</v>
      </c>
      <c r="F24" s="295">
        <f>SUM(AT24:AW24)</f>
        <v>3851</v>
      </c>
      <c r="G24" s="295">
        <f>SUM(AX24:BA24)</f>
        <v>3716</v>
      </c>
      <c r="H24" s="295">
        <f>SUM(BB24:BE24)</f>
        <v>3507</v>
      </c>
      <c r="I24" s="295">
        <f ca="1">SUM(BF24:BI24)</f>
        <v>3309.8633949805671</v>
      </c>
      <c r="J24" s="236">
        <f ca="1">+J12*J25</f>
        <v>3384.9209287755784</v>
      </c>
      <c r="K24" s="236">
        <f t="shared" ref="K24:P24" ca="1" si="81">+K12*K25</f>
        <v>3410.7193266722206</v>
      </c>
      <c r="L24" s="236">
        <f t="shared" ca="1" si="81"/>
        <v>3418.2449731393158</v>
      </c>
      <c r="M24" s="236">
        <f t="shared" ca="1" si="81"/>
        <v>3412.8600849900413</v>
      </c>
      <c r="N24" s="236">
        <f t="shared" ca="1" si="81"/>
        <v>3394.8730703891993</v>
      </c>
      <c r="O24" s="236">
        <f t="shared" ca="1" si="81"/>
        <v>3373.1319306956257</v>
      </c>
      <c r="P24" s="236">
        <f t="shared" ca="1" si="81"/>
        <v>3351.2724669622689</v>
      </c>
      <c r="Q24" s="274"/>
      <c r="R24" s="274"/>
      <c r="S24" s="274"/>
      <c r="T24" s="274"/>
      <c r="U24" s="274"/>
      <c r="V24" s="274"/>
      <c r="W24" s="274"/>
      <c r="X24" s="274"/>
      <c r="Y24" s="274"/>
      <c r="Z24" s="274"/>
      <c r="AA24" s="274"/>
      <c r="AB24" s="274"/>
      <c r="AC24" s="274"/>
      <c r="AD24" s="274"/>
      <c r="AE24" s="274"/>
      <c r="AF24" s="274"/>
      <c r="AG24" s="274"/>
      <c r="AH24" s="274"/>
      <c r="AI24" s="274"/>
      <c r="AJ24" s="274"/>
      <c r="AK24" s="274"/>
      <c r="AL24" s="261">
        <v>890</v>
      </c>
      <c r="AM24" s="261">
        <v>905</v>
      </c>
      <c r="AN24" s="261">
        <v>929</v>
      </c>
      <c r="AO24" s="261">
        <v>959</v>
      </c>
      <c r="AP24" s="261">
        <v>915</v>
      </c>
      <c r="AQ24" s="261">
        <v>981</v>
      </c>
      <c r="AR24" s="261">
        <v>950</v>
      </c>
      <c r="AS24" s="261">
        <v>981</v>
      </c>
      <c r="AT24" s="261">
        <v>1002</v>
      </c>
      <c r="AU24" s="261">
        <v>934</v>
      </c>
      <c r="AV24" s="261">
        <v>976</v>
      </c>
      <c r="AW24" s="261">
        <v>939</v>
      </c>
      <c r="AX24" s="261">
        <v>922</v>
      </c>
      <c r="AY24" s="261">
        <v>932</v>
      </c>
      <c r="AZ24" s="261">
        <v>944</v>
      </c>
      <c r="BA24" s="261">
        <v>918</v>
      </c>
      <c r="BB24" s="261">
        <v>873</v>
      </c>
      <c r="BC24" s="261">
        <v>871</v>
      </c>
      <c r="BD24" s="261">
        <v>877</v>
      </c>
      <c r="BE24" s="261">
        <v>886</v>
      </c>
      <c r="BF24" s="236">
        <f t="shared" ref="BF24:BI24" ca="1" si="82">+BF25*BF12</f>
        <v>808.47632250127322</v>
      </c>
      <c r="BG24" s="236">
        <f t="shared" ca="1" si="82"/>
        <v>811.44367726043617</v>
      </c>
      <c r="BH24" s="236">
        <f t="shared" ca="1" si="82"/>
        <v>811.66108590621093</v>
      </c>
      <c r="BI24" s="236">
        <f t="shared" ca="1" si="82"/>
        <v>878.28230931264739</v>
      </c>
    </row>
    <row r="25" spans="2:63" s="248" customFormat="1" outlineLevel="1">
      <c r="B25" s="245" t="s">
        <v>273</v>
      </c>
      <c r="C25" s="246"/>
      <c r="D25" s="259">
        <f t="shared" ref="D25:I25" si="83">+D24/D$12</f>
        <v>0.10161962309963303</v>
      </c>
      <c r="E25" s="259">
        <f t="shared" si="83"/>
        <v>0.10408224319399494</v>
      </c>
      <c r="F25" s="259">
        <f t="shared" si="83"/>
        <v>0.10982147949580791</v>
      </c>
      <c r="G25" s="259">
        <f t="shared" si="83"/>
        <v>0.1119277108433735</v>
      </c>
      <c r="H25" s="259">
        <f t="shared" si="83"/>
        <v>0.11107240134287705</v>
      </c>
      <c r="I25" s="259">
        <f t="shared" ca="1" si="83"/>
        <v>0.10709537048229179</v>
      </c>
      <c r="J25" s="297">
        <f ca="1">+I25</f>
        <v>0.10709537048229179</v>
      </c>
      <c r="K25" s="297">
        <f t="shared" ref="K25:P25" ca="1" si="84">+J25</f>
        <v>0.10709537048229179</v>
      </c>
      <c r="L25" s="297">
        <f t="shared" ca="1" si="84"/>
        <v>0.10709537048229179</v>
      </c>
      <c r="M25" s="297">
        <f t="shared" ca="1" si="84"/>
        <v>0.10709537048229179</v>
      </c>
      <c r="N25" s="297">
        <f t="shared" ca="1" si="84"/>
        <v>0.10709537048229179</v>
      </c>
      <c r="O25" s="297">
        <f t="shared" ca="1" si="84"/>
        <v>0.10709537048229179</v>
      </c>
      <c r="P25" s="297">
        <f t="shared" ca="1" si="84"/>
        <v>0.10709537048229179</v>
      </c>
      <c r="Q25" s="246"/>
      <c r="R25" s="246"/>
      <c r="S25" s="246"/>
      <c r="T25" s="246"/>
      <c r="U25" s="246"/>
      <c r="V25" s="246"/>
      <c r="W25" s="246"/>
      <c r="X25" s="246"/>
      <c r="Y25" s="246"/>
      <c r="Z25" s="246"/>
      <c r="AA25" s="246"/>
      <c r="AB25" s="246"/>
      <c r="AC25" s="246"/>
      <c r="AD25" s="246"/>
      <c r="AE25" s="246"/>
      <c r="AF25" s="246"/>
      <c r="AG25" s="246"/>
      <c r="AH25" s="246"/>
      <c r="AI25" s="246"/>
      <c r="AJ25" s="246"/>
      <c r="AK25" s="246"/>
      <c r="AL25" s="248">
        <f t="shared" ref="AL25:AV25" si="85">+AL24/AL$12</f>
        <v>9.9955076370170703E-2</v>
      </c>
      <c r="AM25" s="248">
        <f t="shared" si="85"/>
        <v>9.9933745583038872E-2</v>
      </c>
      <c r="AN25" s="248">
        <f t="shared" si="85"/>
        <v>0.10394987132147253</v>
      </c>
      <c r="AO25" s="248">
        <f t="shared" si="85"/>
        <v>0.10261074256366359</v>
      </c>
      <c r="AP25" s="248">
        <f t="shared" si="85"/>
        <v>0.10350678733031674</v>
      </c>
      <c r="AQ25" s="248">
        <f t="shared" si="85"/>
        <v>0.1066420263072073</v>
      </c>
      <c r="AR25" s="248">
        <f t="shared" si="85"/>
        <v>0.1031711555169418</v>
      </c>
      <c r="AS25" s="248">
        <f t="shared" si="85"/>
        <v>0.10302457466918714</v>
      </c>
      <c r="AT25" s="248">
        <f t="shared" si="85"/>
        <v>0.11414900888585099</v>
      </c>
      <c r="AU25" s="248">
        <f t="shared" si="85"/>
        <v>0.10668189605939463</v>
      </c>
      <c r="AV25" s="248">
        <f t="shared" si="85"/>
        <v>0.1111111111111111</v>
      </c>
      <c r="AW25" s="248">
        <f t="shared" ref="AW25:BB25" si="86">+AW24/AW$12</f>
        <v>0.10732655160589781</v>
      </c>
      <c r="AX25" s="248">
        <f t="shared" si="86"/>
        <v>0.11071085494716619</v>
      </c>
      <c r="AY25" s="248">
        <f t="shared" si="86"/>
        <v>0.11385291961886147</v>
      </c>
      <c r="AZ25" s="248">
        <f t="shared" si="86"/>
        <v>0.11418894399419378</v>
      </c>
      <c r="BA25" s="248">
        <f t="shared" si="86"/>
        <v>0.10903907827532962</v>
      </c>
      <c r="BB25" s="248">
        <f t="shared" si="86"/>
        <v>0.1127906976744186</v>
      </c>
      <c r="BC25" s="248">
        <f t="shared" ref="BC25:BD25" si="87">+BC24/BC$12</f>
        <v>0.11179566166089078</v>
      </c>
      <c r="BD25" s="248">
        <f t="shared" si="87"/>
        <v>0.11287001287001287</v>
      </c>
      <c r="BE25" s="248">
        <f t="shared" ref="BE25" si="88">+BE24/BE$12</f>
        <v>0.1070953704822918</v>
      </c>
      <c r="BF25" s="297">
        <f t="shared" ref="BF25" si="89">+BE25</f>
        <v>0.1070953704822918</v>
      </c>
      <c r="BG25" s="297">
        <f t="shared" ref="BG25" si="90">+BF25</f>
        <v>0.1070953704822918</v>
      </c>
      <c r="BH25" s="297">
        <f t="shared" ref="BH25" si="91">+BG25</f>
        <v>0.1070953704822918</v>
      </c>
      <c r="BI25" s="297">
        <f t="shared" ref="BI25" si="92">+BH25</f>
        <v>0.1070953704822918</v>
      </c>
    </row>
    <row r="26" spans="2:63" s="248" customFormat="1" outlineLevel="1">
      <c r="B26" s="298" t="s">
        <v>342</v>
      </c>
      <c r="C26" s="246"/>
      <c r="D26" s="259"/>
      <c r="E26" s="259"/>
      <c r="F26" s="259"/>
      <c r="G26" s="259"/>
      <c r="H26" s="259"/>
      <c r="I26" s="259"/>
      <c r="J26" s="245"/>
      <c r="K26" s="245"/>
      <c r="L26" s="245"/>
      <c r="M26" s="245"/>
      <c r="N26" s="245"/>
      <c r="O26" s="245"/>
      <c r="P26" s="245"/>
      <c r="Q26" s="246"/>
      <c r="R26" s="246"/>
      <c r="S26" s="246"/>
      <c r="T26" s="246"/>
      <c r="U26" s="246"/>
      <c r="V26" s="246"/>
      <c r="W26" s="246"/>
      <c r="X26" s="246"/>
      <c r="Y26" s="246"/>
      <c r="Z26" s="246"/>
      <c r="AA26" s="246"/>
      <c r="AB26" s="246"/>
      <c r="AC26" s="246"/>
      <c r="AD26" s="246"/>
      <c r="AE26" s="246"/>
      <c r="AF26" s="246"/>
      <c r="AG26" s="246"/>
      <c r="AH26" s="246"/>
      <c r="AI26" s="246"/>
      <c r="AJ26" s="246"/>
      <c r="AK26" s="246"/>
      <c r="AM26" s="278">
        <f>+AM24-AL24</f>
        <v>15</v>
      </c>
      <c r="AN26" s="278">
        <f t="shared" ref="AN26:BE26" si="93">+AN24-AM24</f>
        <v>24</v>
      </c>
      <c r="AO26" s="278">
        <f t="shared" si="93"/>
        <v>30</v>
      </c>
      <c r="AP26" s="278">
        <f t="shared" si="93"/>
        <v>-44</v>
      </c>
      <c r="AQ26" s="278">
        <f t="shared" si="93"/>
        <v>66</v>
      </c>
      <c r="AR26" s="278">
        <f t="shared" si="93"/>
        <v>-31</v>
      </c>
      <c r="AS26" s="278">
        <f t="shared" si="93"/>
        <v>31</v>
      </c>
      <c r="AT26" s="278">
        <f t="shared" si="93"/>
        <v>21</v>
      </c>
      <c r="AU26" s="278">
        <f t="shared" si="93"/>
        <v>-68</v>
      </c>
      <c r="AV26" s="278">
        <f t="shared" si="93"/>
        <v>42</v>
      </c>
      <c r="AW26" s="278">
        <f t="shared" si="93"/>
        <v>-37</v>
      </c>
      <c r="AX26" s="278">
        <f t="shared" si="93"/>
        <v>-17</v>
      </c>
      <c r="AY26" s="278">
        <f t="shared" si="93"/>
        <v>10</v>
      </c>
      <c r="AZ26" s="278">
        <f t="shared" si="93"/>
        <v>12</v>
      </c>
      <c r="BA26" s="278">
        <f t="shared" si="93"/>
        <v>-26</v>
      </c>
      <c r="BB26" s="278">
        <f t="shared" si="93"/>
        <v>-45</v>
      </c>
      <c r="BC26" s="278">
        <f t="shared" si="93"/>
        <v>-2</v>
      </c>
      <c r="BD26" s="278">
        <f t="shared" si="93"/>
        <v>6</v>
      </c>
      <c r="BE26" s="278">
        <f t="shared" si="93"/>
        <v>9</v>
      </c>
      <c r="BF26" s="278">
        <f t="shared" ref="BF26" ca="1" si="94">+BF24-BE24</f>
        <v>-77.523677498726784</v>
      </c>
      <c r="BG26" s="278">
        <f t="shared" ref="BG26" ca="1" si="95">+BG24-BF24</f>
        <v>2.9673547591629585</v>
      </c>
      <c r="BH26" s="278">
        <f t="shared" ref="BH26" ca="1" si="96">+BH24-BG24</f>
        <v>0.2174086457747535</v>
      </c>
      <c r="BI26" s="278">
        <f t="shared" ref="BI26" ca="1" si="97">+BI24-BH24</f>
        <v>66.621223406436457</v>
      </c>
    </row>
    <row r="27" spans="2:63" s="248" customFormat="1" outlineLevel="1">
      <c r="B27" s="298" t="s">
        <v>343</v>
      </c>
      <c r="C27" s="246"/>
      <c r="D27" s="259"/>
      <c r="E27" s="278">
        <f t="shared" ref="E27:J27" si="98">+E24-D24</f>
        <v>144</v>
      </c>
      <c r="F27" s="278">
        <f t="shared" si="98"/>
        <v>24</v>
      </c>
      <c r="G27" s="278">
        <f t="shared" si="98"/>
        <v>-135</v>
      </c>
      <c r="H27" s="278">
        <f t="shared" si="98"/>
        <v>-209</v>
      </c>
      <c r="I27" s="278">
        <f t="shared" ca="1" si="98"/>
        <v>-197.13660501943286</v>
      </c>
      <c r="J27" s="278">
        <f t="shared" ca="1" si="98"/>
        <v>75.057533795011295</v>
      </c>
      <c r="K27" s="278">
        <f t="shared" ref="K27" ca="1" si="99">+K24-J24</f>
        <v>25.7983978966422</v>
      </c>
      <c r="L27" s="278">
        <f t="shared" ref="L27" ca="1" si="100">+L24-K24</f>
        <v>7.5256464670951573</v>
      </c>
      <c r="M27" s="278">
        <f t="shared" ref="M27" ca="1" si="101">+M24-L24</f>
        <v>-5.3848881492745022</v>
      </c>
      <c r="N27" s="278">
        <f t="shared" ref="N27" ca="1" si="102">+N24-M24</f>
        <v>-17.987014600842031</v>
      </c>
      <c r="O27" s="278">
        <f t="shared" ref="O27" ca="1" si="103">+O24-N24</f>
        <v>-21.741139693573587</v>
      </c>
      <c r="P27" s="278">
        <f t="shared" ref="P27" ca="1" si="104">+P24-O24</f>
        <v>-21.859463733356733</v>
      </c>
      <c r="Q27" s="246"/>
      <c r="R27" s="246"/>
      <c r="S27" s="246"/>
      <c r="T27" s="246"/>
      <c r="U27" s="246"/>
      <c r="V27" s="246"/>
      <c r="W27" s="246"/>
      <c r="X27" s="246"/>
      <c r="Y27" s="246"/>
      <c r="Z27" s="246"/>
      <c r="AA27" s="246"/>
      <c r="AB27" s="246"/>
      <c r="AC27" s="246"/>
      <c r="AD27" s="246"/>
      <c r="AE27" s="246"/>
      <c r="AF27" s="246"/>
      <c r="AG27" s="246"/>
      <c r="AH27" s="246"/>
      <c r="AI27" s="246"/>
      <c r="AJ27" s="246"/>
      <c r="AK27" s="246"/>
      <c r="AP27" s="278">
        <f t="shared" ref="AP27:BE27" si="105">+AP24-AL24</f>
        <v>25</v>
      </c>
      <c r="AQ27" s="278">
        <f t="shared" si="105"/>
        <v>76</v>
      </c>
      <c r="AR27" s="278">
        <f t="shared" si="105"/>
        <v>21</v>
      </c>
      <c r="AS27" s="278">
        <f t="shared" si="105"/>
        <v>22</v>
      </c>
      <c r="AT27" s="278">
        <f t="shared" si="105"/>
        <v>87</v>
      </c>
      <c r="AU27" s="278">
        <f t="shared" si="105"/>
        <v>-47</v>
      </c>
      <c r="AV27" s="278">
        <f t="shared" si="105"/>
        <v>26</v>
      </c>
      <c r="AW27" s="278">
        <f t="shared" si="105"/>
        <v>-42</v>
      </c>
      <c r="AX27" s="278">
        <f t="shared" si="105"/>
        <v>-80</v>
      </c>
      <c r="AY27" s="278">
        <f t="shared" si="105"/>
        <v>-2</v>
      </c>
      <c r="AZ27" s="278">
        <f t="shared" si="105"/>
        <v>-32</v>
      </c>
      <c r="BA27" s="278">
        <f t="shared" si="105"/>
        <v>-21</v>
      </c>
      <c r="BB27" s="278">
        <f t="shared" si="105"/>
        <v>-49</v>
      </c>
      <c r="BC27" s="278">
        <f t="shared" si="105"/>
        <v>-61</v>
      </c>
      <c r="BD27" s="278">
        <f t="shared" si="105"/>
        <v>-67</v>
      </c>
      <c r="BE27" s="278">
        <f t="shared" si="105"/>
        <v>-32</v>
      </c>
      <c r="BF27" s="278">
        <f t="shared" ref="BF27" ca="1" si="106">+BF24-BB24</f>
        <v>-64.523677498726784</v>
      </c>
      <c r="BG27" s="278">
        <f t="shared" ref="BG27" ca="1" si="107">+BG24-BC24</f>
        <v>-59.556322739563825</v>
      </c>
      <c r="BH27" s="278">
        <f t="shared" ref="BH27" ca="1" si="108">+BH24-BD24</f>
        <v>-65.338914093789072</v>
      </c>
      <c r="BI27" s="278">
        <f t="shared" ref="BI27" ca="1" si="109">+BI24-BE24</f>
        <v>-7.717690687352615</v>
      </c>
    </row>
    <row r="28" spans="2:63">
      <c r="D28" s="300"/>
      <c r="E28" s="300"/>
      <c r="F28" s="300"/>
      <c r="G28" s="300"/>
      <c r="H28" s="300"/>
      <c r="I28" s="300"/>
    </row>
    <row r="29" spans="2:63" s="236" customFormat="1">
      <c r="B29" s="236" t="s">
        <v>275</v>
      </c>
      <c r="C29" s="247"/>
      <c r="D29" s="295">
        <f>SUM(AL29:AO29)</f>
        <v>0</v>
      </c>
      <c r="E29" s="295">
        <f>SUM(AP29:AS29)</f>
        <v>-1</v>
      </c>
      <c r="F29" s="295">
        <f>SUM(AT29:AW29)</f>
        <v>0</v>
      </c>
      <c r="G29" s="295">
        <f>SUM(AX29:BA29)</f>
        <v>0</v>
      </c>
      <c r="H29" s="295">
        <f>SUM(BB29:BE29)</f>
        <v>0</v>
      </c>
      <c r="I29" s="295">
        <f>SUM(BF29:BI29)</f>
        <v>0</v>
      </c>
      <c r="J29" s="261"/>
      <c r="K29" s="261"/>
      <c r="L29" s="261"/>
      <c r="M29" s="261"/>
      <c r="N29" s="261"/>
      <c r="O29" s="261"/>
      <c r="P29" s="261"/>
      <c r="Q29" s="247"/>
      <c r="R29" s="247"/>
      <c r="S29" s="247"/>
      <c r="T29" s="247"/>
      <c r="U29" s="247"/>
      <c r="V29" s="247"/>
      <c r="W29" s="247"/>
      <c r="X29" s="247"/>
      <c r="Y29" s="247"/>
      <c r="Z29" s="247"/>
      <c r="AA29" s="247"/>
      <c r="AB29" s="247"/>
      <c r="AC29" s="247"/>
      <c r="AD29" s="247"/>
      <c r="AE29" s="247"/>
      <c r="AF29" s="247"/>
      <c r="AG29" s="247"/>
      <c r="AH29" s="247"/>
      <c r="AI29" s="247"/>
      <c r="AJ29" s="247"/>
      <c r="AK29" s="247"/>
      <c r="AR29" s="261">
        <v>-1</v>
      </c>
      <c r="AS29" s="261"/>
      <c r="AT29" s="261"/>
      <c r="AU29" s="261"/>
      <c r="AV29" s="261"/>
      <c r="AW29" s="261"/>
      <c r="AX29" s="261"/>
      <c r="AY29" s="261"/>
      <c r="AZ29" s="261"/>
      <c r="BA29" s="261"/>
      <c r="BB29" s="261"/>
      <c r="BC29" s="261"/>
      <c r="BD29" s="261"/>
      <c r="BE29" s="261"/>
      <c r="BF29" s="261"/>
      <c r="BG29" s="261"/>
      <c r="BH29" s="261"/>
      <c r="BI29" s="261"/>
    </row>
    <row r="30" spans="2:63">
      <c r="C30" s="246"/>
      <c r="D30" s="300"/>
      <c r="E30" s="300"/>
      <c r="F30" s="300"/>
      <c r="G30" s="300"/>
      <c r="H30" s="300"/>
      <c r="I30" s="300"/>
      <c r="Q30" s="246"/>
      <c r="R30" s="246"/>
      <c r="S30" s="246"/>
      <c r="T30" s="246"/>
      <c r="U30" s="246"/>
      <c r="V30" s="246"/>
      <c r="W30" s="246"/>
      <c r="X30" s="246"/>
      <c r="Y30" s="246"/>
      <c r="Z30" s="246"/>
      <c r="AA30" s="246"/>
      <c r="AB30" s="246"/>
      <c r="AC30" s="246"/>
      <c r="AD30" s="246"/>
      <c r="AE30" s="246"/>
      <c r="AF30" s="246"/>
      <c r="AG30" s="246"/>
      <c r="AH30" s="246"/>
      <c r="AI30" s="246"/>
      <c r="AJ30" s="246"/>
      <c r="AK30" s="246"/>
    </row>
    <row r="31" spans="2:63" s="252" customFormat="1" ht="15.75" thickBot="1">
      <c r="B31" s="156" t="s">
        <v>4</v>
      </c>
      <c r="C31" s="247"/>
      <c r="D31" s="200">
        <f t="shared" ref="D31:J31" si="110">+D20-D24+D29</f>
        <v>10015</v>
      </c>
      <c r="E31" s="200">
        <f t="shared" si="110"/>
        <v>9627</v>
      </c>
      <c r="F31" s="200">
        <f t="shared" si="110"/>
        <v>11052</v>
      </c>
      <c r="G31" s="200">
        <f>+G20-G24+G29</f>
        <v>9918</v>
      </c>
      <c r="H31" s="200">
        <f>+H20-H24+H29</f>
        <v>9101</v>
      </c>
      <c r="I31" s="200">
        <f ca="1">+I20-I24+I29</f>
        <v>9348.2281588621627</v>
      </c>
      <c r="J31" s="200">
        <f t="shared" ca="1" si="110"/>
        <v>9718.2502737635568</v>
      </c>
      <c r="K31" s="200">
        <f t="shared" ref="K31:P31" ca="1" si="111">+K20-K24+K29</f>
        <v>9951.556035944177</v>
      </c>
      <c r="L31" s="200">
        <f t="shared" ca="1" si="111"/>
        <v>10133.102665779514</v>
      </c>
      <c r="M31" s="200">
        <f t="shared" ca="1" si="111"/>
        <v>10276.477036853988</v>
      </c>
      <c r="N31" s="200">
        <f t="shared" ca="1" si="111"/>
        <v>10380.813920733297</v>
      </c>
      <c r="O31" s="200">
        <f t="shared" ca="1" si="111"/>
        <v>10471.816670323282</v>
      </c>
      <c r="P31" s="200">
        <f t="shared" ca="1" si="111"/>
        <v>10560.416488415482</v>
      </c>
      <c r="Q31" s="247"/>
      <c r="R31" s="167"/>
      <c r="S31" s="167"/>
      <c r="T31" s="167"/>
      <c r="U31" s="167"/>
      <c r="V31" s="167"/>
      <c r="W31" s="167"/>
      <c r="X31" s="167"/>
      <c r="Y31" s="167"/>
      <c r="Z31" s="167"/>
      <c r="AA31" s="167"/>
      <c r="AB31" s="167"/>
      <c r="AC31" s="167"/>
      <c r="AD31" s="167"/>
      <c r="AE31" s="167"/>
      <c r="AF31" s="167"/>
      <c r="AG31" s="167"/>
      <c r="AH31" s="167"/>
      <c r="AI31" s="167"/>
      <c r="AJ31" s="167"/>
      <c r="AK31" s="167"/>
      <c r="AL31" s="156">
        <f t="shared" ref="AL31:AV31" si="112">+AL20-AL24+AL29</f>
        <v>2738</v>
      </c>
      <c r="AM31" s="156">
        <f t="shared" si="112"/>
        <v>2714</v>
      </c>
      <c r="AN31" s="156">
        <f t="shared" si="112"/>
        <v>2506</v>
      </c>
      <c r="AO31" s="156">
        <f t="shared" si="112"/>
        <v>2057</v>
      </c>
      <c r="AP31" s="156">
        <f t="shared" si="112"/>
        <v>2506</v>
      </c>
      <c r="AQ31" s="156">
        <f t="shared" si="112"/>
        <v>2308</v>
      </c>
      <c r="AR31" s="156">
        <f t="shared" si="112"/>
        <v>2697</v>
      </c>
      <c r="AS31" s="156">
        <f t="shared" si="112"/>
        <v>2116</v>
      </c>
      <c r="AT31" s="156">
        <f t="shared" si="112"/>
        <v>2444</v>
      </c>
      <c r="AU31" s="156">
        <f t="shared" si="112"/>
        <v>3198</v>
      </c>
      <c r="AV31" s="156">
        <f t="shared" si="112"/>
        <v>3135</v>
      </c>
      <c r="AW31" s="156">
        <f t="shared" ref="AW31:BB31" si="113">+AW20-AW24+AW29</f>
        <v>2275</v>
      </c>
      <c r="AX31" s="156">
        <f t="shared" si="113"/>
        <v>2536</v>
      </c>
      <c r="AY31" s="156">
        <f t="shared" si="113"/>
        <v>2607</v>
      </c>
      <c r="AZ31" s="156">
        <f t="shared" si="113"/>
        <v>2589</v>
      </c>
      <c r="BA31" s="156">
        <f t="shared" si="113"/>
        <v>2186</v>
      </c>
      <c r="BB31" s="156">
        <f t="shared" si="113"/>
        <v>2339</v>
      </c>
      <c r="BC31" s="156">
        <f t="shared" ref="BC31:BD31" si="114">+BC20-BC24+BC29</f>
        <v>2400</v>
      </c>
      <c r="BD31" s="156">
        <f t="shared" si="114"/>
        <v>2342</v>
      </c>
      <c r="BE31" s="156">
        <f t="shared" ref="BE31" si="115">+BE20-BE24+BE29</f>
        <v>2020</v>
      </c>
      <c r="BF31" s="156">
        <f t="shared" ref="BF31:BI31" ca="1" si="116">+BF20-BF24+BF29</f>
        <v>2362.9594336644168</v>
      </c>
      <c r="BG31" s="156">
        <f t="shared" ca="1" si="116"/>
        <v>2454.8033463048364</v>
      </c>
      <c r="BH31" s="156">
        <f t="shared" ca="1" si="116"/>
        <v>2415.5986130079336</v>
      </c>
      <c r="BI31" s="156">
        <f t="shared" ca="1" si="116"/>
        <v>2114.8667658849772</v>
      </c>
      <c r="BK31" s="236"/>
    </row>
    <row r="32" spans="2:63" s="248" customFormat="1" ht="15.75" thickTop="1">
      <c r="B32" s="245" t="s">
        <v>258</v>
      </c>
      <c r="C32" s="266"/>
      <c r="D32" s="259">
        <f t="shared" ref="D32:J32" si="117">+D31/D$12</f>
        <v>0.27632922219463069</v>
      </c>
      <c r="E32" s="259">
        <f t="shared" si="117"/>
        <v>0.26182381897794338</v>
      </c>
      <c r="F32" s="259">
        <f t="shared" si="117"/>
        <v>0.31517709462157073</v>
      </c>
      <c r="G32" s="259">
        <f>+G31/G$12</f>
        <v>0.29873493975903614</v>
      </c>
      <c r="H32" s="259">
        <f>+H31/H$12</f>
        <v>0.2882434914803319</v>
      </c>
      <c r="I32" s="259">
        <f ca="1">+I31/I$12</f>
        <v>0.30247531047492482</v>
      </c>
      <c r="J32" s="259">
        <f t="shared" ca="1" si="117"/>
        <v>0.30747531047492477</v>
      </c>
      <c r="K32" s="259">
        <f t="shared" ref="K32:P32" ca="1" si="118">+K31/K$12</f>
        <v>0.31247531047492477</v>
      </c>
      <c r="L32" s="259">
        <f t="shared" ca="1" si="118"/>
        <v>0.31747531047492489</v>
      </c>
      <c r="M32" s="259">
        <f t="shared" ca="1" si="118"/>
        <v>0.32247531047492484</v>
      </c>
      <c r="N32" s="259">
        <f t="shared" ca="1" si="118"/>
        <v>0.32747531047492484</v>
      </c>
      <c r="O32" s="259">
        <f t="shared" ca="1" si="118"/>
        <v>0.3324753104749249</v>
      </c>
      <c r="P32" s="259">
        <f t="shared" ca="1" si="118"/>
        <v>0.33747531047492479</v>
      </c>
      <c r="Q32" s="266"/>
      <c r="R32" s="266"/>
      <c r="S32" s="266"/>
      <c r="T32" s="266"/>
      <c r="U32" s="266"/>
      <c r="V32" s="266"/>
      <c r="W32" s="266"/>
      <c r="X32" s="266"/>
      <c r="Y32" s="266"/>
      <c r="Z32" s="266"/>
      <c r="AA32" s="266"/>
      <c r="AB32" s="266"/>
      <c r="AC32" s="266"/>
      <c r="AD32" s="266"/>
      <c r="AE32" s="266"/>
      <c r="AF32" s="266"/>
      <c r="AG32" s="266"/>
      <c r="AH32" s="266"/>
      <c r="AI32" s="266"/>
      <c r="AJ32" s="266"/>
      <c r="AK32" s="266"/>
      <c r="AL32" s="248">
        <f t="shared" ref="AL32:AV32" si="119">+AL31/AL$12</f>
        <v>0.30750224618149147</v>
      </c>
      <c r="AM32" s="248">
        <f t="shared" si="119"/>
        <v>0.29969081272084808</v>
      </c>
      <c r="AN32" s="248">
        <f t="shared" si="119"/>
        <v>0.28040729551303567</v>
      </c>
      <c r="AO32" s="248">
        <f t="shared" si="119"/>
        <v>0.22009415792852557</v>
      </c>
      <c r="AP32" s="248">
        <f t="shared" si="119"/>
        <v>0.28348416289592759</v>
      </c>
      <c r="AQ32" s="248">
        <f t="shared" si="119"/>
        <v>0.25089683661267531</v>
      </c>
      <c r="AR32" s="248">
        <f t="shared" si="119"/>
        <v>0.29289748045178104</v>
      </c>
      <c r="AS32" s="248">
        <f t="shared" si="119"/>
        <v>0.22222222222222221</v>
      </c>
      <c r="AT32" s="248">
        <f t="shared" si="119"/>
        <v>0.27842333105491002</v>
      </c>
      <c r="AU32" s="248">
        <f t="shared" si="119"/>
        <v>0.36527698458023988</v>
      </c>
      <c r="AV32" s="248">
        <f t="shared" si="119"/>
        <v>0.35689890710382516</v>
      </c>
      <c r="AW32" s="248">
        <f t="shared" ref="AW32:BB32" si="120">+AW31/AW$12</f>
        <v>0.26002971768202082</v>
      </c>
      <c r="AX32" s="248">
        <f t="shared" si="120"/>
        <v>0.30451488952929873</v>
      </c>
      <c r="AY32" s="248">
        <f t="shared" si="120"/>
        <v>0.3184705594918153</v>
      </c>
      <c r="AZ32" s="248">
        <f t="shared" si="120"/>
        <v>0.31317285593322852</v>
      </c>
      <c r="BA32" s="248">
        <f t="shared" si="120"/>
        <v>0.25965078988003326</v>
      </c>
      <c r="BB32" s="248">
        <f t="shared" si="120"/>
        <v>0.30219638242894059</v>
      </c>
      <c r="BC32" s="248">
        <f t="shared" ref="BC32:BD32" si="121">+BC31/BC$12</f>
        <v>0.30804774740084712</v>
      </c>
      <c r="BD32" s="248">
        <f t="shared" si="121"/>
        <v>0.3014157014157014</v>
      </c>
      <c r="BE32" s="248">
        <f t="shared" ref="BE32" si="122">+BE31/BE$12</f>
        <v>0.24416777468874654</v>
      </c>
      <c r="BF32" s="259">
        <f t="shared" ref="BF32:BI32" ca="1" si="123">+BF31/BF$12</f>
        <v>0.31301104180762029</v>
      </c>
      <c r="BG32" s="259">
        <f t="shared" ca="1" si="123"/>
        <v>0.32398807360391557</v>
      </c>
      <c r="BH32" s="259">
        <f t="shared" ca="1" si="123"/>
        <v>0.31872838662427644</v>
      </c>
      <c r="BI32" s="259">
        <f t="shared" ca="1" si="123"/>
        <v>0.25788113618090885</v>
      </c>
    </row>
    <row r="33" spans="2:61" s="248" customFormat="1">
      <c r="B33" s="245" t="s">
        <v>252</v>
      </c>
      <c r="C33" s="274"/>
      <c r="D33" s="259"/>
      <c r="E33" s="259">
        <f t="shared" ref="E33:J33" si="124">+E31/D31-1</f>
        <v>-3.8741887169246092E-2</v>
      </c>
      <c r="F33" s="259">
        <f t="shared" si="124"/>
        <v>0.14802119040199435</v>
      </c>
      <c r="G33" s="259">
        <f t="shared" si="124"/>
        <v>-0.10260586319218246</v>
      </c>
      <c r="H33" s="259">
        <f t="shared" si="124"/>
        <v>-8.2375478927203094E-2</v>
      </c>
      <c r="I33" s="259">
        <f t="shared" ca="1" si="124"/>
        <v>2.7164944386568912E-2</v>
      </c>
      <c r="J33" s="259">
        <f t="shared" ca="1" si="124"/>
        <v>3.9582058611889126E-2</v>
      </c>
      <c r="K33" s="259">
        <f t="shared" ref="K33" ca="1" si="125">+K31/J31-1</f>
        <v>2.4006971996849868E-2</v>
      </c>
      <c r="L33" s="259">
        <f t="shared" ref="L33" ca="1" si="126">+L31/K31-1</f>
        <v>1.8243039498507141E-2</v>
      </c>
      <c r="M33" s="259">
        <f t="shared" ref="M33" ca="1" si="127">+M31/L31-1</f>
        <v>1.4149108698825685E-2</v>
      </c>
      <c r="N33" s="259">
        <f t="shared" ref="N33" ca="1" si="128">+N31/M31-1</f>
        <v>1.0152981756795798E-2</v>
      </c>
      <c r="O33" s="259">
        <f t="shared" ref="O33" ca="1" si="129">+O31/N31-1</f>
        <v>8.7664368405859783E-3</v>
      </c>
      <c r="P33" s="259">
        <f t="shared" ref="P33" ca="1" si="130">+P31/O31-1</f>
        <v>8.4607877392743891E-3</v>
      </c>
      <c r="Q33" s="274"/>
      <c r="R33" s="274"/>
      <c r="S33" s="274"/>
      <c r="T33" s="274"/>
      <c r="U33" s="274"/>
      <c r="V33" s="274"/>
      <c r="W33" s="274"/>
      <c r="X33" s="274"/>
      <c r="Y33" s="274"/>
      <c r="Z33" s="274"/>
      <c r="AA33" s="274"/>
      <c r="AB33" s="274"/>
      <c r="AC33" s="274"/>
      <c r="AD33" s="274"/>
      <c r="AE33" s="274"/>
      <c r="AF33" s="274"/>
      <c r="AG33" s="274"/>
      <c r="AH33" s="274"/>
      <c r="AI33" s="274"/>
      <c r="AJ33" s="274"/>
      <c r="AK33" s="274"/>
      <c r="AP33" s="248">
        <f>+AP31/AL31-1</f>
        <v>-8.4733382030679372E-2</v>
      </c>
      <c r="AQ33" s="248">
        <f t="shared" ref="AQ33:BE33" si="131">+AQ31/AM31-1</f>
        <v>-0.1495946941783346</v>
      </c>
      <c r="AR33" s="248">
        <f t="shared" si="131"/>
        <v>7.6217079010375111E-2</v>
      </c>
      <c r="AS33" s="248">
        <f t="shared" si="131"/>
        <v>2.8682547399125013E-2</v>
      </c>
      <c r="AT33" s="248">
        <f t="shared" si="131"/>
        <v>-2.4740622505985632E-2</v>
      </c>
      <c r="AU33" s="248">
        <f t="shared" si="131"/>
        <v>0.38561525129982677</v>
      </c>
      <c r="AV33" s="248">
        <f t="shared" si="131"/>
        <v>0.16240266963292549</v>
      </c>
      <c r="AW33" s="248">
        <f t="shared" si="131"/>
        <v>7.5141776937618143E-2</v>
      </c>
      <c r="AX33" s="248">
        <f t="shared" si="131"/>
        <v>3.7643207855973859E-2</v>
      </c>
      <c r="AY33" s="248">
        <f t="shared" si="131"/>
        <v>-0.1848030018761726</v>
      </c>
      <c r="AZ33" s="248">
        <f t="shared" si="131"/>
        <v>-0.1741626794258373</v>
      </c>
      <c r="BA33" s="248">
        <f t="shared" si="131"/>
        <v>-3.9120879120879137E-2</v>
      </c>
      <c r="BB33" s="248">
        <f t="shared" si="131"/>
        <v>-7.7681388012618258E-2</v>
      </c>
      <c r="BC33" s="248">
        <f t="shared" si="131"/>
        <v>-7.9401611047180687E-2</v>
      </c>
      <c r="BD33" s="248">
        <f t="shared" si="131"/>
        <v>-9.5403630745461543E-2</v>
      </c>
      <c r="BE33" s="248">
        <f t="shared" si="131"/>
        <v>-7.5937785910338507E-2</v>
      </c>
      <c r="BF33" s="248">
        <f t="shared" ref="BF33" ca="1" si="132">+BF31/BB31-1</f>
        <v>1.0243451759049504E-2</v>
      </c>
      <c r="BG33" s="248">
        <f t="shared" ref="BG33" ca="1" si="133">+BG31/BC31-1</f>
        <v>2.2834727627015106E-2</v>
      </c>
      <c r="BH33" s="248">
        <f t="shared" ref="BH33" ca="1" si="134">+BH31/BD31-1</f>
        <v>3.1425539286051851E-2</v>
      </c>
      <c r="BI33" s="248">
        <f t="shared" ref="BI33" ca="1" si="135">+BI31/BE31-1</f>
        <v>4.6963745487612396E-2</v>
      </c>
    </row>
    <row r="34" spans="2:61" ht="15.75" thickBot="1">
      <c r="C34" s="246"/>
      <c r="Q34" s="246"/>
      <c r="R34" s="246"/>
      <c r="S34" s="246"/>
      <c r="T34" s="246"/>
      <c r="U34" s="246"/>
      <c r="V34" s="246"/>
      <c r="W34" s="246"/>
      <c r="X34" s="246"/>
      <c r="Y34" s="246"/>
      <c r="Z34" s="246"/>
      <c r="AA34" s="246"/>
      <c r="AB34" s="246"/>
      <c r="AC34" s="246"/>
      <c r="AD34" s="246"/>
      <c r="AE34" s="246"/>
      <c r="AF34" s="246"/>
      <c r="AG34" s="246"/>
      <c r="AH34" s="246"/>
      <c r="AI34" s="246"/>
      <c r="AJ34" s="246"/>
      <c r="AK34" s="246"/>
    </row>
    <row r="35" spans="2:61" s="251" customFormat="1" ht="15.75" thickBot="1">
      <c r="B35" s="194" t="s">
        <v>290</v>
      </c>
      <c r="C35" s="266"/>
      <c r="D35" s="195">
        <f>+D$6</f>
        <v>2013</v>
      </c>
      <c r="E35" s="196">
        <f t="shared" ref="E35:P35" si="136">+E$6</f>
        <v>2014</v>
      </c>
      <c r="F35" s="196">
        <f t="shared" si="136"/>
        <v>2015</v>
      </c>
      <c r="G35" s="196">
        <f t="shared" si="136"/>
        <v>2016</v>
      </c>
      <c r="H35" s="196">
        <f t="shared" si="136"/>
        <v>2017</v>
      </c>
      <c r="I35" s="196" t="str">
        <f t="shared" si="136"/>
        <v>2018E</v>
      </c>
      <c r="J35" s="197" t="str">
        <f t="shared" si="136"/>
        <v>2019E</v>
      </c>
      <c r="K35" s="197" t="str">
        <f t="shared" si="136"/>
        <v>2020E</v>
      </c>
      <c r="L35" s="197" t="str">
        <f t="shared" si="136"/>
        <v>2021E</v>
      </c>
      <c r="M35" s="197" t="str">
        <f t="shared" si="136"/>
        <v>2022E</v>
      </c>
      <c r="N35" s="197" t="str">
        <f t="shared" si="136"/>
        <v>2023E</v>
      </c>
      <c r="O35" s="197" t="str">
        <f t="shared" si="136"/>
        <v>2024E</v>
      </c>
      <c r="P35" s="197" t="str">
        <f t="shared" si="136"/>
        <v>2025E</v>
      </c>
      <c r="Q35" s="241"/>
      <c r="R35" s="196"/>
      <c r="S35" s="196"/>
      <c r="T35" s="196"/>
      <c r="U35" s="196"/>
      <c r="V35" s="196"/>
      <c r="W35" s="196"/>
      <c r="X35" s="196"/>
      <c r="Y35" s="196"/>
      <c r="Z35" s="196"/>
      <c r="AA35" s="196"/>
      <c r="AB35" s="196"/>
      <c r="AC35" s="196"/>
      <c r="AD35" s="196"/>
      <c r="AE35" s="196"/>
      <c r="AF35" s="196"/>
      <c r="AG35" s="196"/>
      <c r="AH35" s="196"/>
      <c r="AI35" s="196"/>
      <c r="AJ35" s="196"/>
      <c r="AK35" s="196"/>
      <c r="AL35" s="196" t="s">
        <v>248</v>
      </c>
      <c r="AM35" s="196" t="s">
        <v>249</v>
      </c>
      <c r="AN35" s="196" t="s">
        <v>250</v>
      </c>
      <c r="AO35" s="196" t="s">
        <v>251</v>
      </c>
      <c r="AP35" s="196" t="e">
        <f>+#REF!</f>
        <v>#REF!</v>
      </c>
      <c r="AQ35" s="196" t="e">
        <f>+#REF!</f>
        <v>#REF!</v>
      </c>
      <c r="AR35" s="196" t="e">
        <f>+#REF!</f>
        <v>#REF!</v>
      </c>
      <c r="AS35" s="196" t="e">
        <f>+#REF!</f>
        <v>#REF!</v>
      </c>
      <c r="AT35" s="196" t="str">
        <f>+AT$6</f>
        <v>1Q15</v>
      </c>
      <c r="AU35" s="196" t="str">
        <f t="shared" ref="AU35:BI35" si="137">+AU$6</f>
        <v>2Q15</v>
      </c>
      <c r="AV35" s="196" t="str">
        <f t="shared" si="137"/>
        <v>3Q15</v>
      </c>
      <c r="AW35" s="196" t="str">
        <f t="shared" si="137"/>
        <v>4Q15</v>
      </c>
      <c r="AX35" s="196" t="str">
        <f t="shared" si="137"/>
        <v>1Q16</v>
      </c>
      <c r="AY35" s="196" t="str">
        <f t="shared" si="137"/>
        <v>2Q16</v>
      </c>
      <c r="AZ35" s="196" t="str">
        <f t="shared" si="137"/>
        <v>3Q16</v>
      </c>
      <c r="BA35" s="196" t="str">
        <f t="shared" si="137"/>
        <v>4Q16</v>
      </c>
      <c r="BB35" s="196" t="str">
        <f t="shared" si="137"/>
        <v>1Q17</v>
      </c>
      <c r="BC35" s="196" t="str">
        <f t="shared" si="137"/>
        <v>2Q17</v>
      </c>
      <c r="BD35" s="196" t="str">
        <f t="shared" si="137"/>
        <v>3Q17</v>
      </c>
      <c r="BE35" s="196" t="str">
        <f t="shared" si="137"/>
        <v>4Q17</v>
      </c>
      <c r="BF35" s="196" t="str">
        <f t="shared" si="137"/>
        <v>1Q18E</v>
      </c>
      <c r="BG35" s="196" t="str">
        <f t="shared" si="137"/>
        <v>2Q18E</v>
      </c>
      <c r="BH35" s="196" t="str">
        <f t="shared" si="137"/>
        <v>3Q18E</v>
      </c>
      <c r="BI35" s="197" t="str">
        <f t="shared" si="137"/>
        <v>4Q18E</v>
      </c>
    </row>
    <row r="36" spans="2:61">
      <c r="B36" s="161"/>
      <c r="C36" s="274"/>
      <c r="D36" s="161"/>
      <c r="E36" s="161"/>
      <c r="F36" s="161"/>
      <c r="G36" s="177"/>
      <c r="H36" s="177"/>
      <c r="I36" s="177"/>
      <c r="J36" s="161"/>
      <c r="K36" s="177"/>
      <c r="L36" s="177"/>
      <c r="M36" s="177"/>
      <c r="N36" s="177"/>
      <c r="O36" s="177"/>
      <c r="P36" s="177"/>
      <c r="Q36" s="274"/>
      <c r="R36" s="168"/>
      <c r="S36" s="168"/>
      <c r="T36" s="168"/>
      <c r="U36" s="168"/>
      <c r="V36" s="168"/>
      <c r="W36" s="168"/>
      <c r="X36" s="168"/>
      <c r="Y36" s="168"/>
      <c r="Z36" s="168"/>
      <c r="AA36" s="168"/>
      <c r="AB36" s="168"/>
      <c r="AC36" s="168"/>
      <c r="AD36" s="168"/>
      <c r="AE36" s="168"/>
      <c r="AF36" s="168"/>
      <c r="AG36" s="168"/>
      <c r="AH36" s="168"/>
      <c r="AI36" s="168"/>
      <c r="AJ36" s="168"/>
      <c r="AK36" s="168"/>
      <c r="AL36" s="161"/>
      <c r="AM36" s="161"/>
      <c r="AN36" s="161"/>
      <c r="AO36" s="161"/>
      <c r="AP36" s="161"/>
      <c r="AQ36" s="161"/>
      <c r="AR36" s="161"/>
      <c r="AS36" s="161"/>
      <c r="AT36" s="161"/>
      <c r="AU36" s="161"/>
      <c r="AV36" s="154"/>
      <c r="AW36" s="154"/>
      <c r="AX36" s="154"/>
      <c r="AY36" s="154"/>
      <c r="AZ36" s="154"/>
      <c r="BA36" s="154"/>
      <c r="BB36" s="154"/>
      <c r="BC36" s="154"/>
      <c r="BD36" s="154"/>
      <c r="BE36" s="154"/>
      <c r="BF36" s="177"/>
      <c r="BG36" s="177"/>
      <c r="BH36" s="177"/>
      <c r="BI36" s="177"/>
    </row>
    <row r="37" spans="2:61" s="236" customFormat="1">
      <c r="B37" s="154" t="s">
        <v>33</v>
      </c>
      <c r="C37" s="246"/>
      <c r="D37" s="154">
        <f>+AO37</f>
        <v>31827</v>
      </c>
      <c r="E37" s="154">
        <f>+AS37</f>
        <v>30610</v>
      </c>
      <c r="F37" s="154">
        <f>+AW37</f>
        <v>28814</v>
      </c>
      <c r="G37" s="154">
        <f>+BA37</f>
        <v>27095</v>
      </c>
      <c r="H37" s="154">
        <f>+BE37</f>
        <v>26064</v>
      </c>
      <c r="I37" s="154">
        <f ca="1">+BI37</f>
        <v>26630.686264644715</v>
      </c>
      <c r="J37" s="154">
        <f ca="1">+J59</f>
        <v>26898.873245908755</v>
      </c>
      <c r="K37" s="154">
        <f t="shared" ref="K37:P37" ca="1" si="138">+K59</f>
        <v>26950.313680613694</v>
      </c>
      <c r="L37" s="154">
        <f t="shared" ca="1" si="138"/>
        <v>26858.771602836485</v>
      </c>
      <c r="M37" s="154">
        <f t="shared" ca="1" si="138"/>
        <v>26690.036934491553</v>
      </c>
      <c r="N37" s="154">
        <f t="shared" ca="1" si="138"/>
        <v>26502.072002965881</v>
      </c>
      <c r="O37" s="154">
        <f t="shared" ca="1" si="138"/>
        <v>26345.270036036807</v>
      </c>
      <c r="P37" s="154">
        <f t="shared" ca="1" si="138"/>
        <v>26262.80566340834</v>
      </c>
      <c r="Q37" s="246"/>
      <c r="R37" s="189"/>
      <c r="S37" s="189"/>
      <c r="T37" s="189"/>
      <c r="U37" s="189"/>
      <c r="V37" s="189"/>
      <c r="W37" s="189"/>
      <c r="X37" s="189"/>
      <c r="Y37" s="189"/>
      <c r="Z37" s="189"/>
      <c r="AA37" s="189"/>
      <c r="AB37" s="189"/>
      <c r="AC37" s="189"/>
      <c r="AD37" s="189"/>
      <c r="AE37" s="189"/>
      <c r="AF37" s="189"/>
      <c r="AG37" s="189"/>
      <c r="AH37" s="189"/>
      <c r="AI37" s="189"/>
      <c r="AJ37" s="189"/>
      <c r="AK37" s="189"/>
      <c r="AL37" s="154"/>
      <c r="AM37" s="154"/>
      <c r="AN37" s="154"/>
      <c r="AO37" s="155">
        <v>31827</v>
      </c>
      <c r="AP37" s="155">
        <v>31445</v>
      </c>
      <c r="AQ37" s="155">
        <v>31345</v>
      </c>
      <c r="AR37" s="155">
        <v>31043</v>
      </c>
      <c r="AS37" s="155">
        <v>30610</v>
      </c>
      <c r="AT37" s="155">
        <v>30216</v>
      </c>
      <c r="AU37" s="155">
        <v>29844</v>
      </c>
      <c r="AV37" s="155">
        <v>29257</v>
      </c>
      <c r="AW37" s="155">
        <v>28814</v>
      </c>
      <c r="AX37" s="155">
        <v>28294</v>
      </c>
      <c r="AY37" s="155">
        <v>27862</v>
      </c>
      <c r="AZ37" s="155">
        <v>27374</v>
      </c>
      <c r="BA37" s="155">
        <v>27095</v>
      </c>
      <c r="BB37" s="155">
        <v>26510</v>
      </c>
      <c r="BC37" s="155">
        <v>26290</v>
      </c>
      <c r="BD37" s="155">
        <v>26003</v>
      </c>
      <c r="BE37" s="155">
        <v>26064</v>
      </c>
      <c r="BF37" s="154">
        <f t="shared" ref="BF37:BI37" ca="1" si="139">+BF59</f>
        <v>26038.314079244912</v>
      </c>
      <c r="BG37" s="154">
        <f t="shared" ca="1" si="139"/>
        <v>26159.91282567117</v>
      </c>
      <c r="BH37" s="154">
        <f t="shared" ca="1" si="139"/>
        <v>26288.155627005704</v>
      </c>
      <c r="BI37" s="154">
        <f t="shared" ca="1" si="139"/>
        <v>26630.686264644715</v>
      </c>
    </row>
    <row r="38" spans="2:61" s="236" customFormat="1">
      <c r="B38" s="154" t="s">
        <v>34</v>
      </c>
      <c r="C38" s="246"/>
      <c r="D38" s="154">
        <f>+AO38</f>
        <v>5817</v>
      </c>
      <c r="E38" s="154">
        <f>+AS38</f>
        <v>9965</v>
      </c>
      <c r="F38" s="154">
        <f>+AW38</f>
        <v>11548</v>
      </c>
      <c r="G38" s="154">
        <f>+BA38</f>
        <v>13536</v>
      </c>
      <c r="H38" s="154">
        <f>+BE38</f>
        <v>15335</v>
      </c>
      <c r="I38" s="154">
        <f>+BI38</f>
        <v>15948</v>
      </c>
      <c r="J38" s="154">
        <f>+J82</f>
        <v>16461</v>
      </c>
      <c r="K38" s="154">
        <f t="shared" ref="K38:P38" si="140">+K82</f>
        <v>16874</v>
      </c>
      <c r="L38" s="154">
        <f t="shared" si="140"/>
        <v>17187</v>
      </c>
      <c r="M38" s="154">
        <f t="shared" si="140"/>
        <v>17400</v>
      </c>
      <c r="N38" s="154">
        <f t="shared" si="140"/>
        <v>17513</v>
      </c>
      <c r="O38" s="154">
        <f t="shared" si="140"/>
        <v>17526</v>
      </c>
      <c r="P38" s="154">
        <f t="shared" si="140"/>
        <v>17439</v>
      </c>
      <c r="Q38" s="246"/>
      <c r="R38" s="189"/>
      <c r="S38" s="189"/>
      <c r="T38" s="189"/>
      <c r="U38" s="189"/>
      <c r="V38" s="189"/>
      <c r="W38" s="189"/>
      <c r="X38" s="189"/>
      <c r="Y38" s="189"/>
      <c r="Z38" s="189"/>
      <c r="AA38" s="189"/>
      <c r="AB38" s="189"/>
      <c r="AC38" s="189"/>
      <c r="AD38" s="189"/>
      <c r="AE38" s="189"/>
      <c r="AF38" s="189"/>
      <c r="AG38" s="189"/>
      <c r="AH38" s="189"/>
      <c r="AI38" s="189"/>
      <c r="AJ38" s="189"/>
      <c r="AK38" s="189"/>
      <c r="AL38" s="154"/>
      <c r="AM38" s="154"/>
      <c r="AN38" s="154"/>
      <c r="AO38" s="155">
        <v>5817</v>
      </c>
      <c r="AP38" s="155">
        <v>10411</v>
      </c>
      <c r="AQ38" s="155">
        <v>10082</v>
      </c>
      <c r="AR38" s="155">
        <v>10026</v>
      </c>
      <c r="AS38" s="155">
        <v>9965</v>
      </c>
      <c r="AT38" s="155">
        <v>10037</v>
      </c>
      <c r="AU38" s="155">
        <v>10438</v>
      </c>
      <c r="AV38" s="155">
        <v>10988</v>
      </c>
      <c r="AW38" s="155">
        <v>11548</v>
      </c>
      <c r="AX38" s="155">
        <v>12171</v>
      </c>
      <c r="AY38" s="155">
        <v>12633</v>
      </c>
      <c r="AZ38" s="155">
        <v>13035</v>
      </c>
      <c r="BA38" s="155">
        <v>13536</v>
      </c>
      <c r="BB38" s="155">
        <v>13844</v>
      </c>
      <c r="BC38" s="155">
        <v>14187</v>
      </c>
      <c r="BD38" s="155">
        <v>15136</v>
      </c>
      <c r="BE38" s="155">
        <v>15335</v>
      </c>
      <c r="BF38" s="154">
        <f t="shared" ref="BF38:BI38" si="141">+BF82</f>
        <v>15517</v>
      </c>
      <c r="BG38" s="154">
        <f t="shared" si="141"/>
        <v>15684</v>
      </c>
      <c r="BH38" s="154">
        <f t="shared" si="141"/>
        <v>15908</v>
      </c>
      <c r="BI38" s="154">
        <f t="shared" si="141"/>
        <v>15948</v>
      </c>
    </row>
    <row r="39" spans="2:61" s="236" customFormat="1">
      <c r="B39" s="154" t="s">
        <v>35</v>
      </c>
      <c r="C39" s="266"/>
      <c r="D39" s="154">
        <f>+AO39</f>
        <v>14029</v>
      </c>
      <c r="E39" s="154">
        <f>+AS39</f>
        <v>13844</v>
      </c>
      <c r="F39" s="154">
        <f>+AW39</f>
        <v>13690</v>
      </c>
      <c r="G39" s="154">
        <f>+BA39</f>
        <v>11884</v>
      </c>
      <c r="H39" s="154">
        <f>+BE39</f>
        <v>8794</v>
      </c>
      <c r="I39" s="154">
        <f>+BI39</f>
        <v>6948</v>
      </c>
      <c r="J39" s="154">
        <f>+J95</f>
        <v>8220</v>
      </c>
      <c r="K39" s="154">
        <f t="shared" ref="K39:P39" si="142">+K95</f>
        <v>8220</v>
      </c>
      <c r="L39" s="154">
        <f t="shared" si="142"/>
        <v>8220</v>
      </c>
      <c r="M39" s="154">
        <f t="shared" si="142"/>
        <v>8220</v>
      </c>
      <c r="N39" s="154">
        <f t="shared" si="142"/>
        <v>8220</v>
      </c>
      <c r="O39" s="154">
        <f t="shared" si="142"/>
        <v>8220</v>
      </c>
      <c r="P39" s="154">
        <f t="shared" si="142"/>
        <v>8220</v>
      </c>
      <c r="Q39" s="266"/>
      <c r="R39" s="163"/>
      <c r="S39" s="163"/>
      <c r="T39" s="163"/>
      <c r="U39" s="163"/>
      <c r="V39" s="163"/>
      <c r="W39" s="163"/>
      <c r="X39" s="163"/>
      <c r="Y39" s="163"/>
      <c r="Z39" s="163"/>
      <c r="AA39" s="163"/>
      <c r="AB39" s="163"/>
      <c r="AC39" s="163"/>
      <c r="AD39" s="163"/>
      <c r="AE39" s="163"/>
      <c r="AF39" s="163"/>
      <c r="AG39" s="163"/>
      <c r="AH39" s="163"/>
      <c r="AI39" s="163"/>
      <c r="AJ39" s="163"/>
      <c r="AK39" s="163"/>
      <c r="AL39" s="154"/>
      <c r="AM39" s="154"/>
      <c r="AN39" s="154"/>
      <c r="AO39" s="155">
        <v>14029</v>
      </c>
      <c r="AP39" s="155">
        <v>13886</v>
      </c>
      <c r="AQ39" s="155">
        <v>13747</v>
      </c>
      <c r="AR39" s="155">
        <v>13876</v>
      </c>
      <c r="AS39" s="155">
        <v>13844</v>
      </c>
      <c r="AT39" s="155">
        <v>13581</v>
      </c>
      <c r="AU39" s="155">
        <v>13487</v>
      </c>
      <c r="AV39" s="155">
        <v>13646</v>
      </c>
      <c r="AW39" s="155">
        <v>13690</v>
      </c>
      <c r="AX39" s="155">
        <v>13313</v>
      </c>
      <c r="AY39" s="155">
        <v>12869</v>
      </c>
      <c r="AZ39" s="155">
        <v>12566</v>
      </c>
      <c r="BA39" s="155">
        <v>11884</v>
      </c>
      <c r="BB39" s="155">
        <f>11510-BB40</f>
        <v>10568</v>
      </c>
      <c r="BC39" s="155">
        <f>11229-BC40</f>
        <v>10287</v>
      </c>
      <c r="BD39" s="155">
        <f>10289-BD40</f>
        <v>9347</v>
      </c>
      <c r="BE39" s="155">
        <f>9736-BE40</f>
        <v>8794</v>
      </c>
      <c r="BF39" s="154">
        <f t="shared" ref="BF39:BI39" si="143">+BF95</f>
        <v>8220</v>
      </c>
      <c r="BG39" s="154">
        <f t="shared" si="143"/>
        <v>7938</v>
      </c>
      <c r="BH39" s="154">
        <f t="shared" si="143"/>
        <v>7521</v>
      </c>
      <c r="BI39" s="154">
        <f t="shared" si="143"/>
        <v>6948</v>
      </c>
    </row>
    <row r="40" spans="2:61" s="236" customFormat="1">
      <c r="B40" s="154" t="s">
        <v>36</v>
      </c>
      <c r="C40" s="276"/>
      <c r="D40" s="154">
        <f>+AO40</f>
        <v>1567</v>
      </c>
      <c r="E40" s="154">
        <f>+AS40</f>
        <v>1024</v>
      </c>
      <c r="F40" s="154">
        <f>+AW40</f>
        <v>929</v>
      </c>
      <c r="G40" s="154">
        <f>+BA40</f>
        <v>942</v>
      </c>
      <c r="H40" s="154">
        <f>+BE40</f>
        <v>942</v>
      </c>
      <c r="I40" s="154">
        <f>+BI40</f>
        <v>942</v>
      </c>
      <c r="J40" s="154">
        <f>+J97</f>
        <v>942</v>
      </c>
      <c r="K40" s="154">
        <f t="shared" ref="K40:P40" si="144">+K97</f>
        <v>942</v>
      </c>
      <c r="L40" s="154">
        <f t="shared" si="144"/>
        <v>942</v>
      </c>
      <c r="M40" s="154">
        <f t="shared" si="144"/>
        <v>942</v>
      </c>
      <c r="N40" s="154">
        <f t="shared" si="144"/>
        <v>942</v>
      </c>
      <c r="O40" s="154">
        <f t="shared" si="144"/>
        <v>942</v>
      </c>
      <c r="P40" s="154">
        <f t="shared" si="144"/>
        <v>942</v>
      </c>
      <c r="Q40" s="276"/>
      <c r="R40" s="199"/>
      <c r="S40" s="199"/>
      <c r="T40" s="199"/>
      <c r="U40" s="199"/>
      <c r="V40" s="199"/>
      <c r="W40" s="199"/>
      <c r="X40" s="199"/>
      <c r="Y40" s="199"/>
      <c r="Z40" s="199"/>
      <c r="AA40" s="199"/>
      <c r="AB40" s="199"/>
      <c r="AC40" s="199"/>
      <c r="AD40" s="199"/>
      <c r="AE40" s="199"/>
      <c r="AF40" s="199"/>
      <c r="AG40" s="199"/>
      <c r="AH40" s="199"/>
      <c r="AI40" s="199"/>
      <c r="AJ40" s="199"/>
      <c r="AK40" s="199"/>
      <c r="AL40" s="154"/>
      <c r="AM40" s="154"/>
      <c r="AN40" s="154"/>
      <c r="AO40" s="155">
        <v>1567</v>
      </c>
      <c r="AP40" s="155">
        <v>1401</v>
      </c>
      <c r="AQ40" s="155">
        <v>1261</v>
      </c>
      <c r="AR40" s="155">
        <v>1153</v>
      </c>
      <c r="AS40" s="155">
        <v>1024</v>
      </c>
      <c r="AT40" s="155">
        <v>993</v>
      </c>
      <c r="AU40" s="155">
        <v>955</v>
      </c>
      <c r="AV40" s="155">
        <v>953</v>
      </c>
      <c r="AW40" s="155">
        <v>929</v>
      </c>
      <c r="AX40" s="155">
        <v>896</v>
      </c>
      <c r="AY40" s="155">
        <v>896</v>
      </c>
      <c r="AZ40" s="155">
        <v>936</v>
      </c>
      <c r="BA40" s="155">
        <v>942</v>
      </c>
      <c r="BB40" s="170">
        <f>+BA40</f>
        <v>942</v>
      </c>
      <c r="BC40" s="170">
        <f t="shared" ref="BC40:BE40" si="145">+BB40</f>
        <v>942</v>
      </c>
      <c r="BD40" s="170">
        <f t="shared" si="145"/>
        <v>942</v>
      </c>
      <c r="BE40" s="170">
        <f t="shared" si="145"/>
        <v>942</v>
      </c>
      <c r="BF40" s="154">
        <f t="shared" ref="BF40:BI40" si="146">+BF97</f>
        <v>942</v>
      </c>
      <c r="BG40" s="154">
        <f t="shared" si="146"/>
        <v>942</v>
      </c>
      <c r="BH40" s="154">
        <f t="shared" si="146"/>
        <v>942</v>
      </c>
      <c r="BI40" s="154">
        <f t="shared" si="146"/>
        <v>942</v>
      </c>
    </row>
    <row r="41" spans="2:61" s="236" customFormat="1" ht="15.75" thickBot="1">
      <c r="B41" s="156" t="s">
        <v>286</v>
      </c>
      <c r="C41" s="266"/>
      <c r="D41" s="169">
        <f t="shared" ref="D41:F41" si="147">SUM(D37:D40)</f>
        <v>53240</v>
      </c>
      <c r="E41" s="169">
        <f t="shared" si="147"/>
        <v>55443</v>
      </c>
      <c r="F41" s="169">
        <f t="shared" si="147"/>
        <v>54981</v>
      </c>
      <c r="G41" s="169">
        <f>SUM(G37:G40)</f>
        <v>53457</v>
      </c>
      <c r="H41" s="169">
        <f>SUM(H37:H40)</f>
        <v>51135</v>
      </c>
      <c r="I41" s="169">
        <f ca="1">SUM(I37:I40)</f>
        <v>50468.686264644712</v>
      </c>
      <c r="J41" s="169">
        <f ca="1">SUM(J37:J40)</f>
        <v>52521.873245908755</v>
      </c>
      <c r="K41" s="169">
        <f t="shared" ref="K41:P41" ca="1" si="148">SUM(K37:K40)</f>
        <v>52986.31368061369</v>
      </c>
      <c r="L41" s="169">
        <f t="shared" ca="1" si="148"/>
        <v>53207.771602836481</v>
      </c>
      <c r="M41" s="169">
        <f t="shared" ca="1" si="148"/>
        <v>53252.036934491553</v>
      </c>
      <c r="N41" s="169">
        <f t="shared" ca="1" si="148"/>
        <v>53177.072002965884</v>
      </c>
      <c r="O41" s="169">
        <f t="shared" ca="1" si="148"/>
        <v>53033.270036036804</v>
      </c>
      <c r="P41" s="169">
        <f t="shared" ca="1" si="148"/>
        <v>52863.80566340834</v>
      </c>
      <c r="Q41" s="266"/>
      <c r="R41" s="163"/>
      <c r="S41" s="163"/>
      <c r="T41" s="163"/>
      <c r="U41" s="163"/>
      <c r="V41" s="163"/>
      <c r="W41" s="163"/>
      <c r="X41" s="163"/>
      <c r="Y41" s="163"/>
      <c r="Z41" s="163"/>
      <c r="AA41" s="163"/>
      <c r="AB41" s="163"/>
      <c r="AC41" s="163"/>
      <c r="AD41" s="163"/>
      <c r="AE41" s="163"/>
      <c r="AF41" s="163"/>
      <c r="AG41" s="163"/>
      <c r="AH41" s="163"/>
      <c r="AI41" s="163"/>
      <c r="AJ41" s="163"/>
      <c r="AK41" s="163"/>
      <c r="AL41" s="156"/>
      <c r="AM41" s="156"/>
      <c r="AN41" s="156"/>
      <c r="AO41" s="169">
        <f>SUM(AO37:AO40)</f>
        <v>53240</v>
      </c>
      <c r="AP41" s="169">
        <f t="shared" ref="AP41:AV41" si="149">SUM(AP37:AP40)</f>
        <v>57143</v>
      </c>
      <c r="AQ41" s="169">
        <f t="shared" si="149"/>
        <v>56435</v>
      </c>
      <c r="AR41" s="169">
        <f t="shared" si="149"/>
        <v>56098</v>
      </c>
      <c r="AS41" s="169">
        <f t="shared" si="149"/>
        <v>55443</v>
      </c>
      <c r="AT41" s="169">
        <f t="shared" si="149"/>
        <v>54827</v>
      </c>
      <c r="AU41" s="169">
        <f t="shared" si="149"/>
        <v>54724</v>
      </c>
      <c r="AV41" s="169">
        <f t="shared" si="149"/>
        <v>54844</v>
      </c>
      <c r="AW41" s="169">
        <f t="shared" ref="AW41:BB41" si="150">SUM(AW37:AW40)</f>
        <v>54981</v>
      </c>
      <c r="AX41" s="169">
        <f t="shared" si="150"/>
        <v>54674</v>
      </c>
      <c r="AY41" s="169">
        <f t="shared" si="150"/>
        <v>54260</v>
      </c>
      <c r="AZ41" s="169">
        <f t="shared" si="150"/>
        <v>53911</v>
      </c>
      <c r="BA41" s="169">
        <f t="shared" si="150"/>
        <v>53457</v>
      </c>
      <c r="BB41" s="169">
        <f t="shared" si="150"/>
        <v>51864</v>
      </c>
      <c r="BC41" s="169">
        <f t="shared" ref="BC41:BD41" si="151">SUM(BC37:BC40)</f>
        <v>51706</v>
      </c>
      <c r="BD41" s="169">
        <f t="shared" si="151"/>
        <v>51428</v>
      </c>
      <c r="BE41" s="169">
        <f t="shared" ref="BE41" si="152">SUM(BE37:BE40)</f>
        <v>51135</v>
      </c>
      <c r="BF41" s="169">
        <f t="shared" ref="BF41:BI41" ca="1" si="153">SUM(BF37:BF40)</f>
        <v>50717.314079244912</v>
      </c>
      <c r="BG41" s="169">
        <f t="shared" ca="1" si="153"/>
        <v>50723.91282567117</v>
      </c>
      <c r="BH41" s="169">
        <f t="shared" ca="1" si="153"/>
        <v>50659.155627005704</v>
      </c>
      <c r="BI41" s="169">
        <f t="shared" ca="1" si="153"/>
        <v>50468.686264644712</v>
      </c>
    </row>
    <row r="42" spans="2:61" ht="15.75" thickTop="1">
      <c r="B42" s="161"/>
      <c r="C42" s="274"/>
      <c r="D42" s="161"/>
      <c r="E42" s="161"/>
      <c r="F42" s="161"/>
      <c r="G42" s="177"/>
      <c r="H42" s="177"/>
      <c r="I42" s="177"/>
      <c r="J42" s="161"/>
      <c r="K42" s="177"/>
      <c r="L42" s="177"/>
      <c r="M42" s="177"/>
      <c r="N42" s="177"/>
      <c r="O42" s="177"/>
      <c r="P42" s="177"/>
      <c r="Q42" s="274"/>
      <c r="R42" s="168"/>
      <c r="S42" s="168"/>
      <c r="T42" s="168"/>
      <c r="U42" s="168"/>
      <c r="V42" s="168"/>
      <c r="W42" s="168"/>
      <c r="X42" s="168"/>
      <c r="Y42" s="168"/>
      <c r="Z42" s="168"/>
      <c r="AA42" s="168"/>
      <c r="AB42" s="168"/>
      <c r="AC42" s="168"/>
      <c r="AD42" s="168"/>
      <c r="AE42" s="168"/>
      <c r="AF42" s="168"/>
      <c r="AG42" s="168"/>
      <c r="AH42" s="168"/>
      <c r="AI42" s="168"/>
      <c r="AJ42" s="168"/>
      <c r="AK42" s="168"/>
      <c r="AL42" s="161"/>
      <c r="AM42" s="161"/>
      <c r="AN42" s="161"/>
      <c r="AO42" s="161"/>
      <c r="AP42" s="161"/>
      <c r="AQ42" s="154"/>
      <c r="AR42" s="154"/>
      <c r="AS42" s="154"/>
      <c r="AT42" s="154"/>
      <c r="AU42" s="154"/>
      <c r="AV42" s="154"/>
      <c r="AW42" s="154"/>
      <c r="AX42" s="154"/>
      <c r="AY42" s="154"/>
      <c r="AZ42" s="154"/>
      <c r="BA42" s="154"/>
      <c r="BB42" s="154"/>
      <c r="BC42" s="154"/>
      <c r="BD42" s="154"/>
      <c r="BE42" s="154"/>
      <c r="BF42" s="177"/>
      <c r="BG42" s="177"/>
      <c r="BH42" s="177"/>
      <c r="BI42" s="177"/>
    </row>
    <row r="43" spans="2:61" s="236" customFormat="1">
      <c r="B43" s="154" t="s">
        <v>33</v>
      </c>
      <c r="C43" s="274"/>
      <c r="D43" s="154"/>
      <c r="E43" s="191">
        <f>SUM(AP43:AS43)</f>
        <v>1226</v>
      </c>
      <c r="F43" s="191">
        <f>SUM(AT43:AW43)</f>
        <v>463</v>
      </c>
      <c r="G43" s="191">
        <f>SUM(AX43:BA43)</f>
        <v>359</v>
      </c>
      <c r="H43" s="191">
        <f>SUM(BB43:BE43)</f>
        <v>447</v>
      </c>
      <c r="I43" s="191">
        <f ca="1">SUM(BF43:BI43)</f>
        <v>566.68626464471527</v>
      </c>
      <c r="J43" s="154">
        <f ca="1">+J60</f>
        <v>268.18698126403979</v>
      </c>
      <c r="K43" s="154">
        <f t="shared" ref="K43:P43" ca="1" si="154">+K60</f>
        <v>51.44043470493807</v>
      </c>
      <c r="L43" s="154">
        <f t="shared" ca="1" si="154"/>
        <v>-91.542077777209215</v>
      </c>
      <c r="M43" s="154">
        <f t="shared" ca="1" si="154"/>
        <v>-168.73466834493047</v>
      </c>
      <c r="N43" s="154">
        <f t="shared" ca="1" si="154"/>
        <v>-187.96493152567336</v>
      </c>
      <c r="O43" s="154">
        <f t="shared" ca="1" si="154"/>
        <v>-156.80196692907384</v>
      </c>
      <c r="P43" s="154">
        <f t="shared" ca="1" si="154"/>
        <v>-82.464372628463934</v>
      </c>
      <c r="Q43" s="274"/>
      <c r="R43" s="168"/>
      <c r="S43" s="168"/>
      <c r="T43" s="168"/>
      <c r="U43" s="168"/>
      <c r="V43" s="168"/>
      <c r="W43" s="168"/>
      <c r="X43" s="168"/>
      <c r="Y43" s="168"/>
      <c r="Z43" s="168"/>
      <c r="AA43" s="168"/>
      <c r="AB43" s="168"/>
      <c r="AC43" s="168"/>
      <c r="AD43" s="168"/>
      <c r="AE43" s="168"/>
      <c r="AF43" s="168"/>
      <c r="AG43" s="168"/>
      <c r="AH43" s="168"/>
      <c r="AI43" s="168"/>
      <c r="AJ43" s="168"/>
      <c r="AK43" s="168"/>
      <c r="AL43" s="154"/>
      <c r="AM43" s="154"/>
      <c r="AN43" s="154"/>
      <c r="AO43" s="155">
        <v>233</v>
      </c>
      <c r="AP43" s="155">
        <v>259</v>
      </c>
      <c r="AQ43" s="155">
        <v>439</v>
      </c>
      <c r="AR43" s="155">
        <v>240</v>
      </c>
      <c r="AS43" s="155">
        <v>288</v>
      </c>
      <c r="AT43" s="155">
        <v>144</v>
      </c>
      <c r="AU43" s="155">
        <v>122</v>
      </c>
      <c r="AV43" s="155">
        <v>23</v>
      </c>
      <c r="AW43" s="155">
        <v>174</v>
      </c>
      <c r="AX43" s="155">
        <v>-4</v>
      </c>
      <c r="AY43" s="155">
        <v>72</v>
      </c>
      <c r="AZ43" s="155">
        <v>21</v>
      </c>
      <c r="BA43" s="155">
        <v>270</v>
      </c>
      <c r="BB43" s="155">
        <v>-66</v>
      </c>
      <c r="BC43" s="155">
        <v>91</v>
      </c>
      <c r="BD43" s="155">
        <v>102</v>
      </c>
      <c r="BE43" s="155">
        <v>320</v>
      </c>
      <c r="BF43" s="154">
        <f t="shared" ref="BF43:BI43" ca="1" si="155">+BF60</f>
        <v>-25.685920755087864</v>
      </c>
      <c r="BG43" s="154">
        <f t="shared" ca="1" si="155"/>
        <v>121.598746426258</v>
      </c>
      <c r="BH43" s="154">
        <f t="shared" ca="1" si="155"/>
        <v>128.24280133453431</v>
      </c>
      <c r="BI43" s="154">
        <f t="shared" ca="1" si="155"/>
        <v>342.53063763901082</v>
      </c>
    </row>
    <row r="44" spans="2:61" s="236" customFormat="1">
      <c r="B44" s="154" t="s">
        <v>34</v>
      </c>
      <c r="C44" s="274"/>
      <c r="D44" s="154"/>
      <c r="E44" s="191">
        <f>SUM(AP44:AS44)</f>
        <v>-311</v>
      </c>
      <c r="F44" s="191">
        <f>SUM(AT44:AW44)</f>
        <v>1364</v>
      </c>
      <c r="G44" s="191">
        <f>SUM(AX44:BA44)</f>
        <v>1575</v>
      </c>
      <c r="H44" s="191">
        <f>SUM(BB44:BE44)</f>
        <v>1013</v>
      </c>
      <c r="I44" s="191">
        <f>SUM(BF44:BI44)</f>
        <v>613</v>
      </c>
      <c r="J44" s="154">
        <f>+J83</f>
        <v>513</v>
      </c>
      <c r="K44" s="154">
        <f t="shared" ref="K44:P44" si="156">+K83</f>
        <v>413</v>
      </c>
      <c r="L44" s="154">
        <f t="shared" si="156"/>
        <v>313</v>
      </c>
      <c r="M44" s="154">
        <f t="shared" si="156"/>
        <v>213</v>
      </c>
      <c r="N44" s="154">
        <f t="shared" si="156"/>
        <v>113</v>
      </c>
      <c r="O44" s="154">
        <f t="shared" si="156"/>
        <v>13</v>
      </c>
      <c r="P44" s="154">
        <f t="shared" si="156"/>
        <v>-87</v>
      </c>
      <c r="Q44" s="274"/>
      <c r="R44" s="168"/>
      <c r="S44" s="168"/>
      <c r="T44" s="168"/>
      <c r="U44" s="168"/>
      <c r="V44" s="168"/>
      <c r="W44" s="168"/>
      <c r="X44" s="168"/>
      <c r="Y44" s="168"/>
      <c r="Z44" s="168"/>
      <c r="AA44" s="168"/>
      <c r="AB44" s="168"/>
      <c r="AC44" s="168"/>
      <c r="AD44" s="168"/>
      <c r="AE44" s="168"/>
      <c r="AF44" s="168"/>
      <c r="AG44" s="168"/>
      <c r="AH44" s="168"/>
      <c r="AI44" s="168"/>
      <c r="AJ44" s="168"/>
      <c r="AK44" s="168"/>
      <c r="AL44" s="154"/>
      <c r="AM44" s="154"/>
      <c r="AN44" s="154"/>
      <c r="AO44" s="155">
        <v>73</v>
      </c>
      <c r="AP44" s="155">
        <v>88</v>
      </c>
      <c r="AQ44" s="155">
        <v>-286</v>
      </c>
      <c r="AR44" s="155">
        <v>-46</v>
      </c>
      <c r="AS44" s="155">
        <v>-67</v>
      </c>
      <c r="AT44" s="155">
        <v>98</v>
      </c>
      <c r="AU44" s="155">
        <v>331</v>
      </c>
      <c r="AV44" s="155">
        <v>466</v>
      </c>
      <c r="AW44" s="155">
        <v>469</v>
      </c>
      <c r="AX44" s="155">
        <v>500</v>
      </c>
      <c r="AY44" s="155">
        <v>365</v>
      </c>
      <c r="AZ44" s="155">
        <v>304</v>
      </c>
      <c r="BA44" s="155">
        <v>406</v>
      </c>
      <c r="BB44" s="155">
        <v>282</v>
      </c>
      <c r="BC44" s="155">
        <v>267</v>
      </c>
      <c r="BD44" s="155">
        <v>324</v>
      </c>
      <c r="BE44" s="155">
        <v>140</v>
      </c>
      <c r="BF44" s="154">
        <f t="shared" ref="BF44:BI44" si="157">+BF83</f>
        <v>182</v>
      </c>
      <c r="BG44" s="154">
        <f t="shared" si="157"/>
        <v>167</v>
      </c>
      <c r="BH44" s="154">
        <f t="shared" si="157"/>
        <v>224</v>
      </c>
      <c r="BI44" s="154">
        <f t="shared" si="157"/>
        <v>40</v>
      </c>
    </row>
    <row r="45" spans="2:61" s="236" customFormat="1">
      <c r="B45" s="154" t="s">
        <v>35</v>
      </c>
      <c r="C45" s="247"/>
      <c r="D45" s="154"/>
      <c r="E45" s="191">
        <f>SUM(AP45:AS45)</f>
        <v>-352</v>
      </c>
      <c r="F45" s="191">
        <f>SUM(AT45:AW45)</f>
        <v>-168</v>
      </c>
      <c r="G45" s="191">
        <f>SUM(AX45:BA45)</f>
        <v>-1813</v>
      </c>
      <c r="H45" s="191">
        <f>SUM(BB45:BE45)</f>
        <v>-1846</v>
      </c>
      <c r="I45" s="191">
        <f>SUM(BF45:BI45)</f>
        <v>-1846</v>
      </c>
      <c r="J45" s="154">
        <f>+J96</f>
        <v>0</v>
      </c>
      <c r="K45" s="154">
        <f t="shared" ref="K45:P45" si="158">+K96</f>
        <v>0</v>
      </c>
      <c r="L45" s="154">
        <f t="shared" si="158"/>
        <v>0</v>
      </c>
      <c r="M45" s="154">
        <f t="shared" si="158"/>
        <v>0</v>
      </c>
      <c r="N45" s="154">
        <f t="shared" si="158"/>
        <v>0</v>
      </c>
      <c r="O45" s="154">
        <f t="shared" si="158"/>
        <v>0</v>
      </c>
      <c r="P45" s="154">
        <f t="shared" si="158"/>
        <v>0</v>
      </c>
      <c r="Q45" s="247"/>
      <c r="R45" s="167"/>
      <c r="S45" s="167"/>
      <c r="T45" s="167"/>
      <c r="U45" s="167"/>
      <c r="V45" s="167"/>
      <c r="W45" s="167"/>
      <c r="X45" s="167"/>
      <c r="Y45" s="167"/>
      <c r="Z45" s="167"/>
      <c r="AA45" s="167"/>
      <c r="AB45" s="167"/>
      <c r="AC45" s="167"/>
      <c r="AD45" s="167"/>
      <c r="AE45" s="167"/>
      <c r="AF45" s="167"/>
      <c r="AG45" s="167"/>
      <c r="AH45" s="167"/>
      <c r="AI45" s="167"/>
      <c r="AJ45" s="167"/>
      <c r="AK45" s="167"/>
      <c r="AL45" s="154"/>
      <c r="AM45" s="154"/>
      <c r="AN45" s="154"/>
      <c r="AO45" s="155">
        <v>-124</v>
      </c>
      <c r="AP45" s="155">
        <v>-206</v>
      </c>
      <c r="AQ45" s="155">
        <v>-171</v>
      </c>
      <c r="AR45" s="155">
        <v>91</v>
      </c>
      <c r="AS45" s="155">
        <v>-66</v>
      </c>
      <c r="AT45" s="155">
        <v>-269</v>
      </c>
      <c r="AU45" s="155">
        <v>-98</v>
      </c>
      <c r="AV45" s="155">
        <v>149</v>
      </c>
      <c r="AW45" s="155">
        <v>50</v>
      </c>
      <c r="AX45" s="155">
        <v>-378</v>
      </c>
      <c r="AY45" s="155">
        <v>-446</v>
      </c>
      <c r="AZ45" s="155">
        <v>-316</v>
      </c>
      <c r="BA45" s="155">
        <v>-673</v>
      </c>
      <c r="BB45" s="155">
        <f>-569-BB46</f>
        <v>-574</v>
      </c>
      <c r="BC45" s="155">
        <f>-277-BC46</f>
        <v>-282</v>
      </c>
      <c r="BD45" s="155">
        <f>-412-BD46</f>
        <v>-417</v>
      </c>
      <c r="BE45" s="155">
        <f>-568-BE46</f>
        <v>-573</v>
      </c>
      <c r="BF45" s="154">
        <f t="shared" ref="BF45:BI45" si="159">+BF96</f>
        <v>-574</v>
      </c>
      <c r="BG45" s="154">
        <f t="shared" si="159"/>
        <v>-282</v>
      </c>
      <c r="BH45" s="154">
        <f t="shared" si="159"/>
        <v>-417</v>
      </c>
      <c r="BI45" s="154">
        <f t="shared" si="159"/>
        <v>-573</v>
      </c>
    </row>
    <row r="46" spans="2:61" s="236" customFormat="1">
      <c r="B46" s="154" t="s">
        <v>36</v>
      </c>
      <c r="C46" s="266"/>
      <c r="D46" s="154"/>
      <c r="E46" s="191">
        <f>SUM(AP46:AS46)</f>
        <v>-465</v>
      </c>
      <c r="F46" s="191">
        <f>SUM(AT46:AW46)</f>
        <v>-131</v>
      </c>
      <c r="G46" s="191">
        <f>SUM(AX46:BA46)</f>
        <v>19</v>
      </c>
      <c r="H46" s="191">
        <f>SUM(BB46:BE46)</f>
        <v>20</v>
      </c>
      <c r="I46" s="191">
        <f>SUM(BF46:BI46)</f>
        <v>0</v>
      </c>
      <c r="J46" s="154">
        <f>+J98</f>
        <v>0</v>
      </c>
      <c r="K46" s="154">
        <f t="shared" ref="K46:P46" si="160">+K98</f>
        <v>0</v>
      </c>
      <c r="L46" s="154">
        <f t="shared" si="160"/>
        <v>0</v>
      </c>
      <c r="M46" s="154">
        <f t="shared" si="160"/>
        <v>0</v>
      </c>
      <c r="N46" s="154">
        <f t="shared" si="160"/>
        <v>0</v>
      </c>
      <c r="O46" s="154">
        <f t="shared" si="160"/>
        <v>0</v>
      </c>
      <c r="P46" s="154">
        <f t="shared" si="160"/>
        <v>0</v>
      </c>
      <c r="Q46" s="266"/>
      <c r="R46" s="163"/>
      <c r="S46" s="163"/>
      <c r="T46" s="163"/>
      <c r="U46" s="163"/>
      <c r="V46" s="163"/>
      <c r="W46" s="163"/>
      <c r="X46" s="163"/>
      <c r="Y46" s="163"/>
      <c r="Z46" s="163"/>
      <c r="AA46" s="163"/>
      <c r="AB46" s="163"/>
      <c r="AC46" s="163"/>
      <c r="AD46" s="163"/>
      <c r="AE46" s="163"/>
      <c r="AF46" s="163"/>
      <c r="AG46" s="163"/>
      <c r="AH46" s="163"/>
      <c r="AI46" s="163"/>
      <c r="AJ46" s="163"/>
      <c r="AK46" s="163"/>
      <c r="AL46" s="154"/>
      <c r="AM46" s="154"/>
      <c r="AN46" s="154"/>
      <c r="AO46" s="155">
        <v>-105</v>
      </c>
      <c r="AP46" s="155">
        <v>-138</v>
      </c>
      <c r="AQ46" s="155">
        <v>-119</v>
      </c>
      <c r="AR46" s="155">
        <v>-94</v>
      </c>
      <c r="AS46" s="155">
        <v>-114</v>
      </c>
      <c r="AT46" s="155">
        <v>-79</v>
      </c>
      <c r="AU46" s="155">
        <v>-30</v>
      </c>
      <c r="AV46" s="155">
        <v>0</v>
      </c>
      <c r="AW46" s="155">
        <v>-22</v>
      </c>
      <c r="AX46" s="155">
        <v>-26</v>
      </c>
      <c r="AY46" s="155">
        <v>-1</v>
      </c>
      <c r="AZ46" s="155">
        <v>41</v>
      </c>
      <c r="BA46" s="155">
        <v>5</v>
      </c>
      <c r="BB46" s="155">
        <f>+BA46</f>
        <v>5</v>
      </c>
      <c r="BC46" s="155">
        <f t="shared" ref="BC46:BE46" si="161">+BB46</f>
        <v>5</v>
      </c>
      <c r="BD46" s="155">
        <f t="shared" si="161"/>
        <v>5</v>
      </c>
      <c r="BE46" s="155">
        <f t="shared" si="161"/>
        <v>5</v>
      </c>
      <c r="BF46" s="154">
        <f t="shared" ref="BF46:BI46" si="162">+BF98</f>
        <v>0</v>
      </c>
      <c r="BG46" s="154">
        <f t="shared" si="162"/>
        <v>0</v>
      </c>
      <c r="BH46" s="154">
        <f t="shared" si="162"/>
        <v>0</v>
      </c>
      <c r="BI46" s="154">
        <f t="shared" si="162"/>
        <v>0</v>
      </c>
    </row>
    <row r="47" spans="2:61" s="236" customFormat="1" ht="15.75" thickBot="1">
      <c r="B47" s="156" t="s">
        <v>289</v>
      </c>
      <c r="C47" s="274"/>
      <c r="D47" s="156"/>
      <c r="E47" s="169">
        <f t="shared" ref="E47:J47" si="163">SUM(E43:E46)</f>
        <v>98</v>
      </c>
      <c r="F47" s="169">
        <f t="shared" si="163"/>
        <v>1528</v>
      </c>
      <c r="G47" s="169">
        <f>SUM(G43:G46)</f>
        <v>140</v>
      </c>
      <c r="H47" s="169">
        <f>SUM(H43:H46)</f>
        <v>-366</v>
      </c>
      <c r="I47" s="169">
        <f ca="1">SUM(I43:I46)</f>
        <v>-666.31373535528473</v>
      </c>
      <c r="J47" s="169">
        <f t="shared" ca="1" si="163"/>
        <v>781.18698126403979</v>
      </c>
      <c r="K47" s="169">
        <f t="shared" ref="K47:P47" ca="1" si="164">SUM(K43:K46)</f>
        <v>464.44043470493807</v>
      </c>
      <c r="L47" s="169">
        <f t="shared" ca="1" si="164"/>
        <v>221.45792222279078</v>
      </c>
      <c r="M47" s="169">
        <f t="shared" ca="1" si="164"/>
        <v>44.265331655069531</v>
      </c>
      <c r="N47" s="169">
        <f t="shared" ca="1" si="164"/>
        <v>-74.964931525673364</v>
      </c>
      <c r="O47" s="169">
        <f t="shared" ca="1" si="164"/>
        <v>-143.80196692907384</v>
      </c>
      <c r="P47" s="169">
        <f t="shared" ca="1" si="164"/>
        <v>-169.46437262846393</v>
      </c>
      <c r="Q47" s="274"/>
      <c r="R47" s="168"/>
      <c r="S47" s="168"/>
      <c r="T47" s="168"/>
      <c r="U47" s="168"/>
      <c r="V47" s="168"/>
      <c r="W47" s="168"/>
      <c r="X47" s="168"/>
      <c r="Y47" s="168"/>
      <c r="Z47" s="168"/>
      <c r="AA47" s="168"/>
      <c r="AB47" s="168"/>
      <c r="AC47" s="168"/>
      <c r="AD47" s="168"/>
      <c r="AE47" s="168"/>
      <c r="AF47" s="168"/>
      <c r="AG47" s="168"/>
      <c r="AH47" s="168"/>
      <c r="AI47" s="168"/>
      <c r="AJ47" s="168"/>
      <c r="AK47" s="168"/>
      <c r="AL47" s="156"/>
      <c r="AM47" s="156"/>
      <c r="AN47" s="156"/>
      <c r="AO47" s="169">
        <f>SUM(AO43:AO46)</f>
        <v>77</v>
      </c>
      <c r="AP47" s="169">
        <f t="shared" ref="AP47:AV47" si="165">SUM(AP43:AP46)</f>
        <v>3</v>
      </c>
      <c r="AQ47" s="169">
        <f t="shared" si="165"/>
        <v>-137</v>
      </c>
      <c r="AR47" s="169">
        <f t="shared" si="165"/>
        <v>191</v>
      </c>
      <c r="AS47" s="169">
        <f t="shared" si="165"/>
        <v>41</v>
      </c>
      <c r="AT47" s="169">
        <f t="shared" si="165"/>
        <v>-106</v>
      </c>
      <c r="AU47" s="169">
        <f t="shared" si="165"/>
        <v>325</v>
      </c>
      <c r="AV47" s="169">
        <f t="shared" si="165"/>
        <v>638</v>
      </c>
      <c r="AW47" s="169">
        <f t="shared" ref="AW47:BB47" si="166">SUM(AW43:AW46)</f>
        <v>671</v>
      </c>
      <c r="AX47" s="169">
        <f t="shared" si="166"/>
        <v>92</v>
      </c>
      <c r="AY47" s="169">
        <f t="shared" si="166"/>
        <v>-10</v>
      </c>
      <c r="AZ47" s="169">
        <f t="shared" si="166"/>
        <v>50</v>
      </c>
      <c r="BA47" s="169">
        <f t="shared" si="166"/>
        <v>8</v>
      </c>
      <c r="BB47" s="169">
        <f t="shared" si="166"/>
        <v>-353</v>
      </c>
      <c r="BC47" s="169">
        <f t="shared" ref="BC47:BD47" si="167">SUM(BC43:BC46)</f>
        <v>81</v>
      </c>
      <c r="BD47" s="169">
        <f t="shared" si="167"/>
        <v>14</v>
      </c>
      <c r="BE47" s="169">
        <f t="shared" ref="BE47" si="168">SUM(BE43:BE46)</f>
        <v>-108</v>
      </c>
      <c r="BF47" s="169">
        <f t="shared" ref="BF47:BI47" ca="1" si="169">SUM(BF43:BF46)</f>
        <v>-417.68592075508786</v>
      </c>
      <c r="BG47" s="169">
        <f t="shared" ca="1" si="169"/>
        <v>6.5987464262580033</v>
      </c>
      <c r="BH47" s="169">
        <f t="shared" ca="1" si="169"/>
        <v>-64.757198665465694</v>
      </c>
      <c r="BI47" s="169">
        <f t="shared" ca="1" si="169"/>
        <v>-190.46936236098918</v>
      </c>
    </row>
    <row r="48" spans="2:61" ht="16.5" thickTop="1" thickBot="1">
      <c r="B48" s="161"/>
      <c r="C48" s="274"/>
      <c r="D48" s="161"/>
      <c r="E48" s="161"/>
      <c r="F48" s="161"/>
      <c r="G48" s="177"/>
      <c r="H48" s="177"/>
      <c r="I48" s="177"/>
      <c r="J48" s="161"/>
      <c r="K48" s="177"/>
      <c r="L48" s="177"/>
      <c r="M48" s="177"/>
      <c r="N48" s="177"/>
      <c r="O48" s="177"/>
      <c r="P48" s="177"/>
      <c r="Q48" s="274"/>
      <c r="R48" s="168"/>
      <c r="S48" s="168"/>
      <c r="T48" s="168"/>
      <c r="U48" s="168"/>
      <c r="V48" s="168"/>
      <c r="W48" s="168"/>
      <c r="X48" s="168"/>
      <c r="Y48" s="168"/>
      <c r="Z48" s="168"/>
      <c r="AA48" s="168"/>
      <c r="AB48" s="168"/>
      <c r="AC48" s="168"/>
      <c r="AD48" s="168"/>
      <c r="AE48" s="168"/>
      <c r="AF48" s="168"/>
      <c r="AG48" s="168"/>
      <c r="AH48" s="168"/>
      <c r="AI48" s="168"/>
      <c r="AJ48" s="168"/>
      <c r="AK48" s="168"/>
      <c r="AL48" s="161"/>
      <c r="AM48" s="161"/>
      <c r="AN48" s="161"/>
      <c r="AO48" s="161"/>
      <c r="AP48" s="161"/>
      <c r="AQ48" s="161"/>
      <c r="AR48" s="161"/>
      <c r="AS48" s="161"/>
      <c r="AT48" s="161"/>
      <c r="AU48" s="161"/>
      <c r="AV48" s="161"/>
      <c r="AW48" s="177"/>
      <c r="AX48" s="177"/>
      <c r="AY48" s="177"/>
      <c r="AZ48" s="177"/>
      <c r="BA48" s="177"/>
      <c r="BB48" s="177"/>
      <c r="BC48" s="177"/>
      <c r="BD48" s="177"/>
      <c r="BE48" s="177"/>
      <c r="BF48" s="177"/>
      <c r="BG48" s="177"/>
      <c r="BH48" s="177"/>
      <c r="BI48" s="177"/>
    </row>
    <row r="49" spans="2:63" s="251" customFormat="1" ht="15.75" thickBot="1">
      <c r="B49" s="194" t="s">
        <v>316</v>
      </c>
      <c r="C49" s="276"/>
      <c r="D49" s="195">
        <f>+D$6</f>
        <v>2013</v>
      </c>
      <c r="E49" s="196">
        <f t="shared" ref="E49:P49" si="170">+E$6</f>
        <v>2014</v>
      </c>
      <c r="F49" s="196">
        <f t="shared" si="170"/>
        <v>2015</v>
      </c>
      <c r="G49" s="196">
        <f t="shared" si="170"/>
        <v>2016</v>
      </c>
      <c r="H49" s="196">
        <f t="shared" si="170"/>
        <v>2017</v>
      </c>
      <c r="I49" s="196" t="str">
        <f t="shared" si="170"/>
        <v>2018E</v>
      </c>
      <c r="J49" s="196" t="str">
        <f t="shared" si="170"/>
        <v>2019E</v>
      </c>
      <c r="K49" s="196" t="str">
        <f t="shared" si="170"/>
        <v>2020E</v>
      </c>
      <c r="L49" s="196" t="str">
        <f t="shared" si="170"/>
        <v>2021E</v>
      </c>
      <c r="M49" s="196" t="str">
        <f t="shared" si="170"/>
        <v>2022E</v>
      </c>
      <c r="N49" s="196" t="str">
        <f t="shared" si="170"/>
        <v>2023E</v>
      </c>
      <c r="O49" s="196" t="str">
        <f t="shared" si="170"/>
        <v>2024E</v>
      </c>
      <c r="P49" s="197" t="str">
        <f t="shared" si="170"/>
        <v>2025E</v>
      </c>
      <c r="Q49" s="241"/>
      <c r="R49" s="196"/>
      <c r="S49" s="196"/>
      <c r="T49" s="196"/>
      <c r="U49" s="196"/>
      <c r="V49" s="196"/>
      <c r="W49" s="196"/>
      <c r="X49" s="196"/>
      <c r="Y49" s="196"/>
      <c r="Z49" s="196"/>
      <c r="AA49" s="196"/>
      <c r="AB49" s="196"/>
      <c r="AC49" s="196"/>
      <c r="AD49" s="196"/>
      <c r="AE49" s="196"/>
      <c r="AF49" s="196"/>
      <c r="AG49" s="196"/>
      <c r="AH49" s="196"/>
      <c r="AI49" s="196"/>
      <c r="AJ49" s="196"/>
      <c r="AK49" s="196"/>
      <c r="AL49" s="196" t="s">
        <v>248</v>
      </c>
      <c r="AM49" s="196" t="s">
        <v>249</v>
      </c>
      <c r="AN49" s="196" t="s">
        <v>250</v>
      </c>
      <c r="AO49" s="196" t="s">
        <v>251</v>
      </c>
      <c r="AP49" s="196" t="str">
        <f>+AP6</f>
        <v>1Q14</v>
      </c>
      <c r="AQ49" s="196" t="str">
        <f>+AQ6</f>
        <v>2Q14</v>
      </c>
      <c r="AR49" s="196" t="str">
        <f>+AR6</f>
        <v>3Q14</v>
      </c>
      <c r="AS49" s="196" t="str">
        <f>+AS6</f>
        <v>4Q14</v>
      </c>
      <c r="AT49" s="196" t="str">
        <f>+AT$6</f>
        <v>1Q15</v>
      </c>
      <c r="AU49" s="196" t="str">
        <f t="shared" ref="AU49:BI49" si="171">+AU$6</f>
        <v>2Q15</v>
      </c>
      <c r="AV49" s="196" t="str">
        <f t="shared" si="171"/>
        <v>3Q15</v>
      </c>
      <c r="AW49" s="196" t="str">
        <f t="shared" si="171"/>
        <v>4Q15</v>
      </c>
      <c r="AX49" s="196" t="str">
        <f t="shared" si="171"/>
        <v>1Q16</v>
      </c>
      <c r="AY49" s="196" t="str">
        <f t="shared" si="171"/>
        <v>2Q16</v>
      </c>
      <c r="AZ49" s="196" t="str">
        <f t="shared" si="171"/>
        <v>3Q16</v>
      </c>
      <c r="BA49" s="196" t="str">
        <f t="shared" si="171"/>
        <v>4Q16</v>
      </c>
      <c r="BB49" s="196" t="str">
        <f t="shared" si="171"/>
        <v>1Q17</v>
      </c>
      <c r="BC49" s="196" t="str">
        <f t="shared" si="171"/>
        <v>2Q17</v>
      </c>
      <c r="BD49" s="196" t="str">
        <f t="shared" si="171"/>
        <v>3Q17</v>
      </c>
      <c r="BE49" s="196" t="str">
        <f t="shared" si="171"/>
        <v>4Q17</v>
      </c>
      <c r="BF49" s="196" t="str">
        <f t="shared" si="171"/>
        <v>1Q18E</v>
      </c>
      <c r="BG49" s="196" t="str">
        <f t="shared" si="171"/>
        <v>2Q18E</v>
      </c>
      <c r="BH49" s="196" t="str">
        <f t="shared" si="171"/>
        <v>3Q18E</v>
      </c>
      <c r="BI49" s="197" t="str">
        <f t="shared" si="171"/>
        <v>4Q18E</v>
      </c>
    </row>
    <row r="50" spans="2:63">
      <c r="C50" s="274"/>
      <c r="F50" s="236"/>
      <c r="G50" s="236"/>
      <c r="H50" s="236"/>
      <c r="I50" s="236"/>
      <c r="J50" s="236"/>
      <c r="K50" s="236"/>
      <c r="L50" s="236"/>
      <c r="M50" s="236"/>
      <c r="N50" s="236"/>
      <c r="O50" s="236"/>
      <c r="P50" s="236"/>
      <c r="Q50" s="274"/>
      <c r="R50" s="274"/>
      <c r="S50" s="274"/>
      <c r="T50" s="274"/>
      <c r="U50" s="274"/>
      <c r="V50" s="274"/>
      <c r="W50" s="274"/>
      <c r="X50" s="274"/>
      <c r="Y50" s="274"/>
      <c r="Z50" s="274"/>
      <c r="AA50" s="274"/>
      <c r="AB50" s="274"/>
      <c r="AC50" s="274"/>
      <c r="AD50" s="274"/>
      <c r="AE50" s="274"/>
      <c r="AF50" s="274"/>
      <c r="AG50" s="274"/>
      <c r="AH50" s="274"/>
      <c r="AI50" s="274"/>
      <c r="AJ50" s="274"/>
      <c r="AK50" s="274"/>
    </row>
    <row r="51" spans="2:63" s="240" customFormat="1">
      <c r="B51" s="240" t="s">
        <v>179</v>
      </c>
      <c r="C51" s="247"/>
      <c r="E51" s="252">
        <f>SUM(AP51:AS51)</f>
        <v>24282</v>
      </c>
      <c r="F51" s="252">
        <f>SUM(AT51:AW51)</f>
        <v>22030</v>
      </c>
      <c r="G51" s="252">
        <f>SUM(AX51:BA51)</f>
        <v>20000</v>
      </c>
      <c r="H51" s="252">
        <f>SUM(BB51:BE51)</f>
        <v>18517</v>
      </c>
      <c r="I51" s="252">
        <f ca="1">SUM(BF51:BI51)</f>
        <v>18205.856922001938</v>
      </c>
      <c r="J51" s="339">
        <f ca="1">J54*AVERAGE(I59:J59)*12/1000</f>
        <v>18494.303138128675</v>
      </c>
      <c r="K51" s="339">
        <f t="shared" ref="K51:P51" ca="1" si="172">K54*AVERAGE(J59:K59)*12/1000</f>
        <v>18604.733456932652</v>
      </c>
      <c r="L51" s="339">
        <f t="shared" ca="1" si="172"/>
        <v>18590.878458869956</v>
      </c>
      <c r="M51" s="339">
        <f t="shared" ca="1" si="172"/>
        <v>18500.953619461558</v>
      </c>
      <c r="N51" s="339">
        <f t="shared" ca="1" si="172"/>
        <v>18377.714971701804</v>
      </c>
      <c r="O51" s="339">
        <f t="shared" ca="1" si="172"/>
        <v>18258.599036687294</v>
      </c>
      <c r="P51" s="339">
        <f t="shared" ca="1" si="172"/>
        <v>18175.933230075243</v>
      </c>
      <c r="Q51" s="247"/>
      <c r="R51" s="247"/>
      <c r="S51" s="247"/>
      <c r="T51" s="247"/>
      <c r="U51" s="247"/>
      <c r="V51" s="247"/>
      <c r="W51" s="247"/>
      <c r="X51" s="247"/>
      <c r="Y51" s="247"/>
      <c r="Z51" s="247"/>
      <c r="AA51" s="247"/>
      <c r="AB51" s="247"/>
      <c r="AC51" s="247"/>
      <c r="AD51" s="247"/>
      <c r="AE51" s="247"/>
      <c r="AF51" s="247"/>
      <c r="AG51" s="247"/>
      <c r="AH51" s="247"/>
      <c r="AI51" s="247"/>
      <c r="AJ51" s="247"/>
      <c r="AK51" s="247"/>
      <c r="AN51" s="252"/>
      <c r="AO51" s="252">
        <f>+AO8</f>
        <v>6737</v>
      </c>
      <c r="AP51" s="252">
        <f>+AP8</f>
        <v>6418</v>
      </c>
      <c r="AQ51" s="252">
        <f t="shared" ref="AQ51:AV51" si="173">+AQ8</f>
        <v>6001</v>
      </c>
      <c r="AR51" s="252">
        <f t="shared" si="173"/>
        <v>6071</v>
      </c>
      <c r="AS51" s="252">
        <f>+AS8</f>
        <v>5792</v>
      </c>
      <c r="AT51" s="252">
        <f t="shared" si="173"/>
        <v>5620</v>
      </c>
      <c r="AU51" s="252">
        <f t="shared" si="173"/>
        <v>5636</v>
      </c>
      <c r="AV51" s="252">
        <f t="shared" si="173"/>
        <v>5527</v>
      </c>
      <c r="AW51" s="252">
        <f t="shared" ref="AW51:BB51" si="174">+AW8</f>
        <v>5247</v>
      </c>
      <c r="AX51" s="252">
        <f t="shared" si="174"/>
        <v>5059</v>
      </c>
      <c r="AY51" s="252">
        <f t="shared" si="174"/>
        <v>5064</v>
      </c>
      <c r="AZ51" s="252">
        <f t="shared" si="174"/>
        <v>5030</v>
      </c>
      <c r="BA51" s="252">
        <f t="shared" si="174"/>
        <v>4847</v>
      </c>
      <c r="BB51" s="252">
        <f t="shared" si="174"/>
        <v>4725</v>
      </c>
      <c r="BC51" s="252">
        <f t="shared" ref="BC51:BD51" si="175">+BC8</f>
        <v>4644</v>
      </c>
      <c r="BD51" s="252">
        <f t="shared" si="175"/>
        <v>4623</v>
      </c>
      <c r="BE51" s="252">
        <f t="shared" ref="BE51" si="176">+BE8</f>
        <v>4525</v>
      </c>
      <c r="BF51" s="339">
        <f t="shared" ref="BF51" ca="1" si="177">BF54*AVERAGE(BE59:BF59)*3/1000</f>
        <v>4526.505980236393</v>
      </c>
      <c r="BG51" s="339">
        <f t="shared" ref="BG51" ca="1" si="178">BG54*AVERAGE(BF59:BG59)*3/1000</f>
        <v>4533.2726763579576</v>
      </c>
      <c r="BH51" s="339">
        <f t="shared" ref="BH51" ca="1" si="179">BH54*AVERAGE(BG59:BH59)*3/1000</f>
        <v>4553.3972866912154</v>
      </c>
      <c r="BI51" s="339">
        <f t="shared" ref="BI51" ca="1" si="180">BI54*AVERAGE(BH59:BI59)*3/1000</f>
        <v>4592.6809787163729</v>
      </c>
      <c r="BK51" s="236"/>
    </row>
    <row r="52" spans="2:63" s="248" customFormat="1">
      <c r="B52" s="282" t="s">
        <v>252</v>
      </c>
      <c r="C52" s="319"/>
      <c r="F52" s="248">
        <f>+F51/E51-1</f>
        <v>-9.2743596079400414E-2</v>
      </c>
      <c r="G52" s="248">
        <f>+G51/F51-1</f>
        <v>-9.2147072174307731E-2</v>
      </c>
      <c r="H52" s="248">
        <f>+H51/G51-1</f>
        <v>-7.4150000000000049E-2</v>
      </c>
      <c r="I52" s="248">
        <f ca="1">+I51/H51-1</f>
        <v>-1.680310406642882E-2</v>
      </c>
      <c r="J52" s="248">
        <f ca="1">+J51/I51-1</f>
        <v>1.5843594584012521E-2</v>
      </c>
      <c r="K52" s="248">
        <f t="shared" ref="K52:P52" ca="1" si="181">+K51/J51-1</f>
        <v>5.971045136397235E-3</v>
      </c>
      <c r="L52" s="248">
        <f t="shared" ca="1" si="181"/>
        <v>-7.4470285181826856E-4</v>
      </c>
      <c r="M52" s="248">
        <f t="shared" ca="1" si="181"/>
        <v>-4.8370408965529021E-3</v>
      </c>
      <c r="N52" s="248">
        <f t="shared" ca="1" si="181"/>
        <v>-6.6612051624256319E-3</v>
      </c>
      <c r="O52" s="248">
        <f t="shared" ca="1" si="181"/>
        <v>-6.4815421937888251E-3</v>
      </c>
      <c r="P52" s="248">
        <f t="shared" ca="1" si="181"/>
        <v>-4.5274999711615305E-3</v>
      </c>
      <c r="Q52" s="319"/>
      <c r="R52" s="319"/>
      <c r="S52" s="319"/>
      <c r="T52" s="319"/>
      <c r="U52" s="319"/>
      <c r="V52" s="319"/>
      <c r="W52" s="319"/>
      <c r="X52" s="319"/>
      <c r="Y52" s="319"/>
      <c r="Z52" s="319"/>
      <c r="AA52" s="319"/>
      <c r="AB52" s="319"/>
      <c r="AC52" s="319"/>
      <c r="AD52" s="319"/>
      <c r="AE52" s="319"/>
      <c r="AF52" s="319"/>
      <c r="AG52" s="319"/>
      <c r="AH52" s="319"/>
      <c r="AI52" s="319"/>
      <c r="AJ52" s="319"/>
      <c r="AK52" s="319"/>
      <c r="AS52" s="283">
        <f t="shared" ref="AS52:BE52" si="182">+AS51/AO51-1</f>
        <v>-0.14027014991836129</v>
      </c>
      <c r="AT52" s="283">
        <f t="shared" si="182"/>
        <v>-0.12433779993767524</v>
      </c>
      <c r="AU52" s="283">
        <f t="shared" si="182"/>
        <v>-6.0823196133977686E-2</v>
      </c>
      <c r="AV52" s="283">
        <f t="shared" si="182"/>
        <v>-8.9606325152363664E-2</v>
      </c>
      <c r="AW52" s="283">
        <f t="shared" si="182"/>
        <v>-9.4095303867403279E-2</v>
      </c>
      <c r="AX52" s="283">
        <f t="shared" si="182"/>
        <v>-9.9822064056939497E-2</v>
      </c>
      <c r="AY52" s="283">
        <f t="shared" si="182"/>
        <v>-0.10149041873669273</v>
      </c>
      <c r="AZ52" s="283">
        <f t="shared" si="182"/>
        <v>-8.9922200108558004E-2</v>
      </c>
      <c r="BA52" s="283">
        <f t="shared" si="182"/>
        <v>-7.6234038498189438E-2</v>
      </c>
      <c r="BB52" s="283">
        <f t="shared" si="182"/>
        <v>-6.6020952757462004E-2</v>
      </c>
      <c r="BC52" s="283">
        <f t="shared" si="182"/>
        <v>-8.2938388625592441E-2</v>
      </c>
      <c r="BD52" s="283">
        <f t="shared" si="182"/>
        <v>-8.0914512922465209E-2</v>
      </c>
      <c r="BE52" s="283">
        <f t="shared" si="182"/>
        <v>-6.6432845058799206E-2</v>
      </c>
      <c r="BF52" s="283">
        <f t="shared" ref="BF52" ca="1" si="183">+BF51/BB51-1</f>
        <v>-4.2009316352086157E-2</v>
      </c>
      <c r="BG52" s="283">
        <f t="shared" ref="BG52" ca="1" si="184">+BG51/BC51-1</f>
        <v>-2.3843092946176259E-2</v>
      </c>
      <c r="BH52" s="283">
        <f t="shared" ref="BH52" ca="1" si="185">+BH51/BD51-1</f>
        <v>-1.505574590283032E-2</v>
      </c>
      <c r="BI52" s="283">
        <f t="shared" ref="BI52" ca="1" si="186">+BI51/BE51-1</f>
        <v>1.495712236825919E-2</v>
      </c>
    </row>
    <row r="53" spans="2:63">
      <c r="C53" s="274"/>
      <c r="Q53" s="274"/>
      <c r="R53" s="274"/>
      <c r="S53" s="274"/>
      <c r="T53" s="274"/>
      <c r="U53" s="274"/>
      <c r="V53" s="274"/>
      <c r="W53" s="274"/>
      <c r="X53" s="274"/>
      <c r="Y53" s="274"/>
      <c r="Z53" s="274"/>
      <c r="AA53" s="274"/>
      <c r="AB53" s="274"/>
      <c r="AC53" s="274"/>
      <c r="AD53" s="274"/>
      <c r="AE53" s="274"/>
      <c r="AF53" s="274"/>
      <c r="AG53" s="274"/>
      <c r="AH53" s="274"/>
      <c r="AI53" s="274"/>
      <c r="AJ53" s="274"/>
      <c r="AK53" s="274"/>
    </row>
    <row r="54" spans="2:63" s="240" customFormat="1">
      <c r="B54" s="301" t="s">
        <v>40</v>
      </c>
      <c r="C54" s="247"/>
      <c r="E54" s="301">
        <f>+E51/AVERAGE(D59:E59)/12*1000</f>
        <v>64.81733587456155</v>
      </c>
      <c r="F54" s="301">
        <f>+F51/AVERAGE(E59:F59)/12*1000</f>
        <v>61.787605456830015</v>
      </c>
      <c r="G54" s="301">
        <f>+G51/AVERAGE(F59:G59)/12*1000</f>
        <v>59.620693150178568</v>
      </c>
      <c r="H54" s="301">
        <f>+H51/AVERAGE(G59:H59)/12*1000</f>
        <v>58.055393567724494</v>
      </c>
      <c r="I54" s="301">
        <f ca="1">+I51/AVERAGE(H59:I59)/12*1000</f>
        <v>57.582836185062945</v>
      </c>
      <c r="J54" s="253">
        <f ca="1">+I54*(1+J55)</f>
        <v>57.582836185062945</v>
      </c>
      <c r="K54" s="253">
        <f t="shared" ref="K54:P54" ca="1" si="187">+J54*(1+K55)</f>
        <v>57.582836185062945</v>
      </c>
      <c r="L54" s="253">
        <f t="shared" ca="1" si="187"/>
        <v>57.582836185062945</v>
      </c>
      <c r="M54" s="253">
        <f t="shared" ca="1" si="187"/>
        <v>57.582836185062945</v>
      </c>
      <c r="N54" s="253">
        <f t="shared" ca="1" si="187"/>
        <v>57.582836185062945</v>
      </c>
      <c r="O54" s="253">
        <f t="shared" ca="1" si="187"/>
        <v>57.582836185062945</v>
      </c>
      <c r="P54" s="253">
        <f t="shared" ca="1" si="187"/>
        <v>57.582836185062945</v>
      </c>
      <c r="Q54" s="247"/>
      <c r="R54" s="247"/>
      <c r="S54" s="247"/>
      <c r="T54" s="247"/>
      <c r="U54" s="247"/>
      <c r="V54" s="247"/>
      <c r="W54" s="247"/>
      <c r="X54" s="247"/>
      <c r="Y54" s="247"/>
      <c r="Z54" s="247"/>
      <c r="AA54" s="247"/>
      <c r="AB54" s="247"/>
      <c r="AC54" s="247"/>
      <c r="AD54" s="247"/>
      <c r="AE54" s="247"/>
      <c r="AF54" s="247"/>
      <c r="AG54" s="247"/>
      <c r="AH54" s="247"/>
      <c r="AI54" s="247"/>
      <c r="AJ54" s="247"/>
      <c r="AK54" s="247"/>
      <c r="AO54" s="301">
        <f>+AO51/AVERAGE(AN59:AO59)/3*1000</f>
        <v>70.558540442601142</v>
      </c>
      <c r="AP54" s="301">
        <f>+AP51/AVERAGE(AO59:AP59)/3*1000</f>
        <v>67.623382644244955</v>
      </c>
      <c r="AQ54" s="301">
        <f t="shared" ref="AQ54:BE54" si="188">+AQ51/AVERAGE(AP59:AQ59)/3*1000</f>
        <v>63.715028932420246</v>
      </c>
      <c r="AR54" s="301">
        <f t="shared" si="188"/>
        <v>64.873586800880517</v>
      </c>
      <c r="AS54" s="301">
        <f t="shared" si="188"/>
        <v>62.630096399742641</v>
      </c>
      <c r="AT54" s="301">
        <f t="shared" si="188"/>
        <v>61.596466423349668</v>
      </c>
      <c r="AU54" s="301">
        <f t="shared" si="188"/>
        <v>62.55966255966257</v>
      </c>
      <c r="AV54" s="301">
        <f t="shared" si="188"/>
        <v>62.345250785378695</v>
      </c>
      <c r="AW54" s="301">
        <f t="shared" si="188"/>
        <v>60.236606912228133</v>
      </c>
      <c r="AX54" s="301">
        <f t="shared" si="188"/>
        <v>59.057691858700473</v>
      </c>
      <c r="AY54" s="301">
        <f t="shared" si="188"/>
        <v>60.118242040031333</v>
      </c>
      <c r="AZ54" s="301">
        <f t="shared" si="188"/>
        <v>60.709199314456761</v>
      </c>
      <c r="BA54" s="301">
        <f t="shared" si="188"/>
        <v>59.324263954420559</v>
      </c>
      <c r="BB54" s="301">
        <f t="shared" si="188"/>
        <v>58.763175076951782</v>
      </c>
      <c r="BC54" s="301">
        <f t="shared" si="188"/>
        <v>58.636363636363633</v>
      </c>
      <c r="BD54" s="301">
        <f t="shared" si="188"/>
        <v>58.937142638594068</v>
      </c>
      <c r="BE54" s="301">
        <f t="shared" si="188"/>
        <v>57.938169409926957</v>
      </c>
      <c r="BF54" s="253">
        <f t="shared" ref="BF54" si="189">+BE54+BF56</f>
        <v>57.918169409926954</v>
      </c>
      <c r="BG54" s="253">
        <f t="shared" ref="BG54" si="190">+BF54+BG56</f>
        <v>57.89816940992695</v>
      </c>
      <c r="BH54" s="253">
        <f t="shared" ref="BH54" si="191">+BG54+BH56</f>
        <v>57.878169409926947</v>
      </c>
      <c r="BI54" s="253">
        <f t="shared" ref="BI54" si="192">+BH54+BI56</f>
        <v>57.858169409926944</v>
      </c>
      <c r="BK54" s="293"/>
    </row>
    <row r="55" spans="2:63" s="248" customFormat="1">
      <c r="B55" s="282" t="s">
        <v>252</v>
      </c>
      <c r="C55" s="319"/>
      <c r="F55" s="248">
        <f>+F54/E54-1</f>
        <v>-4.6742594042971097E-2</v>
      </c>
      <c r="G55" s="248">
        <f>+G54/F54-1</f>
        <v>-3.5070339603392342E-2</v>
      </c>
      <c r="H55" s="248">
        <f>+H54/G54-1</f>
        <v>-2.6254300306627454E-2</v>
      </c>
      <c r="I55" s="248">
        <f ca="1">+I54/H54-1</f>
        <v>-8.1397671020916329E-3</v>
      </c>
      <c r="J55" s="210">
        <v>0</v>
      </c>
      <c r="K55" s="210">
        <v>0</v>
      </c>
      <c r="L55" s="210">
        <v>0</v>
      </c>
      <c r="M55" s="210">
        <v>0</v>
      </c>
      <c r="N55" s="210">
        <v>0</v>
      </c>
      <c r="O55" s="210">
        <v>0</v>
      </c>
      <c r="P55" s="210">
        <v>0</v>
      </c>
      <c r="Q55" s="319"/>
      <c r="R55" s="164"/>
      <c r="S55" s="164"/>
      <c r="T55" s="164"/>
      <c r="U55" s="164"/>
      <c r="V55" s="164"/>
      <c r="W55" s="164"/>
      <c r="X55" s="164"/>
      <c r="Y55" s="164"/>
      <c r="Z55" s="164"/>
      <c r="AA55" s="164"/>
      <c r="AB55" s="164"/>
      <c r="AC55" s="164"/>
      <c r="AD55" s="164"/>
      <c r="AE55" s="164"/>
      <c r="AF55" s="164"/>
      <c r="AG55" s="164"/>
      <c r="AH55" s="164"/>
      <c r="AI55" s="164"/>
      <c r="AJ55" s="164"/>
      <c r="AK55" s="164"/>
      <c r="AL55" s="159"/>
      <c r="AM55" s="159"/>
      <c r="AN55" s="159"/>
      <c r="AO55" s="159"/>
      <c r="AS55" s="283">
        <f t="shared" ref="AS55:BE55" si="193">+AS54/AO54-1</f>
        <v>-0.11236689411550727</v>
      </c>
      <c r="AT55" s="283">
        <f t="shared" si="193"/>
        <v>-8.9124737409275512E-2</v>
      </c>
      <c r="AU55" s="283">
        <f t="shared" si="193"/>
        <v>-1.8133341412794768E-2</v>
      </c>
      <c r="AV55" s="283">
        <f t="shared" si="193"/>
        <v>-3.8973273102073991E-2</v>
      </c>
      <c r="AW55" s="283">
        <f t="shared" si="193"/>
        <v>-3.8216282986981653E-2</v>
      </c>
      <c r="AX55" s="283">
        <f t="shared" si="193"/>
        <v>-4.121623710036082E-2</v>
      </c>
      <c r="AY55" s="283">
        <f t="shared" si="193"/>
        <v>-3.9025474558832207E-2</v>
      </c>
      <c r="AZ55" s="283">
        <f t="shared" si="193"/>
        <v>-2.6241797896586871E-2</v>
      </c>
      <c r="BA55" s="283">
        <f t="shared" si="193"/>
        <v>-1.5145988537119348E-2</v>
      </c>
      <c r="BB55" s="283">
        <f t="shared" si="193"/>
        <v>-4.9869334963740242E-3</v>
      </c>
      <c r="BC55" s="283">
        <f t="shared" si="193"/>
        <v>-2.464939681171896E-2</v>
      </c>
      <c r="BD55" s="283">
        <f t="shared" si="193"/>
        <v>-2.9189261197202332E-2</v>
      </c>
      <c r="BE55" s="283">
        <f t="shared" si="193"/>
        <v>-2.3364715414902593E-2</v>
      </c>
      <c r="BF55" s="283">
        <f t="shared" ref="BF55" si="194">+BF54/BB54-1</f>
        <v>-1.4379850406624151E-2</v>
      </c>
      <c r="BG55" s="283">
        <f t="shared" ref="BG55" si="195">+BG54/BC54-1</f>
        <v>-1.2589358900470526E-2</v>
      </c>
      <c r="BH55" s="283">
        <f t="shared" ref="BH55" si="196">+BH54/BD54-1</f>
        <v>-1.7967841351943514E-2</v>
      </c>
      <c r="BI55" s="283">
        <f t="shared" ref="BI55" si="197">+BI54/BE54-1</f>
        <v>-1.3807823204422531E-3</v>
      </c>
    </row>
    <row r="56" spans="2:63" s="331" customFormat="1">
      <c r="B56" s="316" t="s">
        <v>342</v>
      </c>
      <c r="C56" s="332"/>
      <c r="J56" s="227"/>
      <c r="K56" s="227"/>
      <c r="L56" s="227"/>
      <c r="M56" s="227"/>
      <c r="N56" s="227"/>
      <c r="O56" s="227"/>
      <c r="P56" s="227"/>
      <c r="Q56" s="332"/>
      <c r="R56" s="226"/>
      <c r="S56" s="226"/>
      <c r="T56" s="226"/>
      <c r="U56" s="226"/>
      <c r="V56" s="226"/>
      <c r="W56" s="226"/>
      <c r="X56" s="226"/>
      <c r="Y56" s="226"/>
      <c r="Z56" s="226"/>
      <c r="AA56" s="226"/>
      <c r="AB56" s="226"/>
      <c r="AC56" s="226"/>
      <c r="AD56" s="226"/>
      <c r="AE56" s="226"/>
      <c r="AF56" s="226"/>
      <c r="AG56" s="226"/>
      <c r="AH56" s="226"/>
      <c r="AI56" s="226"/>
      <c r="AJ56" s="226"/>
      <c r="AK56" s="226"/>
      <c r="AL56" s="227"/>
      <c r="AM56" s="227"/>
      <c r="AN56" s="227"/>
      <c r="AO56" s="227"/>
      <c r="AP56" s="303">
        <f t="shared" ref="AP56:BE56" si="198">+AP54-AO54</f>
        <v>-2.9351577983561867</v>
      </c>
      <c r="AQ56" s="303">
        <f t="shared" si="198"/>
        <v>-3.9083537118247094</v>
      </c>
      <c r="AR56" s="303">
        <f t="shared" si="198"/>
        <v>1.1585578684602709</v>
      </c>
      <c r="AS56" s="303">
        <f t="shared" si="198"/>
        <v>-2.2434904011378762</v>
      </c>
      <c r="AT56" s="303">
        <f t="shared" si="198"/>
        <v>-1.033629976392973</v>
      </c>
      <c r="AU56" s="303">
        <f t="shared" si="198"/>
        <v>0.96319613631290224</v>
      </c>
      <c r="AV56" s="303">
        <f t="shared" si="198"/>
        <v>-0.21441177428387448</v>
      </c>
      <c r="AW56" s="303">
        <f t="shared" si="198"/>
        <v>-2.1086438731505623</v>
      </c>
      <c r="AX56" s="303">
        <f t="shared" si="198"/>
        <v>-1.1789150535276605</v>
      </c>
      <c r="AY56" s="303">
        <f t="shared" si="198"/>
        <v>1.0605501813308607</v>
      </c>
      <c r="AZ56" s="303">
        <f t="shared" si="198"/>
        <v>0.59095727442542767</v>
      </c>
      <c r="BA56" s="303">
        <f t="shared" si="198"/>
        <v>-1.3849353600362022</v>
      </c>
      <c r="BB56" s="303">
        <f t="shared" si="198"/>
        <v>-0.56108887746877656</v>
      </c>
      <c r="BC56" s="303">
        <f t="shared" si="198"/>
        <v>-0.12681144058814908</v>
      </c>
      <c r="BD56" s="303">
        <f t="shared" si="198"/>
        <v>0.30077900223043486</v>
      </c>
      <c r="BE56" s="303">
        <f t="shared" si="198"/>
        <v>-0.99897322866711136</v>
      </c>
      <c r="BF56" s="213">
        <v>-0.02</v>
      </c>
      <c r="BG56" s="213">
        <v>-0.02</v>
      </c>
      <c r="BH56" s="213">
        <v>-0.02</v>
      </c>
      <c r="BI56" s="213">
        <v>-0.02</v>
      </c>
    </row>
    <row r="57" spans="2:63" s="331" customFormat="1">
      <c r="B57" s="316" t="s">
        <v>343</v>
      </c>
      <c r="C57" s="332"/>
      <c r="F57" s="303">
        <f>+F54-E54</f>
        <v>-3.0297304177315354</v>
      </c>
      <c r="G57" s="303">
        <f>+G54-F54</f>
        <v>-2.1669123066514473</v>
      </c>
      <c r="H57" s="303">
        <f>+H54-G54</f>
        <v>-1.5652995824540739</v>
      </c>
      <c r="I57" s="303">
        <f ca="1">+I54-H54</f>
        <v>-0.47255738266154879</v>
      </c>
      <c r="J57" s="214">
        <f ca="1">+J54-I54</f>
        <v>0</v>
      </c>
      <c r="K57" s="214">
        <f t="shared" ref="K57:P57" ca="1" si="199">+K54-J54</f>
        <v>0</v>
      </c>
      <c r="L57" s="214">
        <f t="shared" ca="1" si="199"/>
        <v>0</v>
      </c>
      <c r="M57" s="214">
        <f t="shared" ca="1" si="199"/>
        <v>0</v>
      </c>
      <c r="N57" s="214">
        <f t="shared" ca="1" si="199"/>
        <v>0</v>
      </c>
      <c r="O57" s="214">
        <f t="shared" ca="1" si="199"/>
        <v>0</v>
      </c>
      <c r="P57" s="214">
        <f t="shared" ca="1" si="199"/>
        <v>0</v>
      </c>
      <c r="Q57" s="332"/>
      <c r="R57" s="226"/>
      <c r="S57" s="226"/>
      <c r="T57" s="226"/>
      <c r="U57" s="226"/>
      <c r="V57" s="226"/>
      <c r="W57" s="226"/>
      <c r="X57" s="226"/>
      <c r="Y57" s="226"/>
      <c r="Z57" s="226"/>
      <c r="AA57" s="226"/>
      <c r="AB57" s="226"/>
      <c r="AC57" s="226"/>
      <c r="AD57" s="226"/>
      <c r="AE57" s="226"/>
      <c r="AF57" s="226"/>
      <c r="AG57" s="226"/>
      <c r="AH57" s="226"/>
      <c r="AI57" s="226"/>
      <c r="AJ57" s="226"/>
      <c r="AK57" s="226"/>
      <c r="AL57" s="227"/>
      <c r="AM57" s="227"/>
      <c r="AN57" s="227"/>
      <c r="AO57" s="227"/>
      <c r="AT57" s="303">
        <f t="shared" ref="AT57:BE57" si="200">+AT54-AP54</f>
        <v>-6.0269162208952878</v>
      </c>
      <c r="AU57" s="303">
        <f t="shared" si="200"/>
        <v>-1.1553663727576762</v>
      </c>
      <c r="AV57" s="303">
        <f t="shared" si="200"/>
        <v>-2.5283360155018215</v>
      </c>
      <c r="AW57" s="303">
        <f t="shared" si="200"/>
        <v>-2.3934894875145076</v>
      </c>
      <c r="AX57" s="303">
        <f t="shared" si="200"/>
        <v>-2.538774564649195</v>
      </c>
      <c r="AY57" s="303">
        <f t="shared" si="200"/>
        <v>-2.4414205196312366</v>
      </c>
      <c r="AZ57" s="303">
        <f t="shared" si="200"/>
        <v>-1.6360514709219345</v>
      </c>
      <c r="BA57" s="303">
        <f t="shared" si="200"/>
        <v>-0.91234295780757435</v>
      </c>
      <c r="BB57" s="303">
        <f t="shared" si="200"/>
        <v>-0.29451678174869045</v>
      </c>
      <c r="BC57" s="303">
        <f t="shared" si="200"/>
        <v>-1.4818784036677002</v>
      </c>
      <c r="BD57" s="303">
        <f t="shared" si="200"/>
        <v>-1.772056675862693</v>
      </c>
      <c r="BE57" s="303">
        <f t="shared" si="200"/>
        <v>-1.3860945444936021</v>
      </c>
      <c r="BF57" s="303">
        <f t="shared" ref="BF57" si="201">+BF54-BB54</f>
        <v>-0.84500566702482871</v>
      </c>
      <c r="BG57" s="303">
        <f t="shared" ref="BG57" si="202">+BG54-BC54</f>
        <v>-0.73819422643668275</v>
      </c>
      <c r="BH57" s="303">
        <f t="shared" ref="BH57" si="203">+BH54-BD54</f>
        <v>-1.0589732286671207</v>
      </c>
      <c r="BI57" s="303">
        <f t="shared" ref="BI57" si="204">+BI54-BE54</f>
        <v>-8.0000000000012506E-2</v>
      </c>
    </row>
    <row r="58" spans="2:63">
      <c r="C58" s="274"/>
      <c r="J58" s="161"/>
      <c r="K58" s="177"/>
      <c r="L58" s="177"/>
      <c r="M58" s="177"/>
      <c r="N58" s="177"/>
      <c r="O58" s="177"/>
      <c r="P58" s="177"/>
      <c r="Q58" s="274"/>
      <c r="R58" s="168"/>
      <c r="S58" s="168"/>
      <c r="T58" s="168"/>
      <c r="U58" s="168"/>
      <c r="V58" s="168"/>
      <c r="W58" s="168"/>
      <c r="X58" s="168"/>
      <c r="Y58" s="168"/>
      <c r="Z58" s="168"/>
      <c r="AA58" s="168"/>
      <c r="AB58" s="168"/>
      <c r="AC58" s="168"/>
      <c r="AD58" s="168"/>
      <c r="AE58" s="168"/>
      <c r="AF58" s="168"/>
      <c r="AG58" s="168"/>
      <c r="AH58" s="168"/>
      <c r="AI58" s="168"/>
      <c r="AJ58" s="168"/>
      <c r="AK58" s="168"/>
      <c r="AL58" s="161"/>
      <c r="AM58" s="161"/>
      <c r="AN58" s="161"/>
      <c r="AO58" s="161"/>
    </row>
    <row r="59" spans="2:63">
      <c r="B59" s="235" t="s">
        <v>2</v>
      </c>
      <c r="C59" s="274"/>
      <c r="D59" s="236">
        <f>+AO59</f>
        <v>31827</v>
      </c>
      <c r="E59" s="236">
        <f>+AS59</f>
        <v>30610</v>
      </c>
      <c r="F59" s="236">
        <f>+AW59</f>
        <v>28814</v>
      </c>
      <c r="G59" s="236">
        <f>+BA59</f>
        <v>27095</v>
      </c>
      <c r="H59" s="236">
        <f>+BE59</f>
        <v>26064</v>
      </c>
      <c r="I59" s="236">
        <f ca="1">+BI59</f>
        <v>26630.686264644715</v>
      </c>
      <c r="J59" s="154">
        <f ca="1">+I59+J62-J67</f>
        <v>26898.873245908755</v>
      </c>
      <c r="K59" s="154">
        <f t="shared" ref="K59:P59" ca="1" si="205">+J59+K62-K67</f>
        <v>26950.313680613694</v>
      </c>
      <c r="L59" s="154">
        <f t="shared" ca="1" si="205"/>
        <v>26858.771602836485</v>
      </c>
      <c r="M59" s="154">
        <f t="shared" ca="1" si="205"/>
        <v>26690.036934491553</v>
      </c>
      <c r="N59" s="154">
        <f t="shared" ca="1" si="205"/>
        <v>26502.072002965881</v>
      </c>
      <c r="O59" s="154">
        <f t="shared" ca="1" si="205"/>
        <v>26345.270036036807</v>
      </c>
      <c r="P59" s="154">
        <f t="shared" ca="1" si="205"/>
        <v>26262.80566340834</v>
      </c>
      <c r="Q59" s="274"/>
      <c r="R59" s="168"/>
      <c r="S59" s="168"/>
      <c r="T59" s="168"/>
      <c r="U59" s="168"/>
      <c r="V59" s="168"/>
      <c r="W59" s="168"/>
      <c r="X59" s="168"/>
      <c r="Y59" s="168"/>
      <c r="Z59" s="168"/>
      <c r="AA59" s="168"/>
      <c r="AB59" s="168"/>
      <c r="AC59" s="168"/>
      <c r="AD59" s="168"/>
      <c r="AE59" s="168"/>
      <c r="AF59" s="168"/>
      <c r="AG59" s="168"/>
      <c r="AH59" s="168"/>
      <c r="AI59" s="168"/>
      <c r="AJ59" s="168"/>
      <c r="AK59" s="168"/>
      <c r="AL59" s="161"/>
      <c r="AM59" s="161"/>
      <c r="AN59" s="161"/>
      <c r="AO59" s="154">
        <f>+AO37</f>
        <v>31827</v>
      </c>
      <c r="AP59" s="236">
        <f>+AP37</f>
        <v>31445</v>
      </c>
      <c r="AQ59" s="236">
        <f t="shared" ref="AQ59:AV59" si="206">+AQ37</f>
        <v>31345</v>
      </c>
      <c r="AR59" s="236">
        <f t="shared" si="206"/>
        <v>31043</v>
      </c>
      <c r="AS59" s="236">
        <f t="shared" si="206"/>
        <v>30610</v>
      </c>
      <c r="AT59" s="236">
        <f t="shared" si="206"/>
        <v>30216</v>
      </c>
      <c r="AU59" s="236">
        <f t="shared" si="206"/>
        <v>29844</v>
      </c>
      <c r="AV59" s="236">
        <f t="shared" si="206"/>
        <v>29257</v>
      </c>
      <c r="AW59" s="236">
        <f t="shared" ref="AW59:BB59" si="207">+AW37</f>
        <v>28814</v>
      </c>
      <c r="AX59" s="236">
        <f t="shared" si="207"/>
        <v>28294</v>
      </c>
      <c r="AY59" s="236">
        <f t="shared" si="207"/>
        <v>27862</v>
      </c>
      <c r="AZ59" s="236">
        <f t="shared" si="207"/>
        <v>27374</v>
      </c>
      <c r="BA59" s="236">
        <f t="shared" si="207"/>
        <v>27095</v>
      </c>
      <c r="BB59" s="236">
        <f t="shared" si="207"/>
        <v>26510</v>
      </c>
      <c r="BC59" s="236">
        <f t="shared" ref="BC59:BD59" si="208">+BC37</f>
        <v>26290</v>
      </c>
      <c r="BD59" s="236">
        <f t="shared" si="208"/>
        <v>26003</v>
      </c>
      <c r="BE59" s="236">
        <f t="shared" ref="BE59" si="209">+BE37</f>
        <v>26064</v>
      </c>
      <c r="BF59" s="236">
        <f t="shared" ref="BF59" ca="1" si="210">+BE59+BF62-BF67</f>
        <v>26038.314079244912</v>
      </c>
      <c r="BG59" s="236">
        <f t="shared" ref="BG59" ca="1" si="211">+BF59+BG62-BG67</f>
        <v>26159.91282567117</v>
      </c>
      <c r="BH59" s="236">
        <f t="shared" ref="BH59" ca="1" si="212">+BG59+BH62-BH67</f>
        <v>26288.155627005704</v>
      </c>
      <c r="BI59" s="236">
        <f t="shared" ref="BI59" ca="1" si="213">+BH59+BI62-BI67</f>
        <v>26630.686264644715</v>
      </c>
      <c r="BK59" s="236"/>
    </row>
    <row r="60" spans="2:63" s="252" customFormat="1">
      <c r="B60" s="296" t="s">
        <v>117</v>
      </c>
      <c r="C60" s="247"/>
      <c r="E60" s="252">
        <f>SUM(AP60:AS60)</f>
        <v>1226</v>
      </c>
      <c r="F60" s="252">
        <f>SUM(AT60:AW60)</f>
        <v>463</v>
      </c>
      <c r="G60" s="252">
        <f>SUM(AX60:BA60)</f>
        <v>359</v>
      </c>
      <c r="H60" s="252">
        <f>SUM(BB60:BE60)</f>
        <v>447</v>
      </c>
      <c r="I60" s="252">
        <f ca="1">SUM(BF60:BI60)</f>
        <v>566.68626464471527</v>
      </c>
      <c r="J60" s="157">
        <f ca="1">+J62-J67</f>
        <v>268.18698126403979</v>
      </c>
      <c r="K60" s="157">
        <f t="shared" ref="K60:P60" ca="1" si="214">+K62-K67</f>
        <v>51.44043470493807</v>
      </c>
      <c r="L60" s="157">
        <f t="shared" ca="1" si="214"/>
        <v>-91.542077777209215</v>
      </c>
      <c r="M60" s="157">
        <f t="shared" ca="1" si="214"/>
        <v>-168.73466834493047</v>
      </c>
      <c r="N60" s="157">
        <f t="shared" ca="1" si="214"/>
        <v>-187.96493152567336</v>
      </c>
      <c r="O60" s="157">
        <f t="shared" ca="1" si="214"/>
        <v>-156.80196692907384</v>
      </c>
      <c r="P60" s="157">
        <f t="shared" ca="1" si="214"/>
        <v>-82.464372628463934</v>
      </c>
      <c r="Q60" s="247"/>
      <c r="R60" s="167"/>
      <c r="S60" s="167"/>
      <c r="T60" s="167"/>
      <c r="U60" s="167"/>
      <c r="V60" s="167"/>
      <c r="W60" s="167"/>
      <c r="X60" s="167"/>
      <c r="Y60" s="167"/>
      <c r="Z60" s="167"/>
      <c r="AA60" s="167"/>
      <c r="AB60" s="167"/>
      <c r="AC60" s="167"/>
      <c r="AD60" s="167"/>
      <c r="AE60" s="167"/>
      <c r="AF60" s="167"/>
      <c r="AG60" s="167"/>
      <c r="AH60" s="167"/>
      <c r="AI60" s="167"/>
      <c r="AJ60" s="167"/>
      <c r="AK60" s="167"/>
      <c r="AL60" s="157"/>
      <c r="AM60" s="157"/>
      <c r="AN60" s="157"/>
      <c r="AO60" s="157">
        <f>+AO43</f>
        <v>233</v>
      </c>
      <c r="AP60" s="252">
        <f>+AP43</f>
        <v>259</v>
      </c>
      <c r="AQ60" s="252">
        <f t="shared" ref="AQ60:AV60" si="215">+AQ43</f>
        <v>439</v>
      </c>
      <c r="AR60" s="252">
        <f t="shared" si="215"/>
        <v>240</v>
      </c>
      <c r="AS60" s="252">
        <f t="shared" si="215"/>
        <v>288</v>
      </c>
      <c r="AT60" s="252">
        <f t="shared" si="215"/>
        <v>144</v>
      </c>
      <c r="AU60" s="252">
        <f t="shared" si="215"/>
        <v>122</v>
      </c>
      <c r="AV60" s="252">
        <f t="shared" si="215"/>
        <v>23</v>
      </c>
      <c r="AW60" s="252">
        <f t="shared" ref="AW60:BB60" si="216">+AW43</f>
        <v>174</v>
      </c>
      <c r="AX60" s="252">
        <f t="shared" si="216"/>
        <v>-4</v>
      </c>
      <c r="AY60" s="252">
        <f t="shared" si="216"/>
        <v>72</v>
      </c>
      <c r="AZ60" s="252">
        <f t="shared" si="216"/>
        <v>21</v>
      </c>
      <c r="BA60" s="252">
        <f t="shared" si="216"/>
        <v>270</v>
      </c>
      <c r="BB60" s="252">
        <f t="shared" si="216"/>
        <v>-66</v>
      </c>
      <c r="BC60" s="252">
        <f t="shared" ref="BC60:BD60" si="217">+BC43</f>
        <v>91</v>
      </c>
      <c r="BD60" s="252">
        <f t="shared" si="217"/>
        <v>102</v>
      </c>
      <c r="BE60" s="252">
        <f t="shared" ref="BE60" si="218">+BE43</f>
        <v>320</v>
      </c>
      <c r="BF60" s="252">
        <f t="shared" ref="BF60" ca="1" si="219">+BF59-BE59</f>
        <v>-25.685920755087864</v>
      </c>
      <c r="BG60" s="252">
        <f t="shared" ref="BG60" ca="1" si="220">+BG59-BF59</f>
        <v>121.598746426258</v>
      </c>
      <c r="BH60" s="252">
        <f t="shared" ref="BH60" ca="1" si="221">+BH59-BG59</f>
        <v>128.24280133453431</v>
      </c>
      <c r="BI60" s="252">
        <f t="shared" ref="BI60" ca="1" si="222">+BI59-BH59</f>
        <v>342.53063763901082</v>
      </c>
      <c r="BK60" s="236"/>
    </row>
    <row r="61" spans="2:63">
      <c r="C61" s="274"/>
      <c r="J61" s="161"/>
      <c r="K61" s="177"/>
      <c r="L61" s="177"/>
      <c r="M61" s="177"/>
      <c r="N61" s="177"/>
      <c r="O61" s="177"/>
      <c r="P61" s="177"/>
      <c r="Q61" s="274"/>
      <c r="R61" s="168"/>
      <c r="S61" s="168"/>
      <c r="T61" s="168"/>
      <c r="U61" s="168"/>
      <c r="V61" s="168"/>
      <c r="W61" s="168"/>
      <c r="X61" s="168"/>
      <c r="Y61" s="168"/>
      <c r="Z61" s="168"/>
      <c r="AA61" s="168"/>
      <c r="AB61" s="168"/>
      <c r="AC61" s="168"/>
      <c r="AD61" s="168"/>
      <c r="AE61" s="168"/>
      <c r="AF61" s="168"/>
      <c r="AG61" s="168"/>
      <c r="AH61" s="168"/>
      <c r="AI61" s="168"/>
      <c r="AJ61" s="168"/>
      <c r="AK61" s="168"/>
      <c r="AL61" s="161"/>
      <c r="AM61" s="161"/>
      <c r="AN61" s="161"/>
      <c r="AO61" s="161"/>
    </row>
    <row r="62" spans="2:63" s="252" customFormat="1">
      <c r="B62" s="247" t="s">
        <v>37</v>
      </c>
      <c r="C62" s="247"/>
      <c r="E62" s="252">
        <f>SUM(AP62:AS62)</f>
        <v>5809.0593499999995</v>
      </c>
      <c r="F62" s="252">
        <f>SUM(AT62:AW62)</f>
        <v>4923.0720999999994</v>
      </c>
      <c r="G62" s="252">
        <f>SUM(AX62:BA62)</f>
        <v>4346.6157499999999</v>
      </c>
      <c r="H62" s="252">
        <f>SUM(BB62:BE62)</f>
        <v>4130.5795500000004</v>
      </c>
      <c r="I62" s="252">
        <f>SUM(BF62:BI62)</f>
        <v>3931.7481500000004</v>
      </c>
      <c r="J62" s="157">
        <f>+I62+J65</f>
        <v>3782.9167500000003</v>
      </c>
      <c r="K62" s="157">
        <f t="shared" ref="K62:P62" si="223">+J62+K65</f>
        <v>3684.0853500000003</v>
      </c>
      <c r="L62" s="157">
        <f t="shared" si="223"/>
        <v>3635.2539500000003</v>
      </c>
      <c r="M62" s="157">
        <f t="shared" si="223"/>
        <v>3636.4225500000002</v>
      </c>
      <c r="N62" s="157">
        <f t="shared" si="223"/>
        <v>3687.5911500000002</v>
      </c>
      <c r="O62" s="157">
        <f t="shared" si="223"/>
        <v>3788.7597500000002</v>
      </c>
      <c r="P62" s="157">
        <f t="shared" si="223"/>
        <v>3939.9283500000001</v>
      </c>
      <c r="Q62" s="247"/>
      <c r="R62" s="167"/>
      <c r="S62" s="167"/>
      <c r="T62" s="167"/>
      <c r="U62" s="167"/>
      <c r="V62" s="167"/>
      <c r="W62" s="167"/>
      <c r="X62" s="167"/>
      <c r="Y62" s="167"/>
      <c r="Z62" s="167"/>
      <c r="AA62" s="167"/>
      <c r="AB62" s="167"/>
      <c r="AC62" s="167"/>
      <c r="AD62" s="167"/>
      <c r="AE62" s="167"/>
      <c r="AF62" s="167"/>
      <c r="AG62" s="167"/>
      <c r="AH62" s="167"/>
      <c r="AI62" s="167"/>
      <c r="AJ62" s="167"/>
      <c r="AK62" s="167"/>
      <c r="AL62" s="157"/>
      <c r="AM62" s="157"/>
      <c r="AN62" s="157"/>
      <c r="AO62" s="157">
        <f t="shared" ref="AO62:AV62" si="224">+AO60+AO67</f>
        <v>1483.8011000000001</v>
      </c>
      <c r="AP62" s="252">
        <f t="shared" si="224"/>
        <v>1445.3500000000001</v>
      </c>
      <c r="AQ62" s="252">
        <f t="shared" si="224"/>
        <v>1390.2684999999999</v>
      </c>
      <c r="AR62" s="252">
        <f t="shared" si="224"/>
        <v>1362.9840000000002</v>
      </c>
      <c r="AS62" s="252">
        <f t="shared" si="224"/>
        <v>1610.45685</v>
      </c>
      <c r="AT62" s="252">
        <f t="shared" si="224"/>
        <v>1238.8679999999999</v>
      </c>
      <c r="AU62" s="252">
        <f t="shared" si="224"/>
        <v>1167.0439999999999</v>
      </c>
      <c r="AV62" s="252">
        <f t="shared" si="224"/>
        <v>1202.06495</v>
      </c>
      <c r="AW62" s="252">
        <f t="shared" ref="AW62:BB62" si="225">+AW60+AW67</f>
        <v>1315.0951500000001</v>
      </c>
      <c r="AX62" s="252">
        <f t="shared" si="225"/>
        <v>1058.2087999999999</v>
      </c>
      <c r="AY62" s="252">
        <f t="shared" si="225"/>
        <v>990.15060000000005</v>
      </c>
      <c r="AZ62" s="252">
        <f t="shared" si="225"/>
        <v>1006.9626000000001</v>
      </c>
      <c r="BA62" s="252">
        <f t="shared" si="225"/>
        <v>1291.29375</v>
      </c>
      <c r="BB62" s="252">
        <f t="shared" si="225"/>
        <v>914.97149999999999</v>
      </c>
      <c r="BC62" s="252">
        <f t="shared" ref="BC62:BD62" si="226">+BC60+BC67</f>
        <v>954.28</v>
      </c>
      <c r="BD62" s="252">
        <f t="shared" si="226"/>
        <v>1019.74215</v>
      </c>
      <c r="BE62" s="252">
        <f t="shared" ref="BE62" si="227">+BE60+BE67</f>
        <v>1241.5859</v>
      </c>
      <c r="BF62" s="252">
        <f t="shared" ref="BF62" si="228">+BE62+BF64</f>
        <v>865.26364999999998</v>
      </c>
      <c r="BG62" s="252">
        <f t="shared" ref="BG62" si="229">+BF62+BG64</f>
        <v>904.57214999999997</v>
      </c>
      <c r="BH62" s="252">
        <f t="shared" ref="BH62" si="230">+BG62+BH64</f>
        <v>970.03430000000003</v>
      </c>
      <c r="BI62" s="252">
        <f t="shared" ref="BI62" si="231">+BH62+BI64</f>
        <v>1191.87805</v>
      </c>
      <c r="BK62" s="236"/>
    </row>
    <row r="63" spans="2:63" s="248" customFormat="1">
      <c r="B63" s="282" t="s">
        <v>252</v>
      </c>
      <c r="C63" s="319"/>
      <c r="F63" s="248">
        <f>+F62/E62-1</f>
        <v>-0.15251819556637858</v>
      </c>
      <c r="G63" s="248">
        <f>+G62/F62-1</f>
        <v>-0.11709281080811296</v>
      </c>
      <c r="H63" s="248">
        <f>+H62/G62-1</f>
        <v>-4.9702161963591895E-2</v>
      </c>
      <c r="I63" s="248">
        <f>+I62/H62-1</f>
        <v>-4.8136441289455378E-2</v>
      </c>
      <c r="J63" s="179">
        <f>+J62/I62-1</f>
        <v>-3.7853747066683319E-2</v>
      </c>
      <c r="K63" s="179">
        <f t="shared" ref="K63:P63" si="232">+K62/J62-1</f>
        <v>-2.6125713710194676E-2</v>
      </c>
      <c r="L63" s="179">
        <f t="shared" si="232"/>
        <v>-1.3254687489799855E-2</v>
      </c>
      <c r="M63" s="179">
        <f t="shared" si="232"/>
        <v>3.2146309888481106E-4</v>
      </c>
      <c r="N63" s="179">
        <f t="shared" si="232"/>
        <v>1.4071137029991077E-2</v>
      </c>
      <c r="O63" s="179">
        <f t="shared" si="232"/>
        <v>2.7434874389477892E-2</v>
      </c>
      <c r="P63" s="179">
        <f t="shared" si="232"/>
        <v>3.9899230876278224E-2</v>
      </c>
      <c r="Q63" s="319"/>
      <c r="R63" s="164"/>
      <c r="S63" s="164"/>
      <c r="T63" s="164"/>
      <c r="U63" s="164"/>
      <c r="V63" s="164"/>
      <c r="W63" s="164"/>
      <c r="X63" s="164"/>
      <c r="Y63" s="164"/>
      <c r="Z63" s="164"/>
      <c r="AA63" s="164"/>
      <c r="AB63" s="164"/>
      <c r="AC63" s="164"/>
      <c r="AD63" s="164"/>
      <c r="AE63" s="164"/>
      <c r="AF63" s="164"/>
      <c r="AG63" s="164"/>
      <c r="AH63" s="164"/>
      <c r="AI63" s="164"/>
      <c r="AJ63" s="164"/>
      <c r="AK63" s="164"/>
      <c r="AL63" s="159"/>
      <c r="AM63" s="159"/>
      <c r="AN63" s="159"/>
      <c r="AO63" s="159"/>
      <c r="AU63" s="283">
        <f t="shared" ref="AU63:BE63" si="233">+AU62/AQ62-1</f>
        <v>-0.16056215040475996</v>
      </c>
      <c r="AV63" s="283">
        <f t="shared" si="233"/>
        <v>-0.11806378504810044</v>
      </c>
      <c r="AW63" s="283">
        <f t="shared" si="233"/>
        <v>-0.18340243018619218</v>
      </c>
      <c r="AX63" s="283">
        <f t="shared" si="233"/>
        <v>-0.14582602827742752</v>
      </c>
      <c r="AY63" s="283">
        <f t="shared" si="233"/>
        <v>-0.15157389095869556</v>
      </c>
      <c r="AZ63" s="283">
        <f t="shared" si="233"/>
        <v>-0.16230599685982017</v>
      </c>
      <c r="BA63" s="283">
        <f t="shared" si="233"/>
        <v>-1.8098614385430589E-2</v>
      </c>
      <c r="BB63" s="283">
        <f t="shared" si="233"/>
        <v>-0.13535825821898273</v>
      </c>
      <c r="BC63" s="283">
        <f t="shared" si="233"/>
        <v>-3.6227418334140338E-2</v>
      </c>
      <c r="BD63" s="283">
        <f t="shared" si="233"/>
        <v>1.2691186345947569E-2</v>
      </c>
      <c r="BE63" s="283">
        <f t="shared" si="233"/>
        <v>-3.8494610540785179E-2</v>
      </c>
      <c r="BF63" s="283">
        <f t="shared" ref="BF63" si="234">+BF62/BB62-1</f>
        <v>-5.4327211284723065E-2</v>
      </c>
      <c r="BG63" s="283">
        <f t="shared" ref="BG63" si="235">+BG62/BC62-1</f>
        <v>-5.208937628369037E-2</v>
      </c>
      <c r="BH63" s="283">
        <f t="shared" ref="BH63" si="236">+BH62/BD62-1</f>
        <v>-4.8745508852409358E-2</v>
      </c>
      <c r="BI63" s="283">
        <f t="shared" ref="BI63" si="237">+BI62/BE62-1</f>
        <v>-4.0035771991289493E-2</v>
      </c>
    </row>
    <row r="64" spans="2:63" s="278" customFormat="1">
      <c r="B64" s="298" t="s">
        <v>342</v>
      </c>
      <c r="C64" s="333"/>
      <c r="J64" s="208"/>
      <c r="K64" s="208"/>
      <c r="L64" s="208"/>
      <c r="M64" s="208"/>
      <c r="N64" s="208"/>
      <c r="O64" s="208"/>
      <c r="P64" s="208"/>
      <c r="Q64" s="333"/>
      <c r="R64" s="225"/>
      <c r="S64" s="225"/>
      <c r="T64" s="225"/>
      <c r="U64" s="225"/>
      <c r="V64" s="225"/>
      <c r="W64" s="225"/>
      <c r="X64" s="225"/>
      <c r="Y64" s="225"/>
      <c r="Z64" s="225"/>
      <c r="AA64" s="225"/>
      <c r="AB64" s="225"/>
      <c r="AC64" s="225"/>
      <c r="AD64" s="225"/>
      <c r="AE64" s="225"/>
      <c r="AF64" s="225"/>
      <c r="AG64" s="225"/>
      <c r="AH64" s="225"/>
      <c r="AI64" s="225"/>
      <c r="AJ64" s="225"/>
      <c r="AK64" s="225"/>
      <c r="AL64" s="205"/>
      <c r="AM64" s="205"/>
      <c r="AN64" s="205"/>
      <c r="AO64" s="205"/>
      <c r="AP64" s="278">
        <f t="shared" ref="AP64:BE64" si="238">+AP62-AO62</f>
        <v>-38.451099999999997</v>
      </c>
      <c r="AQ64" s="278">
        <f t="shared" si="238"/>
        <v>-55.081500000000233</v>
      </c>
      <c r="AR64" s="278">
        <f t="shared" si="238"/>
        <v>-27.284499999999753</v>
      </c>
      <c r="AS64" s="278">
        <f t="shared" si="238"/>
        <v>247.47284999999988</v>
      </c>
      <c r="AT64" s="278">
        <f t="shared" si="238"/>
        <v>-371.58885000000009</v>
      </c>
      <c r="AU64" s="278">
        <f t="shared" si="238"/>
        <v>-71.824000000000069</v>
      </c>
      <c r="AV64" s="278">
        <f t="shared" si="238"/>
        <v>35.020950000000084</v>
      </c>
      <c r="AW64" s="278">
        <f t="shared" si="238"/>
        <v>113.03020000000015</v>
      </c>
      <c r="AX64" s="278">
        <f t="shared" si="238"/>
        <v>-256.88635000000022</v>
      </c>
      <c r="AY64" s="278">
        <f t="shared" si="238"/>
        <v>-68.058199999999829</v>
      </c>
      <c r="AZ64" s="278">
        <f t="shared" si="238"/>
        <v>16.812000000000012</v>
      </c>
      <c r="BA64" s="278">
        <f t="shared" si="238"/>
        <v>284.33114999999998</v>
      </c>
      <c r="BB64" s="278">
        <f t="shared" si="238"/>
        <v>-376.32225000000005</v>
      </c>
      <c r="BC64" s="278">
        <f t="shared" si="238"/>
        <v>39.308499999999981</v>
      </c>
      <c r="BD64" s="278">
        <f t="shared" si="238"/>
        <v>65.462150000000065</v>
      </c>
      <c r="BE64" s="278">
        <f t="shared" si="238"/>
        <v>221.84375</v>
      </c>
      <c r="BF64" s="209">
        <f t="shared" ref="BF64" si="239">+BB64</f>
        <v>-376.32225000000005</v>
      </c>
      <c r="BG64" s="209">
        <f t="shared" ref="BG64" si="240">+BC64</f>
        <v>39.308499999999981</v>
      </c>
      <c r="BH64" s="209">
        <f t="shared" ref="BH64" si="241">+BD64</f>
        <v>65.462150000000065</v>
      </c>
      <c r="BI64" s="209">
        <f t="shared" ref="BI64" si="242">+BE64</f>
        <v>221.84375</v>
      </c>
    </row>
    <row r="65" spans="2:63" s="278" customFormat="1">
      <c r="B65" s="298" t="s">
        <v>343</v>
      </c>
      <c r="C65" s="333"/>
      <c r="F65" s="278">
        <f>+F62-E62</f>
        <v>-885.98725000000013</v>
      </c>
      <c r="G65" s="278">
        <f>+G62-F62</f>
        <v>-576.45634999999947</v>
      </c>
      <c r="H65" s="278">
        <f>+H62-G62</f>
        <v>-216.03619999999955</v>
      </c>
      <c r="I65" s="278">
        <f>+I62-H62</f>
        <v>-198.83140000000003</v>
      </c>
      <c r="J65" s="209">
        <f>+I65+50</f>
        <v>-148.83140000000003</v>
      </c>
      <c r="K65" s="209">
        <f t="shared" ref="K65:P65" si="243">+J65+50</f>
        <v>-98.831400000000031</v>
      </c>
      <c r="L65" s="209">
        <f t="shared" si="243"/>
        <v>-48.831400000000031</v>
      </c>
      <c r="M65" s="209">
        <f t="shared" si="243"/>
        <v>1.1685999999999694</v>
      </c>
      <c r="N65" s="209">
        <f t="shared" si="243"/>
        <v>51.168599999999969</v>
      </c>
      <c r="O65" s="209">
        <f t="shared" si="243"/>
        <v>101.16859999999997</v>
      </c>
      <c r="P65" s="209">
        <f t="shared" si="243"/>
        <v>151.16859999999997</v>
      </c>
      <c r="Q65" s="333"/>
      <c r="R65" s="225"/>
      <c r="S65" s="225"/>
      <c r="T65" s="225"/>
      <c r="U65" s="225"/>
      <c r="V65" s="225"/>
      <c r="W65" s="225"/>
      <c r="X65" s="225"/>
      <c r="Y65" s="225"/>
      <c r="Z65" s="225"/>
      <c r="AA65" s="225"/>
      <c r="AB65" s="225"/>
      <c r="AC65" s="225"/>
      <c r="AD65" s="225"/>
      <c r="AE65" s="225"/>
      <c r="AF65" s="225"/>
      <c r="AG65" s="225"/>
      <c r="AH65" s="225"/>
      <c r="AI65" s="225"/>
      <c r="AJ65" s="225"/>
      <c r="AK65" s="225"/>
      <c r="AL65" s="205"/>
      <c r="AM65" s="205"/>
      <c r="AN65" s="205"/>
      <c r="AO65" s="205"/>
      <c r="AS65" s="278">
        <f t="shared" ref="AS65:BE65" si="244">+AS62-AO62</f>
        <v>126.6557499999999</v>
      </c>
      <c r="AT65" s="278">
        <f t="shared" si="244"/>
        <v>-206.4820000000002</v>
      </c>
      <c r="AU65" s="278">
        <f t="shared" si="244"/>
        <v>-223.22450000000003</v>
      </c>
      <c r="AV65" s="278">
        <f t="shared" si="244"/>
        <v>-160.9190500000002</v>
      </c>
      <c r="AW65" s="278">
        <f t="shared" si="244"/>
        <v>-295.36169999999993</v>
      </c>
      <c r="AX65" s="278">
        <f t="shared" si="244"/>
        <v>-180.65920000000006</v>
      </c>
      <c r="AY65" s="278">
        <f t="shared" si="244"/>
        <v>-176.89339999999982</v>
      </c>
      <c r="AZ65" s="278">
        <f t="shared" si="244"/>
        <v>-195.10234999999989</v>
      </c>
      <c r="BA65" s="278">
        <f t="shared" si="244"/>
        <v>-23.801400000000058</v>
      </c>
      <c r="BB65" s="278">
        <f t="shared" si="244"/>
        <v>-143.23729999999989</v>
      </c>
      <c r="BC65" s="278">
        <f t="shared" si="244"/>
        <v>-35.870600000000081</v>
      </c>
      <c r="BD65" s="278">
        <f t="shared" si="244"/>
        <v>12.779549999999972</v>
      </c>
      <c r="BE65" s="278">
        <f t="shared" si="244"/>
        <v>-49.707850000000008</v>
      </c>
      <c r="BF65" s="278">
        <f t="shared" ref="BF65" si="245">+BF62-BB62</f>
        <v>-49.707850000000008</v>
      </c>
      <c r="BG65" s="278">
        <f t="shared" ref="BG65" si="246">+BG62-BC62</f>
        <v>-49.707850000000008</v>
      </c>
      <c r="BH65" s="278">
        <f t="shared" ref="BH65" si="247">+BH62-BD62</f>
        <v>-49.707850000000008</v>
      </c>
      <c r="BI65" s="278">
        <f t="shared" ref="BI65" si="248">+BI62-BE62</f>
        <v>-49.707850000000008</v>
      </c>
    </row>
    <row r="66" spans="2:63">
      <c r="B66" s="282"/>
      <c r="C66" s="274"/>
      <c r="J66" s="161"/>
      <c r="K66" s="177"/>
      <c r="L66" s="177"/>
      <c r="M66" s="177"/>
      <c r="N66" s="177"/>
      <c r="O66" s="177"/>
      <c r="P66" s="177"/>
      <c r="Q66" s="274"/>
      <c r="R66" s="168"/>
      <c r="S66" s="168"/>
      <c r="T66" s="168"/>
      <c r="U66" s="168"/>
      <c r="V66" s="168"/>
      <c r="W66" s="168"/>
      <c r="X66" s="168"/>
      <c r="Y66" s="168"/>
      <c r="Z66" s="168"/>
      <c r="AA66" s="168"/>
      <c r="AB66" s="168"/>
      <c r="AC66" s="168"/>
      <c r="AD66" s="168"/>
      <c r="AE66" s="168"/>
      <c r="AF66" s="168"/>
      <c r="AG66" s="168"/>
      <c r="AH66" s="168"/>
      <c r="AI66" s="168"/>
      <c r="AJ66" s="168"/>
      <c r="AK66" s="168"/>
      <c r="AL66" s="161"/>
      <c r="AM66" s="161"/>
      <c r="AN66" s="161"/>
      <c r="AO66" s="161"/>
    </row>
    <row r="67" spans="2:63" s="252" customFormat="1">
      <c r="B67" s="247" t="s">
        <v>38</v>
      </c>
      <c r="C67" s="247"/>
      <c r="E67" s="252">
        <f>SUM(AP67:AS67)</f>
        <v>4583.0593499999995</v>
      </c>
      <c r="F67" s="252">
        <f>SUM(AT67:AW67)</f>
        <v>4460.0720999999994</v>
      </c>
      <c r="G67" s="252">
        <f>SUM(AX67:BA67)</f>
        <v>3987.6157499999999</v>
      </c>
      <c r="H67" s="252">
        <f>SUM(BB67:BE67)</f>
        <v>3683.5795499999999</v>
      </c>
      <c r="I67" s="252">
        <f ca="1">SUM(BF67:BI67)</f>
        <v>3365.0618853552824</v>
      </c>
      <c r="J67" s="173">
        <f ca="1">AVERAGE(I59:J59)*J68*12</f>
        <v>3514.7297687359605</v>
      </c>
      <c r="K67" s="173">
        <f t="shared" ref="K67:P67" ca="1" si="249">AVERAGE(J59:K59)*K68*12</f>
        <v>3632.6449152950622</v>
      </c>
      <c r="L67" s="173">
        <f t="shared" ca="1" si="249"/>
        <v>3726.7960277772095</v>
      </c>
      <c r="M67" s="173">
        <f t="shared" ca="1" si="249"/>
        <v>3805.1572183449307</v>
      </c>
      <c r="N67" s="173">
        <f t="shared" ca="1" si="249"/>
        <v>3875.5560815256736</v>
      </c>
      <c r="O67" s="173">
        <f t="shared" ca="1" si="249"/>
        <v>3945.561716929074</v>
      </c>
      <c r="P67" s="173">
        <f t="shared" ca="1" si="249"/>
        <v>4022.3927226284641</v>
      </c>
      <c r="Q67" s="247"/>
      <c r="R67" s="167"/>
      <c r="S67" s="167"/>
      <c r="T67" s="167"/>
      <c r="U67" s="167"/>
      <c r="V67" s="167"/>
      <c r="W67" s="167"/>
      <c r="X67" s="167"/>
      <c r="Y67" s="167"/>
      <c r="Z67" s="167"/>
      <c r="AA67" s="167"/>
      <c r="AB67" s="167"/>
      <c r="AC67" s="167"/>
      <c r="AD67" s="167"/>
      <c r="AE67" s="167"/>
      <c r="AF67" s="167"/>
      <c r="AG67" s="167"/>
      <c r="AH67" s="167"/>
      <c r="AI67" s="167"/>
      <c r="AJ67" s="167"/>
      <c r="AK67" s="167"/>
      <c r="AL67" s="157"/>
      <c r="AM67" s="157"/>
      <c r="AN67" s="157"/>
      <c r="AO67" s="173">
        <f t="shared" ref="AO67:BE67" si="250">AVERAGE(AN59:AO59)*AO68*3</f>
        <v>1250.8011000000001</v>
      </c>
      <c r="AP67" s="312">
        <f t="shared" si="250"/>
        <v>1186.3500000000001</v>
      </c>
      <c r="AQ67" s="312">
        <f t="shared" si="250"/>
        <v>951.2684999999999</v>
      </c>
      <c r="AR67" s="312">
        <f t="shared" si="250"/>
        <v>1122.9840000000002</v>
      </c>
      <c r="AS67" s="312">
        <f t="shared" si="250"/>
        <v>1322.45685</v>
      </c>
      <c r="AT67" s="312">
        <f t="shared" si="250"/>
        <v>1094.8679999999999</v>
      </c>
      <c r="AU67" s="312">
        <f t="shared" si="250"/>
        <v>1045.0439999999999</v>
      </c>
      <c r="AV67" s="312">
        <f t="shared" si="250"/>
        <v>1179.06495</v>
      </c>
      <c r="AW67" s="312">
        <f t="shared" si="250"/>
        <v>1141.0951500000001</v>
      </c>
      <c r="AX67" s="312">
        <f t="shared" si="250"/>
        <v>1062.2087999999999</v>
      </c>
      <c r="AY67" s="312">
        <f t="shared" si="250"/>
        <v>918.15060000000005</v>
      </c>
      <c r="AZ67" s="312">
        <f t="shared" si="250"/>
        <v>985.96260000000007</v>
      </c>
      <c r="BA67" s="312">
        <f t="shared" si="250"/>
        <v>1021.29375</v>
      </c>
      <c r="BB67" s="312">
        <f t="shared" si="250"/>
        <v>980.97149999999999</v>
      </c>
      <c r="BC67" s="312">
        <f t="shared" si="250"/>
        <v>863.28</v>
      </c>
      <c r="BD67" s="312">
        <f t="shared" si="250"/>
        <v>917.74215000000004</v>
      </c>
      <c r="BE67" s="312">
        <f t="shared" si="250"/>
        <v>921.58589999999992</v>
      </c>
      <c r="BF67" s="312">
        <f t="shared" ref="BF67" ca="1" si="251">AVERAGE(BE59:BF59)*BF68*3</f>
        <v>890.94957075508796</v>
      </c>
      <c r="BG67" s="312">
        <f t="shared" ref="BG67" ca="1" si="252">AVERAGE(BF59:BG59)*BG68*3</f>
        <v>782.97340357374117</v>
      </c>
      <c r="BH67" s="312">
        <f t="shared" ref="BH67" ca="1" si="253">AVERAGE(BG59:BH59)*BH68*3</f>
        <v>841.79149866546391</v>
      </c>
      <c r="BI67" s="312">
        <f t="shared" ref="BI67" ca="1" si="254">AVERAGE(BH59:BI59)*BI68*3</f>
        <v>849.34741236098921</v>
      </c>
      <c r="BK67" s="236"/>
    </row>
    <row r="68" spans="2:63" s="273" customFormat="1">
      <c r="B68" s="275" t="s">
        <v>301</v>
      </c>
      <c r="C68" s="334"/>
      <c r="E68" s="310">
        <f>E67/AVERAGE(D59:E59)/12</f>
        <v>1.223382329388023E-2</v>
      </c>
      <c r="F68" s="310">
        <f>F67/AVERAGE(E59:F59)/12</f>
        <v>1.2509177268443724E-2</v>
      </c>
      <c r="G68" s="310">
        <f>G67/AVERAGE(F59:G59)/12</f>
        <v>1.1887220751578458E-2</v>
      </c>
      <c r="H68" s="310">
        <f>H67/AVERAGE(G59:H59)/12</f>
        <v>1.1548936680524464E-2</v>
      </c>
      <c r="I68" s="310">
        <f ca="1">I67/AVERAGE(H59:I59)/12</f>
        <v>1.0643267610372121E-2</v>
      </c>
      <c r="J68" s="222">
        <f ca="1">+I68+J70/10000</f>
        <v>1.094326761037212E-2</v>
      </c>
      <c r="K68" s="222">
        <f t="shared" ref="K68:P68" ca="1" si="255">+J68+K70/10000</f>
        <v>1.124326761037212E-2</v>
      </c>
      <c r="L68" s="222">
        <f t="shared" ca="1" si="255"/>
        <v>1.154326761037212E-2</v>
      </c>
      <c r="M68" s="222">
        <f t="shared" ca="1" si="255"/>
        <v>1.184326761037212E-2</v>
      </c>
      <c r="N68" s="222">
        <f t="shared" ca="1" si="255"/>
        <v>1.214326761037212E-2</v>
      </c>
      <c r="O68" s="222">
        <f t="shared" ca="1" si="255"/>
        <v>1.244326761037212E-2</v>
      </c>
      <c r="P68" s="222">
        <f t="shared" ca="1" si="255"/>
        <v>1.274326761037212E-2</v>
      </c>
      <c r="Q68" s="334"/>
      <c r="R68" s="223"/>
      <c r="S68" s="223"/>
      <c r="T68" s="223"/>
      <c r="U68" s="223"/>
      <c r="V68" s="223"/>
      <c r="W68" s="223"/>
      <c r="X68" s="223"/>
      <c r="Y68" s="223"/>
      <c r="Z68" s="223"/>
      <c r="AA68" s="223"/>
      <c r="AB68" s="223"/>
      <c r="AC68" s="223"/>
      <c r="AD68" s="223"/>
      <c r="AE68" s="223"/>
      <c r="AF68" s="223"/>
      <c r="AG68" s="223"/>
      <c r="AH68" s="223"/>
      <c r="AI68" s="223"/>
      <c r="AJ68" s="223"/>
      <c r="AK68" s="223"/>
      <c r="AL68" s="224"/>
      <c r="AM68" s="224"/>
      <c r="AN68" s="224"/>
      <c r="AO68" s="183">
        <v>1.3100000000000001E-2</v>
      </c>
      <c r="AP68" s="313">
        <v>1.2500000000000001E-2</v>
      </c>
      <c r="AQ68" s="313">
        <v>1.01E-2</v>
      </c>
      <c r="AR68" s="313">
        <v>1.2E-2</v>
      </c>
      <c r="AS68" s="313">
        <v>1.43E-2</v>
      </c>
      <c r="AT68" s="313">
        <v>1.2E-2</v>
      </c>
      <c r="AU68" s="313">
        <v>1.1599999999999999E-2</v>
      </c>
      <c r="AV68" s="313">
        <v>1.3299999999999999E-2</v>
      </c>
      <c r="AW68" s="313">
        <v>1.3100000000000001E-2</v>
      </c>
      <c r="AX68" s="313">
        <v>1.24E-2</v>
      </c>
      <c r="AY68" s="313">
        <v>1.09E-2</v>
      </c>
      <c r="AZ68" s="313">
        <v>1.1900000000000001E-2</v>
      </c>
      <c r="BA68" s="313">
        <v>1.2500000000000001E-2</v>
      </c>
      <c r="BB68" s="313">
        <v>1.2200000000000001E-2</v>
      </c>
      <c r="BC68" s="313">
        <v>1.09E-2</v>
      </c>
      <c r="BD68" s="313">
        <v>1.17E-2</v>
      </c>
      <c r="BE68" s="313">
        <v>1.18E-2</v>
      </c>
      <c r="BF68" s="314">
        <f t="shared" ref="BF68" si="256">+BE68+BF69/10000</f>
        <v>1.14E-2</v>
      </c>
      <c r="BG68" s="314">
        <f t="shared" ref="BG68" si="257">+BF68+BG69/10000</f>
        <v>0.01</v>
      </c>
      <c r="BH68" s="314">
        <f t="shared" ref="BH68" si="258">+BG68+BH69/10000</f>
        <v>1.0700000000000001E-2</v>
      </c>
      <c r="BI68" s="314">
        <f t="shared" ref="BI68" si="259">+BH68+BI69/10000</f>
        <v>1.0700000000000001E-2</v>
      </c>
    </row>
    <row r="69" spans="2:63" s="278" customFormat="1">
      <c r="B69" s="298" t="s">
        <v>341</v>
      </c>
      <c r="C69" s="333"/>
      <c r="J69" s="208"/>
      <c r="K69" s="208"/>
      <c r="L69" s="208"/>
      <c r="M69" s="208"/>
      <c r="N69" s="208"/>
      <c r="O69" s="208"/>
      <c r="P69" s="208"/>
      <c r="Q69" s="333"/>
      <c r="R69" s="225"/>
      <c r="S69" s="225"/>
      <c r="T69" s="225"/>
      <c r="U69" s="225"/>
      <c r="V69" s="225"/>
      <c r="W69" s="225"/>
      <c r="X69" s="225"/>
      <c r="Y69" s="225"/>
      <c r="Z69" s="225"/>
      <c r="AA69" s="225"/>
      <c r="AB69" s="225"/>
      <c r="AC69" s="225"/>
      <c r="AD69" s="225"/>
      <c r="AE69" s="225"/>
      <c r="AF69" s="225"/>
      <c r="AG69" s="225"/>
      <c r="AH69" s="225"/>
      <c r="AI69" s="225"/>
      <c r="AJ69" s="225"/>
      <c r="AK69" s="225"/>
      <c r="AL69" s="205"/>
      <c r="AM69" s="205"/>
      <c r="AN69" s="205"/>
      <c r="AO69" s="205"/>
      <c r="AP69" s="311">
        <f t="shared" ref="AP69:BE69" si="260">+(AP68-AO68)*10000</f>
        <v>-5.9999999999999982</v>
      </c>
      <c r="AQ69" s="311">
        <f t="shared" si="260"/>
        <v>-24.000000000000011</v>
      </c>
      <c r="AR69" s="311">
        <f t="shared" si="260"/>
        <v>19.000000000000007</v>
      </c>
      <c r="AS69" s="311">
        <f t="shared" si="260"/>
        <v>23</v>
      </c>
      <c r="AT69" s="311">
        <f t="shared" si="260"/>
        <v>-23</v>
      </c>
      <c r="AU69" s="311">
        <f t="shared" si="260"/>
        <v>-4.0000000000000107</v>
      </c>
      <c r="AV69" s="311">
        <f t="shared" si="260"/>
        <v>17</v>
      </c>
      <c r="AW69" s="311">
        <f t="shared" si="260"/>
        <v>-1.999999999999988</v>
      </c>
      <c r="AX69" s="311">
        <f t="shared" si="260"/>
        <v>-7.0000000000000098</v>
      </c>
      <c r="AY69" s="311">
        <f t="shared" si="260"/>
        <v>-14.999999999999996</v>
      </c>
      <c r="AZ69" s="311">
        <f t="shared" si="260"/>
        <v>10.000000000000009</v>
      </c>
      <c r="BA69" s="311">
        <f t="shared" si="260"/>
        <v>5.9999999999999982</v>
      </c>
      <c r="BB69" s="311">
        <f t="shared" si="260"/>
        <v>-2.9999999999999991</v>
      </c>
      <c r="BC69" s="311">
        <f t="shared" si="260"/>
        <v>-13.000000000000009</v>
      </c>
      <c r="BD69" s="311">
        <f t="shared" si="260"/>
        <v>8.0000000000000036</v>
      </c>
      <c r="BE69" s="311">
        <f t="shared" si="260"/>
        <v>0.999999999999994</v>
      </c>
      <c r="BF69" s="209">
        <f t="shared" ref="BF69" si="261">+BB69-1</f>
        <v>-3.9999999999999991</v>
      </c>
      <c r="BG69" s="209">
        <f t="shared" ref="BG69" si="262">+BC69-1</f>
        <v>-14.000000000000009</v>
      </c>
      <c r="BH69" s="209">
        <f t="shared" ref="BH69" si="263">+BD69-1</f>
        <v>7.0000000000000036</v>
      </c>
      <c r="BI69" s="209">
        <f t="shared" ref="BI69" si="264">+BE69-1</f>
        <v>-5.9952043329758453E-15</v>
      </c>
    </row>
    <row r="70" spans="2:63" s="278" customFormat="1">
      <c r="B70" s="298" t="s">
        <v>340</v>
      </c>
      <c r="C70" s="333"/>
      <c r="F70" s="311">
        <f>+(F68-E68)*10000</f>
        <v>2.7535397456349315</v>
      </c>
      <c r="G70" s="311">
        <f>+(G68-F68)*10000</f>
        <v>-6.2195651686526574</v>
      </c>
      <c r="H70" s="311">
        <f>+(H68-G68)*10000</f>
        <v>-3.3828407105399374</v>
      </c>
      <c r="I70" s="311">
        <f ca="1">+(I68-H68)*10000</f>
        <v>-9.0566907015234364</v>
      </c>
      <c r="J70" s="209">
        <v>3</v>
      </c>
      <c r="K70" s="209">
        <v>3</v>
      </c>
      <c r="L70" s="209">
        <v>3</v>
      </c>
      <c r="M70" s="209">
        <v>3</v>
      </c>
      <c r="N70" s="209">
        <v>3</v>
      </c>
      <c r="O70" s="209">
        <v>3</v>
      </c>
      <c r="P70" s="209">
        <v>3</v>
      </c>
      <c r="Q70" s="333"/>
      <c r="R70" s="225"/>
      <c r="S70" s="225"/>
      <c r="T70" s="225"/>
      <c r="U70" s="225"/>
      <c r="V70" s="225"/>
      <c r="W70" s="225"/>
      <c r="X70" s="225"/>
      <c r="Y70" s="225"/>
      <c r="Z70" s="225"/>
      <c r="AA70" s="225"/>
      <c r="AB70" s="225"/>
      <c r="AC70" s="225"/>
      <c r="AD70" s="225"/>
      <c r="AE70" s="225"/>
      <c r="AF70" s="225"/>
      <c r="AG70" s="225"/>
      <c r="AH70" s="225"/>
      <c r="AI70" s="225"/>
      <c r="AJ70" s="225"/>
      <c r="AK70" s="225"/>
      <c r="AL70" s="205"/>
      <c r="AM70" s="205"/>
      <c r="AN70" s="205"/>
      <c r="AO70" s="205"/>
      <c r="AP70" s="336"/>
      <c r="AQ70" s="336"/>
      <c r="AR70" s="311"/>
      <c r="AS70" s="311">
        <f t="shared" ref="AS70:BE70" si="265">+(AS68-AO68)*10000</f>
        <v>11.999999999999996</v>
      </c>
      <c r="AT70" s="311">
        <f t="shared" si="265"/>
        <v>-5.0000000000000044</v>
      </c>
      <c r="AU70" s="311">
        <f t="shared" si="265"/>
        <v>14.999999999999996</v>
      </c>
      <c r="AV70" s="311">
        <f t="shared" si="265"/>
        <v>12.999999999999991</v>
      </c>
      <c r="AW70" s="311">
        <f t="shared" si="265"/>
        <v>-11.999999999999996</v>
      </c>
      <c r="AX70" s="311">
        <f t="shared" si="265"/>
        <v>3.9999999999999933</v>
      </c>
      <c r="AY70" s="311">
        <f t="shared" si="265"/>
        <v>-6.999999999999992</v>
      </c>
      <c r="AZ70" s="311">
        <f t="shared" si="265"/>
        <v>-13.999999999999984</v>
      </c>
      <c r="BA70" s="311">
        <f t="shared" si="265"/>
        <v>-5.9999999999999982</v>
      </c>
      <c r="BB70" s="311">
        <f t="shared" si="265"/>
        <v>-1.999999999999988</v>
      </c>
      <c r="BC70" s="311">
        <f t="shared" si="265"/>
        <v>0</v>
      </c>
      <c r="BD70" s="311">
        <f t="shared" si="265"/>
        <v>-2.0000000000000053</v>
      </c>
      <c r="BE70" s="311">
        <f t="shared" si="265"/>
        <v>-7.0000000000000098</v>
      </c>
      <c r="BF70" s="311">
        <f t="shared" ref="BF70" si="266">+(BF68-BB68)*10000</f>
        <v>-8.0000000000000036</v>
      </c>
      <c r="BG70" s="311">
        <f t="shared" ref="BG70" si="267">+(BG68-BC68)*10000</f>
        <v>-8.9999999999999982</v>
      </c>
      <c r="BH70" s="311">
        <f t="shared" ref="BH70" si="268">+(BH68-BD68)*10000</f>
        <v>-9.9999999999999911</v>
      </c>
      <c r="BI70" s="311">
        <f t="shared" ref="BI70" si="269">+(BI68-BE68)*10000</f>
        <v>-10.999999999999986</v>
      </c>
    </row>
    <row r="71" spans="2:63" hidden="1" outlineLevel="1">
      <c r="B71" s="161"/>
      <c r="C71" s="274"/>
      <c r="D71" s="161"/>
      <c r="E71" s="161"/>
      <c r="F71" s="161"/>
      <c r="G71" s="177"/>
      <c r="H71" s="177"/>
      <c r="I71" s="177"/>
      <c r="J71" s="161"/>
      <c r="K71" s="177"/>
      <c r="L71" s="177"/>
      <c r="M71" s="177"/>
      <c r="N71" s="177"/>
      <c r="O71" s="177"/>
      <c r="P71" s="177"/>
      <c r="Q71" s="274"/>
      <c r="R71" s="168"/>
      <c r="S71" s="168"/>
      <c r="T71" s="168"/>
      <c r="U71" s="168"/>
      <c r="V71" s="168"/>
      <c r="W71" s="168"/>
      <c r="X71" s="168"/>
      <c r="Y71" s="168"/>
      <c r="Z71" s="168"/>
      <c r="AA71" s="168"/>
      <c r="AB71" s="168"/>
      <c r="AC71" s="168"/>
      <c r="AD71" s="168"/>
      <c r="AE71" s="168"/>
      <c r="AF71" s="168"/>
      <c r="AG71" s="168"/>
      <c r="AH71" s="168"/>
      <c r="AI71" s="168"/>
      <c r="AJ71" s="168"/>
      <c r="AK71" s="168"/>
      <c r="AL71" s="161"/>
      <c r="AM71" s="161"/>
      <c r="AN71" s="161"/>
      <c r="AO71" s="161"/>
      <c r="AP71" s="161"/>
      <c r="AQ71" s="161"/>
      <c r="AR71" s="161"/>
      <c r="AS71" s="161"/>
      <c r="AT71" s="161"/>
      <c r="AU71" s="161"/>
      <c r="AV71" s="161"/>
      <c r="AW71" s="177"/>
      <c r="BF71" s="177"/>
      <c r="BG71" s="177"/>
      <c r="BH71" s="177"/>
      <c r="BI71" s="177"/>
    </row>
    <row r="72" spans="2:63" s="251" customFormat="1" ht="15.75" hidden="1" outlineLevel="1" thickBot="1">
      <c r="B72" s="194" t="s">
        <v>344</v>
      </c>
      <c r="C72" s="276"/>
      <c r="D72" s="195">
        <f>+D$6</f>
        <v>2013</v>
      </c>
      <c r="E72" s="196">
        <f t="shared" ref="E72:P72" si="270">+E$6</f>
        <v>2014</v>
      </c>
      <c r="F72" s="196">
        <f t="shared" si="270"/>
        <v>2015</v>
      </c>
      <c r="G72" s="196">
        <f t="shared" si="270"/>
        <v>2016</v>
      </c>
      <c r="H72" s="196">
        <f t="shared" si="270"/>
        <v>2017</v>
      </c>
      <c r="I72" s="196" t="str">
        <f t="shared" si="270"/>
        <v>2018E</v>
      </c>
      <c r="J72" s="197" t="str">
        <f t="shared" si="270"/>
        <v>2019E</v>
      </c>
      <c r="K72" s="197" t="str">
        <f t="shared" si="270"/>
        <v>2020E</v>
      </c>
      <c r="L72" s="197" t="str">
        <f t="shared" si="270"/>
        <v>2021E</v>
      </c>
      <c r="M72" s="197" t="str">
        <f t="shared" si="270"/>
        <v>2022E</v>
      </c>
      <c r="N72" s="197" t="str">
        <f t="shared" si="270"/>
        <v>2023E</v>
      </c>
      <c r="O72" s="197" t="str">
        <f t="shared" si="270"/>
        <v>2024E</v>
      </c>
      <c r="P72" s="197" t="str">
        <f t="shared" si="270"/>
        <v>2025E</v>
      </c>
      <c r="Q72" s="241"/>
      <c r="R72" s="196"/>
      <c r="S72" s="196"/>
      <c r="T72" s="196"/>
      <c r="U72" s="196"/>
      <c r="V72" s="196"/>
      <c r="W72" s="196"/>
      <c r="X72" s="196"/>
      <c r="Y72" s="196"/>
      <c r="Z72" s="196"/>
      <c r="AA72" s="196"/>
      <c r="AB72" s="196"/>
      <c r="AC72" s="196"/>
      <c r="AD72" s="196"/>
      <c r="AE72" s="196"/>
      <c r="AF72" s="196"/>
      <c r="AG72" s="196"/>
      <c r="AH72" s="196"/>
      <c r="AI72" s="196"/>
      <c r="AJ72" s="196"/>
      <c r="AK72" s="196"/>
      <c r="AL72" s="196" t="s">
        <v>248</v>
      </c>
      <c r="AM72" s="196" t="s">
        <v>249</v>
      </c>
      <c r="AN72" s="196" t="s">
        <v>250</v>
      </c>
      <c r="AO72" s="196" t="s">
        <v>251</v>
      </c>
      <c r="AP72" s="196">
        <f>+AP29</f>
        <v>0</v>
      </c>
      <c r="AQ72" s="196">
        <f>+AQ29</f>
        <v>0</v>
      </c>
      <c r="AR72" s="196">
        <f>+AR29</f>
        <v>-1</v>
      </c>
      <c r="AS72" s="196">
        <f>+AS29</f>
        <v>0</v>
      </c>
      <c r="AT72" s="196" t="str">
        <f>+AT$6</f>
        <v>1Q15</v>
      </c>
      <c r="AU72" s="196" t="str">
        <f t="shared" ref="AU72:BI72" si="271">+AU$6</f>
        <v>2Q15</v>
      </c>
      <c r="AV72" s="196" t="str">
        <f t="shared" si="271"/>
        <v>3Q15</v>
      </c>
      <c r="AW72" s="196" t="str">
        <f t="shared" si="271"/>
        <v>4Q15</v>
      </c>
      <c r="AX72" s="242" t="str">
        <f t="shared" si="271"/>
        <v>1Q16</v>
      </c>
      <c r="AY72" s="242" t="str">
        <f t="shared" si="271"/>
        <v>2Q16</v>
      </c>
      <c r="AZ72" s="242" t="str">
        <f t="shared" si="271"/>
        <v>3Q16</v>
      </c>
      <c r="BA72" s="242" t="str">
        <f t="shared" si="271"/>
        <v>4Q16</v>
      </c>
      <c r="BB72" s="242" t="str">
        <f t="shared" si="271"/>
        <v>1Q17</v>
      </c>
      <c r="BC72" s="242" t="str">
        <f t="shared" si="271"/>
        <v>2Q17</v>
      </c>
      <c r="BD72" s="242" t="str">
        <f t="shared" si="271"/>
        <v>3Q17</v>
      </c>
      <c r="BE72" s="242" t="str">
        <f t="shared" si="271"/>
        <v>4Q17</v>
      </c>
      <c r="BF72" s="197" t="str">
        <f t="shared" si="271"/>
        <v>1Q18E</v>
      </c>
      <c r="BG72" s="197" t="str">
        <f t="shared" si="271"/>
        <v>2Q18E</v>
      </c>
      <c r="BH72" s="197" t="str">
        <f t="shared" si="271"/>
        <v>3Q18E</v>
      </c>
      <c r="BI72" s="197" t="str">
        <f t="shared" si="271"/>
        <v>4Q18E</v>
      </c>
    </row>
    <row r="73" spans="2:63" hidden="1" outlineLevel="1">
      <c r="B73" s="161"/>
      <c r="C73" s="274"/>
      <c r="D73" s="161"/>
      <c r="E73" s="161"/>
      <c r="F73" s="154"/>
      <c r="G73" s="154"/>
      <c r="H73" s="154"/>
      <c r="I73" s="154"/>
      <c r="J73" s="154"/>
      <c r="K73" s="154"/>
      <c r="L73" s="154"/>
      <c r="M73" s="154"/>
      <c r="N73" s="154"/>
      <c r="O73" s="154"/>
      <c r="P73" s="154"/>
      <c r="Q73" s="274"/>
      <c r="R73" s="168"/>
      <c r="S73" s="168"/>
      <c r="T73" s="168"/>
      <c r="U73" s="168"/>
      <c r="V73" s="168"/>
      <c r="W73" s="168"/>
      <c r="X73" s="168"/>
      <c r="Y73" s="168"/>
      <c r="Z73" s="168"/>
      <c r="AA73" s="168"/>
      <c r="AB73" s="168"/>
      <c r="AC73" s="168"/>
      <c r="AD73" s="168"/>
      <c r="AE73" s="168"/>
      <c r="AF73" s="168"/>
      <c r="AG73" s="168"/>
      <c r="AH73" s="168"/>
      <c r="AI73" s="168"/>
      <c r="AJ73" s="168"/>
      <c r="AK73" s="168"/>
      <c r="AL73" s="161"/>
      <c r="AM73" s="161"/>
      <c r="AN73" s="161"/>
      <c r="AO73" s="161"/>
      <c r="AP73" s="161"/>
      <c r="AQ73" s="161"/>
      <c r="AR73" s="161"/>
      <c r="AS73" s="161"/>
      <c r="AT73" s="161"/>
      <c r="AU73" s="161"/>
      <c r="AV73" s="161"/>
      <c r="AW73" s="177"/>
      <c r="BF73" s="177"/>
      <c r="BG73" s="177"/>
      <c r="BH73" s="177"/>
      <c r="BI73" s="177"/>
    </row>
    <row r="74" spans="2:63" s="240" customFormat="1" hidden="1" outlineLevel="1">
      <c r="B74" s="162" t="s">
        <v>345</v>
      </c>
      <c r="C74" s="247"/>
      <c r="D74" s="162"/>
      <c r="E74" s="157">
        <f>SUM(AP74:AS74)</f>
        <v>4205</v>
      </c>
      <c r="F74" s="157">
        <f>SUM(AT74:AW74)</f>
        <v>4662</v>
      </c>
      <c r="G74" s="157">
        <f>SUM(AX74:BA74)</f>
        <v>5004</v>
      </c>
      <c r="H74" s="157">
        <f>SUM(BB74:BE74)</f>
        <v>5004</v>
      </c>
      <c r="I74" s="157">
        <f>SUM(BC74:BF74)</f>
        <v>5015.0143187358472</v>
      </c>
      <c r="J74" s="175">
        <f>+'AT&amp;T Mobility'!J90</f>
        <v>5262.4904912390311</v>
      </c>
      <c r="K74" s="175">
        <f>+'AT&amp;T Mobility'!K90</f>
        <v>5385.7877417638874</v>
      </c>
      <c r="L74" s="175">
        <f>+'AT&amp;T Mobility'!L90</f>
        <v>5475.5689122801459</v>
      </c>
      <c r="M74" s="175">
        <f>+'AT&amp;T Mobility'!M90</f>
        <v>5532.3268388828355</v>
      </c>
      <c r="N74" s="175">
        <f>+'AT&amp;T Mobility'!N90</f>
        <v>5556.5494634194019</v>
      </c>
      <c r="O74" s="175">
        <f>+'AT&amp;T Mobility'!O90</f>
        <v>5548.7198741302282</v>
      </c>
      <c r="P74" s="175">
        <f>+'AT&amp;T Mobility'!P90</f>
        <v>5509.3163459850048</v>
      </c>
      <c r="Q74" s="247"/>
      <c r="R74" s="167"/>
      <c r="S74" s="167"/>
      <c r="T74" s="167"/>
      <c r="U74" s="167"/>
      <c r="V74" s="167"/>
      <c r="W74" s="167"/>
      <c r="X74" s="167"/>
      <c r="Y74" s="167"/>
      <c r="Z74" s="167"/>
      <c r="AA74" s="167"/>
      <c r="AB74" s="167"/>
      <c r="AC74" s="167"/>
      <c r="AD74" s="167"/>
      <c r="AE74" s="167"/>
      <c r="AF74" s="167"/>
      <c r="AG74" s="167"/>
      <c r="AH74" s="167"/>
      <c r="AI74" s="167"/>
      <c r="AJ74" s="167"/>
      <c r="AK74" s="167"/>
      <c r="AL74" s="162"/>
      <c r="AM74" s="162"/>
      <c r="AN74" s="157"/>
      <c r="AO74" s="157">
        <f>+AO9</f>
        <v>611</v>
      </c>
      <c r="AP74" s="157">
        <f t="shared" ref="AP74:AU74" si="272">+AP9</f>
        <v>732</v>
      </c>
      <c r="AQ74" s="157">
        <f t="shared" si="272"/>
        <v>1211</v>
      </c>
      <c r="AR74" s="157">
        <f t="shared" si="272"/>
        <v>1163</v>
      </c>
      <c r="AS74" s="157">
        <f t="shared" si="272"/>
        <v>1099</v>
      </c>
      <c r="AT74" s="157">
        <f t="shared" si="272"/>
        <v>1095</v>
      </c>
      <c r="AU74" s="157">
        <f t="shared" si="272"/>
        <v>1118</v>
      </c>
      <c r="AV74" s="157">
        <f t="shared" ref="AV74:BA74" si="273">+AV9</f>
        <v>1198</v>
      </c>
      <c r="AW74" s="157">
        <f t="shared" si="273"/>
        <v>1251</v>
      </c>
      <c r="AX74" s="252">
        <f t="shared" si="273"/>
        <v>1251</v>
      </c>
      <c r="AY74" s="252">
        <f t="shared" si="273"/>
        <v>1251</v>
      </c>
      <c r="AZ74" s="252">
        <f t="shared" si="273"/>
        <v>1251</v>
      </c>
      <c r="BA74" s="252">
        <f t="shared" si="273"/>
        <v>1251</v>
      </c>
      <c r="BB74" s="252">
        <f t="shared" ref="BB74:BC74" si="274">+BB9</f>
        <v>1251</v>
      </c>
      <c r="BC74" s="252">
        <f t="shared" si="274"/>
        <v>1251</v>
      </c>
      <c r="BD74" s="252">
        <f t="shared" ref="BD74:BE74" si="275">+BD9</f>
        <v>1251</v>
      </c>
      <c r="BE74" s="252">
        <f t="shared" si="275"/>
        <v>1251</v>
      </c>
      <c r="BF74" s="435">
        <f>+'AT&amp;T Mobility'!BF90</f>
        <v>1262.0143187358472</v>
      </c>
      <c r="BG74" s="435">
        <f>+'AT&amp;T Mobility'!BG90</f>
        <v>1271.6101637196025</v>
      </c>
      <c r="BH74" s="435">
        <f>+'AT&amp;T Mobility'!BH90</f>
        <v>1282.8067367529782</v>
      </c>
      <c r="BI74" s="435">
        <f>+'AT&amp;T Mobility'!BI90</f>
        <v>1288.7481702077384</v>
      </c>
      <c r="BK74" s="236"/>
    </row>
    <row r="75" spans="2:63" s="248" customFormat="1" hidden="1" outlineLevel="1">
      <c r="B75" s="181" t="s">
        <v>252</v>
      </c>
      <c r="C75" s="319"/>
      <c r="D75" s="159"/>
      <c r="E75" s="159"/>
      <c r="F75" s="159">
        <f>+F74/E74-1</f>
        <v>0.10868014268727699</v>
      </c>
      <c r="G75" s="159">
        <f>+G74/F74-1</f>
        <v>7.3359073359073435E-2</v>
      </c>
      <c r="H75" s="159">
        <f>+H74/G74-1</f>
        <v>0</v>
      </c>
      <c r="I75" s="159">
        <f>+I74/H74-1</f>
        <v>2.2011028648776243E-3</v>
      </c>
      <c r="J75" s="159">
        <f>+J74/I74-1</f>
        <v>4.93470520270749E-2</v>
      </c>
      <c r="K75" s="159">
        <f t="shared" ref="K75:P75" si="276">+K74/J74-1</f>
        <v>2.3429448609953996E-2</v>
      </c>
      <c r="L75" s="159">
        <f t="shared" si="276"/>
        <v>1.66700164991751E-2</v>
      </c>
      <c r="M75" s="159">
        <f t="shared" si="276"/>
        <v>1.036566747893497E-2</v>
      </c>
      <c r="N75" s="159">
        <f t="shared" si="276"/>
        <v>4.3783791597999944E-3</v>
      </c>
      <c r="O75" s="159">
        <f t="shared" si="276"/>
        <v>-1.4090739839028865E-3</v>
      </c>
      <c r="P75" s="159">
        <f t="shared" si="276"/>
        <v>-7.101372756071922E-3</v>
      </c>
      <c r="Q75" s="319"/>
      <c r="R75" s="164"/>
      <c r="S75" s="164"/>
      <c r="T75" s="164"/>
      <c r="U75" s="164"/>
      <c r="V75" s="164"/>
      <c r="W75" s="164"/>
      <c r="X75" s="164"/>
      <c r="Y75" s="164"/>
      <c r="Z75" s="164"/>
      <c r="AA75" s="164"/>
      <c r="AB75" s="164"/>
      <c r="AC75" s="164"/>
      <c r="AD75" s="164"/>
      <c r="AE75" s="164"/>
      <c r="AF75" s="164"/>
      <c r="AG75" s="164"/>
      <c r="AH75" s="164"/>
      <c r="AI75" s="164"/>
      <c r="AJ75" s="164"/>
      <c r="AK75" s="164"/>
      <c r="AL75" s="159"/>
      <c r="AM75" s="159"/>
      <c r="AN75" s="159"/>
      <c r="AO75" s="159"/>
      <c r="AP75" s="159"/>
      <c r="AQ75" s="159"/>
      <c r="AR75" s="159"/>
      <c r="AS75" s="179">
        <f t="shared" ref="AS75:BE75" si="277">+AS74/AO74-1</f>
        <v>0.79869067103109659</v>
      </c>
      <c r="AT75" s="179">
        <f t="shared" si="277"/>
        <v>0.49590163934426235</v>
      </c>
      <c r="AU75" s="179">
        <f t="shared" si="277"/>
        <v>-7.6796036333608542E-2</v>
      </c>
      <c r="AV75" s="179">
        <f t="shared" si="277"/>
        <v>3.009458297506451E-2</v>
      </c>
      <c r="AW75" s="179">
        <f t="shared" si="277"/>
        <v>0.13830755232029124</v>
      </c>
      <c r="AX75" s="283">
        <f t="shared" si="277"/>
        <v>0.14246575342465762</v>
      </c>
      <c r="AY75" s="283">
        <f t="shared" si="277"/>
        <v>0.11896243291592135</v>
      </c>
      <c r="AZ75" s="283">
        <f t="shared" si="277"/>
        <v>4.4240400667779678E-2</v>
      </c>
      <c r="BA75" s="283">
        <f t="shared" si="277"/>
        <v>0</v>
      </c>
      <c r="BB75" s="283">
        <f t="shared" si="277"/>
        <v>0</v>
      </c>
      <c r="BC75" s="283">
        <f t="shared" si="277"/>
        <v>0</v>
      </c>
      <c r="BD75" s="283">
        <f t="shared" si="277"/>
        <v>0</v>
      </c>
      <c r="BE75" s="283">
        <f t="shared" si="277"/>
        <v>0</v>
      </c>
      <c r="BF75" s="179">
        <f t="shared" ref="BF75" si="278">+BF74/BB74-1</f>
        <v>8.8044114595100531E-3</v>
      </c>
      <c r="BG75" s="179">
        <f t="shared" ref="BG75" si="279">+BG74/BC74-1</f>
        <v>1.6474951014870065E-2</v>
      </c>
      <c r="BH75" s="179">
        <f t="shared" ref="BH75" si="280">+BH74/BD74-1</f>
        <v>2.5425049362892249E-2</v>
      </c>
      <c r="BI75" s="179">
        <f t="shared" ref="BI75" si="281">+BI74/BE74-1</f>
        <v>3.0174396648871671E-2</v>
      </c>
    </row>
    <row r="76" spans="2:63" hidden="1" outlineLevel="1">
      <c r="B76" s="161"/>
      <c r="C76" s="274"/>
      <c r="D76" s="161"/>
      <c r="E76" s="161"/>
      <c r="F76" s="161"/>
      <c r="G76" s="177"/>
      <c r="H76" s="177"/>
      <c r="I76" s="177"/>
      <c r="J76" s="161"/>
      <c r="K76" s="177"/>
      <c r="L76" s="177"/>
      <c r="M76" s="177"/>
      <c r="N76" s="177"/>
      <c r="O76" s="177"/>
      <c r="P76" s="177"/>
      <c r="Q76" s="274"/>
      <c r="R76" s="168"/>
      <c r="S76" s="168"/>
      <c r="T76" s="168"/>
      <c r="U76" s="168"/>
      <c r="V76" s="168"/>
      <c r="W76" s="168"/>
      <c r="X76" s="168"/>
      <c r="Y76" s="168"/>
      <c r="Z76" s="168"/>
      <c r="AA76" s="168"/>
      <c r="AB76" s="168"/>
      <c r="AC76" s="168"/>
      <c r="AD76" s="168"/>
      <c r="AE76" s="168"/>
      <c r="AF76" s="168"/>
      <c r="AG76" s="168"/>
      <c r="AH76" s="168"/>
      <c r="AI76" s="168"/>
      <c r="AJ76" s="168"/>
      <c r="AK76" s="168"/>
      <c r="AL76" s="161"/>
      <c r="AM76" s="161"/>
      <c r="AN76" s="161"/>
      <c r="AO76" s="161"/>
      <c r="AP76" s="161"/>
      <c r="AQ76" s="161"/>
      <c r="AR76" s="161"/>
      <c r="AS76" s="161"/>
      <c r="AT76" s="161"/>
      <c r="AU76" s="161"/>
      <c r="AV76" s="161"/>
      <c r="AW76" s="177"/>
      <c r="BF76" s="177"/>
      <c r="BG76" s="177"/>
      <c r="BH76" s="177"/>
      <c r="BI76" s="177"/>
    </row>
    <row r="77" spans="2:63" s="240" customFormat="1" hidden="1" outlineLevel="1">
      <c r="B77" s="171" t="s">
        <v>299</v>
      </c>
      <c r="C77" s="247"/>
      <c r="D77" s="162"/>
      <c r="E77" s="171">
        <f>+E74/AVERAGE(E82)/12*1000</f>
        <v>35.164743268105035</v>
      </c>
      <c r="F77" s="171">
        <f>+F74/AVERAGE(E82:F82)/12*1000</f>
        <v>36.117696276669918</v>
      </c>
      <c r="G77" s="171">
        <f>+G74/AVERAGE(F82:G82)/12*1000</f>
        <v>33.248285759846915</v>
      </c>
      <c r="H77" s="171">
        <f>+H74/AVERAGE(G82:H82)/12*1000</f>
        <v>28.887118561878701</v>
      </c>
      <c r="I77" s="171">
        <f>+I74/AVERAGE(H82:I82)/12*1000</f>
        <v>27.091783994208086</v>
      </c>
      <c r="J77" s="185">
        <f>+'AT&amp;T Mobility'!J93</f>
        <v>27.062906863520581</v>
      </c>
      <c r="K77" s="185">
        <f>+'AT&amp;T Mobility'!K93</f>
        <v>26.927592329202977</v>
      </c>
      <c r="L77" s="185">
        <f>+'AT&amp;T Mobility'!L93</f>
        <v>26.792954367556963</v>
      </c>
      <c r="M77" s="185">
        <f>+'AT&amp;T Mobility'!M93</f>
        <v>26.658989595719177</v>
      </c>
      <c r="N77" s="185">
        <f>+'AT&amp;T Mobility'!N93</f>
        <v>26.525694647740583</v>
      </c>
      <c r="O77" s="185">
        <f>+'AT&amp;T Mobility'!O93</f>
        <v>26.393066174501879</v>
      </c>
      <c r="P77" s="185">
        <f>+'AT&amp;T Mobility'!P93</f>
        <v>26.261100843629368</v>
      </c>
      <c r="Q77" s="247"/>
      <c r="R77" s="167"/>
      <c r="S77" s="167"/>
      <c r="T77" s="167"/>
      <c r="U77" s="167"/>
      <c r="V77" s="167"/>
      <c r="W77" s="167"/>
      <c r="X77" s="167"/>
      <c r="Y77" s="167"/>
      <c r="Z77" s="167"/>
      <c r="AA77" s="167"/>
      <c r="AB77" s="167"/>
      <c r="AC77" s="167"/>
      <c r="AD77" s="167"/>
      <c r="AE77" s="167"/>
      <c r="AF77" s="167"/>
      <c r="AG77" s="167"/>
      <c r="AH77" s="167"/>
      <c r="AI77" s="167"/>
      <c r="AJ77" s="167"/>
      <c r="AK77" s="167"/>
      <c r="AL77" s="162"/>
      <c r="AM77" s="162"/>
      <c r="AN77" s="162"/>
      <c r="AO77" s="171">
        <f>+AO74/AVERAGE(AN82:AO82)/3*1000</f>
        <v>35.012320210876169</v>
      </c>
      <c r="AP77" s="171">
        <f t="shared" ref="AP77:BE77" si="282">+AP74/AVERAGE(AO82:AP82)/3*1000</f>
        <v>30.071481390189795</v>
      </c>
      <c r="AQ77" s="171">
        <f t="shared" si="282"/>
        <v>39.395565965614274</v>
      </c>
      <c r="AR77" s="171">
        <f t="shared" si="282"/>
        <v>38.558451031098734</v>
      </c>
      <c r="AS77" s="171">
        <f t="shared" si="282"/>
        <v>36.649825754923043</v>
      </c>
      <c r="AT77" s="171">
        <f t="shared" si="282"/>
        <v>36.496350364963504</v>
      </c>
      <c r="AU77" s="171">
        <f t="shared" si="282"/>
        <v>36.402116402116398</v>
      </c>
      <c r="AV77" s="171">
        <f t="shared" si="282"/>
        <v>37.275584181212857</v>
      </c>
      <c r="AW77" s="171">
        <f t="shared" si="282"/>
        <v>37.007454739084132</v>
      </c>
      <c r="AX77" s="301">
        <f t="shared" si="282"/>
        <v>35.161684725325685</v>
      </c>
      <c r="AY77" s="301">
        <f t="shared" si="282"/>
        <v>33.623609095307209</v>
      </c>
      <c r="AZ77" s="301">
        <f t="shared" si="282"/>
        <v>32.491818606825618</v>
      </c>
      <c r="BA77" s="301">
        <f t="shared" si="282"/>
        <v>31.387603025855256</v>
      </c>
      <c r="BB77" s="301">
        <f t="shared" si="282"/>
        <v>30.46018991964938</v>
      </c>
      <c r="BC77" s="301">
        <f t="shared" si="282"/>
        <v>29.752773714815742</v>
      </c>
      <c r="BD77" s="301">
        <f t="shared" si="282"/>
        <v>28.441837465470787</v>
      </c>
      <c r="BE77" s="301">
        <f t="shared" si="282"/>
        <v>27.37028650191986</v>
      </c>
      <c r="BF77" s="436">
        <f>+'AT&amp;T Mobility'!BF93</f>
        <v>27.270286501919859</v>
      </c>
      <c r="BG77" s="436">
        <f>+'AT&amp;T Mobility'!BG93</f>
        <v>27.170286501919858</v>
      </c>
      <c r="BH77" s="436">
        <f>+'AT&amp;T Mobility'!BH93</f>
        <v>27.070286501919856</v>
      </c>
      <c r="BI77" s="436">
        <f>+'AT&amp;T Mobility'!BI93</f>
        <v>26.970286501919855</v>
      </c>
    </row>
    <row r="78" spans="2:63" s="248" customFormat="1" hidden="1" outlineLevel="1">
      <c r="B78" s="181" t="s">
        <v>252</v>
      </c>
      <c r="C78" s="319"/>
      <c r="D78" s="159"/>
      <c r="E78" s="159"/>
      <c r="F78" s="159">
        <f>+F77/E77-1</f>
        <v>2.7099672000996167E-2</v>
      </c>
      <c r="G78" s="159">
        <f>+G77/F77-1</f>
        <v>-7.9446111259219077E-2</v>
      </c>
      <c r="H78" s="159">
        <f>+H77/G77-1</f>
        <v>-0.13116968584392652</v>
      </c>
      <c r="I78" s="159">
        <f>+I77/H77-1</f>
        <v>-6.2150005159734234E-2</v>
      </c>
      <c r="J78" s="159">
        <f>+J77/I77-1</f>
        <v>-1.0658999309044459E-3</v>
      </c>
      <c r="K78" s="159">
        <f t="shared" ref="K78:P78" si="283">+K77/J77-1</f>
        <v>-5.0000000000001155E-3</v>
      </c>
      <c r="L78" s="159">
        <f t="shared" si="283"/>
        <v>-5.0000000000000044E-3</v>
      </c>
      <c r="M78" s="159">
        <f t="shared" si="283"/>
        <v>-5.0000000000000044E-3</v>
      </c>
      <c r="N78" s="159">
        <f t="shared" si="283"/>
        <v>-5.0000000000000044E-3</v>
      </c>
      <c r="O78" s="159">
        <f t="shared" si="283"/>
        <v>-5.0000000000000044E-3</v>
      </c>
      <c r="P78" s="159">
        <f t="shared" si="283"/>
        <v>-5.0000000000000044E-3</v>
      </c>
      <c r="Q78" s="319"/>
      <c r="R78" s="164"/>
      <c r="S78" s="164"/>
      <c r="T78" s="164"/>
      <c r="U78" s="164"/>
      <c r="V78" s="164"/>
      <c r="W78" s="164"/>
      <c r="X78" s="164"/>
      <c r="Y78" s="164"/>
      <c r="Z78" s="164"/>
      <c r="AA78" s="164"/>
      <c r="AB78" s="164"/>
      <c r="AC78" s="164"/>
      <c r="AD78" s="164"/>
      <c r="AE78" s="164"/>
      <c r="AF78" s="164"/>
      <c r="AG78" s="164"/>
      <c r="AH78" s="164"/>
      <c r="AI78" s="164"/>
      <c r="AJ78" s="164"/>
      <c r="AK78" s="164"/>
      <c r="AL78" s="159"/>
      <c r="AM78" s="159"/>
      <c r="AN78" s="159"/>
      <c r="AO78" s="159"/>
      <c r="AP78" s="159"/>
      <c r="AQ78" s="159"/>
      <c r="AR78" s="159"/>
      <c r="AS78" s="159"/>
      <c r="AT78" s="159"/>
      <c r="AU78" s="179">
        <f t="shared" ref="AU78:BE78" si="284">+AU77/AQ77-1</f>
        <v>-7.5984428453462427E-2</v>
      </c>
      <c r="AV78" s="179">
        <f t="shared" si="284"/>
        <v>-3.3270705009679991E-2</v>
      </c>
      <c r="AW78" s="179">
        <f t="shared" si="284"/>
        <v>9.7579995755654458E-3</v>
      </c>
      <c r="AX78" s="283">
        <f t="shared" si="284"/>
        <v>-3.6569838526076204E-2</v>
      </c>
      <c r="AY78" s="283">
        <f t="shared" si="284"/>
        <v>-7.6328180376008303E-2</v>
      </c>
      <c r="AZ78" s="283">
        <f t="shared" si="284"/>
        <v>-0.12833509331822324</v>
      </c>
      <c r="BA78" s="283">
        <f t="shared" si="284"/>
        <v>-0.15185728802077447</v>
      </c>
      <c r="BB78" s="283">
        <f t="shared" si="284"/>
        <v>-0.1337107377647917</v>
      </c>
      <c r="BC78" s="283">
        <f t="shared" si="284"/>
        <v>-0.11512254289893331</v>
      </c>
      <c r="BD78" s="283">
        <f t="shared" si="284"/>
        <v>-0.12464618217781276</v>
      </c>
      <c r="BE78" s="283">
        <f t="shared" si="284"/>
        <v>-0.12799054839027268</v>
      </c>
      <c r="BF78" s="179">
        <f t="shared" ref="BF78" si="285">+BF77/BB77-1</f>
        <v>-0.104723687742727</v>
      </c>
      <c r="BG78" s="179">
        <f t="shared" ref="BG78" si="286">+BG77/BC77-1</f>
        <v>-8.6798200317367513E-2</v>
      </c>
      <c r="BH78" s="179">
        <f t="shared" ref="BH78" si="287">+BH77/BD77-1</f>
        <v>-4.8223008278421964E-2</v>
      </c>
      <c r="BI78" s="179">
        <f t="shared" ref="BI78" si="288">+BI77/BE77-1</f>
        <v>-1.4614388489208818E-2</v>
      </c>
    </row>
    <row r="79" spans="2:63" s="331" customFormat="1" hidden="1" outlineLevel="1">
      <c r="B79" s="212" t="s">
        <v>342</v>
      </c>
      <c r="C79" s="332"/>
      <c r="D79" s="227"/>
      <c r="E79" s="227"/>
      <c r="F79" s="227"/>
      <c r="G79" s="227"/>
      <c r="H79" s="227"/>
      <c r="I79" s="227"/>
      <c r="J79" s="227"/>
      <c r="K79" s="227"/>
      <c r="L79" s="227"/>
      <c r="M79" s="227"/>
      <c r="N79" s="227"/>
      <c r="O79" s="227"/>
      <c r="P79" s="227"/>
      <c r="Q79" s="332"/>
      <c r="R79" s="226"/>
      <c r="S79" s="226"/>
      <c r="T79" s="226"/>
      <c r="U79" s="226"/>
      <c r="V79" s="226"/>
      <c r="W79" s="226"/>
      <c r="X79" s="226"/>
      <c r="Y79" s="226"/>
      <c r="Z79" s="226"/>
      <c r="AA79" s="226"/>
      <c r="AB79" s="226"/>
      <c r="AC79" s="226"/>
      <c r="AD79" s="226"/>
      <c r="AE79" s="226"/>
      <c r="AF79" s="226"/>
      <c r="AG79" s="226"/>
      <c r="AH79" s="226"/>
      <c r="AI79" s="226"/>
      <c r="AJ79" s="226"/>
      <c r="AK79" s="226"/>
      <c r="AL79" s="227"/>
      <c r="AM79" s="227"/>
      <c r="AN79" s="227"/>
      <c r="AO79" s="227"/>
      <c r="AP79" s="214">
        <f t="shared" ref="AP79:BE79" si="289">+AP77-AO77</f>
        <v>-4.9408388206863734</v>
      </c>
      <c r="AQ79" s="214">
        <f t="shared" si="289"/>
        <v>9.3240845754244788</v>
      </c>
      <c r="AR79" s="214">
        <f t="shared" si="289"/>
        <v>-0.8371149345155402</v>
      </c>
      <c r="AS79" s="214">
        <f t="shared" si="289"/>
        <v>-1.908625276175691</v>
      </c>
      <c r="AT79" s="214">
        <f t="shared" si="289"/>
        <v>-0.15347538995953869</v>
      </c>
      <c r="AU79" s="214">
        <f t="shared" si="289"/>
        <v>-9.4233962847106056E-2</v>
      </c>
      <c r="AV79" s="214">
        <f t="shared" si="289"/>
        <v>0.87346777909645823</v>
      </c>
      <c r="AW79" s="214">
        <f t="shared" si="289"/>
        <v>-0.2681294421287248</v>
      </c>
      <c r="AX79" s="303">
        <f t="shared" si="289"/>
        <v>-1.8457700137584467</v>
      </c>
      <c r="AY79" s="303">
        <f t="shared" si="289"/>
        <v>-1.5380756300184757</v>
      </c>
      <c r="AZ79" s="303">
        <f t="shared" si="289"/>
        <v>-1.1317904884815917</v>
      </c>
      <c r="BA79" s="303">
        <f t="shared" si="289"/>
        <v>-1.1042155809703615</v>
      </c>
      <c r="BB79" s="303">
        <f t="shared" si="289"/>
        <v>-0.92741310620587569</v>
      </c>
      <c r="BC79" s="303">
        <f t="shared" si="289"/>
        <v>-0.70741620483363832</v>
      </c>
      <c r="BD79" s="303">
        <f t="shared" si="289"/>
        <v>-1.3109362493449552</v>
      </c>
      <c r="BE79" s="303">
        <f t="shared" si="289"/>
        <v>-1.0715509635509264</v>
      </c>
      <c r="BF79" s="214">
        <f t="shared" ref="BF79" si="290">+BF77-BE77</f>
        <v>-0.10000000000000142</v>
      </c>
      <c r="BG79" s="214">
        <f t="shared" ref="BG79" si="291">+BG77-BF77</f>
        <v>-0.10000000000000142</v>
      </c>
      <c r="BH79" s="214">
        <f t="shared" ref="BH79" si="292">+BH77-BG77</f>
        <v>-0.10000000000000142</v>
      </c>
      <c r="BI79" s="214">
        <f t="shared" ref="BI79" si="293">+BI77-BH77</f>
        <v>-0.10000000000000142</v>
      </c>
    </row>
    <row r="80" spans="2:63" s="331" customFormat="1" hidden="1" outlineLevel="1">
      <c r="B80" s="212" t="s">
        <v>343</v>
      </c>
      <c r="C80" s="332"/>
      <c r="D80" s="227"/>
      <c r="E80" s="227"/>
      <c r="F80" s="214">
        <f>+F77-E77</f>
        <v>0.95295300856488296</v>
      </c>
      <c r="G80" s="214">
        <f>+G77-F77</f>
        <v>-2.8694105168230024</v>
      </c>
      <c r="H80" s="214">
        <f>+H77-G77</f>
        <v>-4.3611671979682143</v>
      </c>
      <c r="I80" s="214">
        <f>+I77-H77</f>
        <v>-1.7953345676706149</v>
      </c>
      <c r="J80" s="214">
        <f>+J77-I77</f>
        <v>-2.8877130687504859E-2</v>
      </c>
      <c r="K80" s="214">
        <f t="shared" ref="K80:P80" si="294">+K77-J77</f>
        <v>-0.13531453431760454</v>
      </c>
      <c r="L80" s="214">
        <f t="shared" si="294"/>
        <v>-0.13463796164601405</v>
      </c>
      <c r="M80" s="214">
        <f t="shared" si="294"/>
        <v>-0.13396477183778543</v>
      </c>
      <c r="N80" s="214">
        <f t="shared" si="294"/>
        <v>-0.13329494797859454</v>
      </c>
      <c r="O80" s="214">
        <f t="shared" si="294"/>
        <v>-0.13262847323870375</v>
      </c>
      <c r="P80" s="214">
        <f t="shared" si="294"/>
        <v>-0.13196533087251083</v>
      </c>
      <c r="Q80" s="332"/>
      <c r="R80" s="226"/>
      <c r="S80" s="226"/>
      <c r="T80" s="226"/>
      <c r="U80" s="226"/>
      <c r="V80" s="226"/>
      <c r="W80" s="226"/>
      <c r="X80" s="226"/>
      <c r="Y80" s="226"/>
      <c r="Z80" s="226"/>
      <c r="AA80" s="226"/>
      <c r="AB80" s="226"/>
      <c r="AC80" s="226"/>
      <c r="AD80" s="226"/>
      <c r="AE80" s="226"/>
      <c r="AF80" s="226"/>
      <c r="AG80" s="226"/>
      <c r="AH80" s="226"/>
      <c r="AI80" s="226"/>
      <c r="AJ80" s="226"/>
      <c r="AK80" s="226"/>
      <c r="AL80" s="227"/>
      <c r="AM80" s="227"/>
      <c r="AN80" s="227"/>
      <c r="AO80" s="227"/>
      <c r="AP80" s="227"/>
      <c r="AQ80" s="227"/>
      <c r="AR80" s="227"/>
      <c r="AS80" s="214">
        <f t="shared" ref="AS80:BE80" si="295">+AS77-AO77</f>
        <v>1.6375055440468742</v>
      </c>
      <c r="AT80" s="214">
        <f t="shared" si="295"/>
        <v>6.4248689747737089</v>
      </c>
      <c r="AU80" s="214">
        <f t="shared" si="295"/>
        <v>-2.9934495634978759</v>
      </c>
      <c r="AV80" s="214">
        <f t="shared" si="295"/>
        <v>-1.2828668498858775</v>
      </c>
      <c r="AW80" s="214">
        <f t="shared" si="295"/>
        <v>0.35762898416108868</v>
      </c>
      <c r="AX80" s="303">
        <f t="shared" si="295"/>
        <v>-1.3346656396378194</v>
      </c>
      <c r="AY80" s="303">
        <f t="shared" si="295"/>
        <v>-2.778507306809189</v>
      </c>
      <c r="AZ80" s="303">
        <f t="shared" si="295"/>
        <v>-4.7837655743872389</v>
      </c>
      <c r="BA80" s="303">
        <f t="shared" si="295"/>
        <v>-5.6198517132288757</v>
      </c>
      <c r="BB80" s="303">
        <f t="shared" si="295"/>
        <v>-4.7014948056763046</v>
      </c>
      <c r="BC80" s="303">
        <f t="shared" si="295"/>
        <v>-3.8708353804914672</v>
      </c>
      <c r="BD80" s="303">
        <f t="shared" si="295"/>
        <v>-4.0499811413548308</v>
      </c>
      <c r="BE80" s="303">
        <f t="shared" si="295"/>
        <v>-4.0173165239353956</v>
      </c>
      <c r="BF80" s="214">
        <f t="shared" ref="BF80" si="296">+BF77-BB77</f>
        <v>-3.1899034177295214</v>
      </c>
      <c r="BG80" s="214">
        <f t="shared" ref="BG80" si="297">+BG77-BC77</f>
        <v>-2.5824872128958845</v>
      </c>
      <c r="BH80" s="214">
        <f t="shared" ref="BH80" si="298">+BH77-BD77</f>
        <v>-1.3715509635509306</v>
      </c>
      <c r="BI80" s="214">
        <f t="shared" ref="BI80" si="299">+BI77-BE77</f>
        <v>-0.40000000000000568</v>
      </c>
    </row>
    <row r="81" spans="2:63" hidden="1" outlineLevel="1">
      <c r="B81" s="161"/>
      <c r="C81" s="274"/>
      <c r="D81" s="161"/>
      <c r="E81" s="161"/>
      <c r="F81" s="161"/>
      <c r="G81" s="177"/>
      <c r="H81" s="177"/>
      <c r="I81" s="177"/>
      <c r="J81" s="161"/>
      <c r="K81" s="177"/>
      <c r="L81" s="177"/>
      <c r="M81" s="177"/>
      <c r="N81" s="177"/>
      <c r="O81" s="177"/>
      <c r="P81" s="177"/>
      <c r="Q81" s="274"/>
      <c r="R81" s="168"/>
      <c r="S81" s="168"/>
      <c r="T81" s="168"/>
      <c r="U81" s="168"/>
      <c r="V81" s="168"/>
      <c r="W81" s="168"/>
      <c r="X81" s="168"/>
      <c r="Y81" s="168"/>
      <c r="Z81" s="168"/>
      <c r="AA81" s="168"/>
      <c r="AB81" s="168"/>
      <c r="AC81" s="168"/>
      <c r="AD81" s="168"/>
      <c r="AE81" s="168"/>
      <c r="AF81" s="168"/>
      <c r="AG81" s="168"/>
      <c r="AH81" s="168"/>
      <c r="AI81" s="168"/>
      <c r="AJ81" s="168"/>
      <c r="AK81" s="168"/>
      <c r="AL81" s="161"/>
      <c r="AM81" s="161"/>
      <c r="AN81" s="161"/>
      <c r="AO81" s="161"/>
      <c r="AP81" s="161"/>
      <c r="AQ81" s="161"/>
      <c r="AR81" s="161"/>
      <c r="AS81" s="161"/>
      <c r="AT81" s="161"/>
      <c r="AU81" s="161"/>
      <c r="AV81" s="161"/>
      <c r="AW81" s="177"/>
      <c r="BF81" s="177"/>
      <c r="BG81" s="177"/>
      <c r="BH81" s="177"/>
      <c r="BI81" s="177"/>
    </row>
    <row r="82" spans="2:63" hidden="1" outlineLevel="1">
      <c r="B82" s="161" t="s">
        <v>318</v>
      </c>
      <c r="C82" s="274"/>
      <c r="D82" s="154">
        <f>+AO82</f>
        <v>5817</v>
      </c>
      <c r="E82" s="154">
        <f>+AS82</f>
        <v>9965</v>
      </c>
      <c r="F82" s="154">
        <f>+AW82</f>
        <v>11548</v>
      </c>
      <c r="G82" s="154">
        <f>+BA82</f>
        <v>13536</v>
      </c>
      <c r="H82" s="154">
        <f>+BE82</f>
        <v>15335</v>
      </c>
      <c r="I82" s="154">
        <f>+BF82</f>
        <v>15517</v>
      </c>
      <c r="J82" s="154">
        <f>+'AT&amp;T Mobility'!J98</f>
        <v>16461</v>
      </c>
      <c r="K82" s="154">
        <f>+'AT&amp;T Mobility'!K98</f>
        <v>16874</v>
      </c>
      <c r="L82" s="154">
        <f>+'AT&amp;T Mobility'!L98</f>
        <v>17187</v>
      </c>
      <c r="M82" s="154">
        <f>+'AT&amp;T Mobility'!M98</f>
        <v>17400</v>
      </c>
      <c r="N82" s="154">
        <f>+'AT&amp;T Mobility'!N98</f>
        <v>17513</v>
      </c>
      <c r="O82" s="154">
        <f>+'AT&amp;T Mobility'!O98</f>
        <v>17526</v>
      </c>
      <c r="P82" s="154">
        <f>+'AT&amp;T Mobility'!P98</f>
        <v>17439</v>
      </c>
      <c r="Q82" s="274"/>
      <c r="R82" s="168"/>
      <c r="S82" s="168"/>
      <c r="T82" s="168"/>
      <c r="U82" s="168"/>
      <c r="V82" s="168"/>
      <c r="W82" s="168"/>
      <c r="X82" s="168"/>
      <c r="Y82" s="168"/>
      <c r="Z82" s="168"/>
      <c r="AA82" s="168"/>
      <c r="AB82" s="168"/>
      <c r="AC82" s="168"/>
      <c r="AD82" s="168"/>
      <c r="AE82" s="168"/>
      <c r="AF82" s="168"/>
      <c r="AG82" s="168"/>
      <c r="AH82" s="168"/>
      <c r="AI82" s="168"/>
      <c r="AJ82" s="168"/>
      <c r="AK82" s="168"/>
      <c r="AL82" s="161"/>
      <c r="AM82" s="161"/>
      <c r="AN82" s="161"/>
      <c r="AO82" s="154">
        <f t="shared" ref="AO82:AV82" si="300">+AO38</f>
        <v>5817</v>
      </c>
      <c r="AP82" s="154">
        <f t="shared" si="300"/>
        <v>10411</v>
      </c>
      <c r="AQ82" s="154">
        <f t="shared" si="300"/>
        <v>10082</v>
      </c>
      <c r="AR82" s="154">
        <f t="shared" si="300"/>
        <v>10026</v>
      </c>
      <c r="AS82" s="154">
        <f t="shared" si="300"/>
        <v>9965</v>
      </c>
      <c r="AT82" s="154">
        <f t="shared" si="300"/>
        <v>10037</v>
      </c>
      <c r="AU82" s="154">
        <f t="shared" si="300"/>
        <v>10438</v>
      </c>
      <c r="AV82" s="154">
        <f t="shared" si="300"/>
        <v>10988</v>
      </c>
      <c r="AW82" s="154">
        <f t="shared" ref="AW82:BB82" si="301">+AW38</f>
        <v>11548</v>
      </c>
      <c r="AX82" s="236">
        <f t="shared" si="301"/>
        <v>12171</v>
      </c>
      <c r="AY82" s="236">
        <f t="shared" si="301"/>
        <v>12633</v>
      </c>
      <c r="AZ82" s="236">
        <f t="shared" si="301"/>
        <v>13035</v>
      </c>
      <c r="BA82" s="236">
        <f t="shared" si="301"/>
        <v>13536</v>
      </c>
      <c r="BB82" s="236">
        <f t="shared" si="301"/>
        <v>13844</v>
      </c>
      <c r="BC82" s="236">
        <f t="shared" ref="BC82:BD82" si="302">+BC38</f>
        <v>14187</v>
      </c>
      <c r="BD82" s="236">
        <f t="shared" si="302"/>
        <v>15136</v>
      </c>
      <c r="BE82" s="236">
        <f t="shared" ref="BE82" si="303">+BE38</f>
        <v>15335</v>
      </c>
      <c r="BF82" s="154">
        <f>+'AT&amp;T Mobility'!BF98</f>
        <v>15517</v>
      </c>
      <c r="BG82" s="154">
        <f>+'AT&amp;T Mobility'!BG98</f>
        <v>15684</v>
      </c>
      <c r="BH82" s="154">
        <f>+'AT&amp;T Mobility'!BH98</f>
        <v>15908</v>
      </c>
      <c r="BI82" s="154">
        <f>+'AT&amp;T Mobility'!BI98</f>
        <v>15948</v>
      </c>
      <c r="BK82" s="236"/>
    </row>
    <row r="83" spans="2:63" s="252" customFormat="1" hidden="1" outlineLevel="1">
      <c r="B83" s="187" t="s">
        <v>117</v>
      </c>
      <c r="C83" s="247"/>
      <c r="D83" s="157"/>
      <c r="E83" s="157">
        <f>SUM(AP83:AS83)</f>
        <v>-311</v>
      </c>
      <c r="F83" s="157">
        <f>SUM(AT83:AW83)</f>
        <v>1364</v>
      </c>
      <c r="G83" s="157">
        <f>SUM(AX83:BA83)</f>
        <v>1575</v>
      </c>
      <c r="H83" s="157">
        <f>SUM(BB83:BE83)</f>
        <v>1013</v>
      </c>
      <c r="I83" s="157">
        <f>SUM(BC83:BF83)</f>
        <v>913</v>
      </c>
      <c r="J83" s="157">
        <f>+'AT&amp;T Mobility'!J99</f>
        <v>513</v>
      </c>
      <c r="K83" s="157">
        <f>+'AT&amp;T Mobility'!K99</f>
        <v>413</v>
      </c>
      <c r="L83" s="157">
        <f>+'AT&amp;T Mobility'!L99</f>
        <v>313</v>
      </c>
      <c r="M83" s="157">
        <f>+'AT&amp;T Mobility'!M99</f>
        <v>213</v>
      </c>
      <c r="N83" s="157">
        <f>+'AT&amp;T Mobility'!N99</f>
        <v>113</v>
      </c>
      <c r="O83" s="157">
        <f>+'AT&amp;T Mobility'!O99</f>
        <v>13</v>
      </c>
      <c r="P83" s="157">
        <f>+'AT&amp;T Mobility'!P99</f>
        <v>-87</v>
      </c>
      <c r="Q83" s="247"/>
      <c r="R83" s="167"/>
      <c r="S83" s="167"/>
      <c r="T83" s="167"/>
      <c r="U83" s="167"/>
      <c r="V83" s="167"/>
      <c r="W83" s="167"/>
      <c r="X83" s="167"/>
      <c r="Y83" s="167"/>
      <c r="Z83" s="167"/>
      <c r="AA83" s="167"/>
      <c r="AB83" s="167"/>
      <c r="AC83" s="167"/>
      <c r="AD83" s="167"/>
      <c r="AE83" s="167"/>
      <c r="AF83" s="167"/>
      <c r="AG83" s="167"/>
      <c r="AH83" s="167"/>
      <c r="AI83" s="167"/>
      <c r="AJ83" s="167"/>
      <c r="AK83" s="167"/>
      <c r="AL83" s="157"/>
      <c r="AM83" s="157"/>
      <c r="AN83" s="157"/>
      <c r="AO83" s="157">
        <f t="shared" ref="AO83:AV83" si="304">+AO44</f>
        <v>73</v>
      </c>
      <c r="AP83" s="157">
        <f t="shared" si="304"/>
        <v>88</v>
      </c>
      <c r="AQ83" s="157">
        <f t="shared" si="304"/>
        <v>-286</v>
      </c>
      <c r="AR83" s="157">
        <f t="shared" si="304"/>
        <v>-46</v>
      </c>
      <c r="AS83" s="157">
        <f t="shared" si="304"/>
        <v>-67</v>
      </c>
      <c r="AT83" s="157">
        <f t="shared" si="304"/>
        <v>98</v>
      </c>
      <c r="AU83" s="157">
        <f t="shared" si="304"/>
        <v>331</v>
      </c>
      <c r="AV83" s="157">
        <f t="shared" si="304"/>
        <v>466</v>
      </c>
      <c r="AW83" s="157">
        <f t="shared" ref="AW83:BB83" si="305">+AW44</f>
        <v>469</v>
      </c>
      <c r="AX83" s="252">
        <f t="shared" si="305"/>
        <v>500</v>
      </c>
      <c r="AY83" s="252">
        <f t="shared" si="305"/>
        <v>365</v>
      </c>
      <c r="AZ83" s="252">
        <f t="shared" si="305"/>
        <v>304</v>
      </c>
      <c r="BA83" s="252">
        <f t="shared" si="305"/>
        <v>406</v>
      </c>
      <c r="BB83" s="252">
        <f t="shared" si="305"/>
        <v>282</v>
      </c>
      <c r="BC83" s="252">
        <f t="shared" ref="BC83:BD83" si="306">+BC44</f>
        <v>267</v>
      </c>
      <c r="BD83" s="252">
        <f t="shared" si="306"/>
        <v>324</v>
      </c>
      <c r="BE83" s="252">
        <f t="shared" ref="BE83" si="307">+BE44</f>
        <v>140</v>
      </c>
      <c r="BF83" s="157">
        <f>+'AT&amp;T Mobility'!BF99</f>
        <v>182</v>
      </c>
      <c r="BG83" s="157">
        <f>+'AT&amp;T Mobility'!BG99</f>
        <v>167</v>
      </c>
      <c r="BH83" s="157">
        <f>+'AT&amp;T Mobility'!BH99</f>
        <v>224</v>
      </c>
      <c r="BI83" s="157">
        <f>+'AT&amp;T Mobility'!BI99</f>
        <v>40</v>
      </c>
      <c r="BK83" s="236"/>
    </row>
    <row r="84" spans="2:63" hidden="1" outlineLevel="1">
      <c r="B84" s="161"/>
      <c r="C84" s="274"/>
      <c r="D84" s="161"/>
      <c r="E84" s="161"/>
      <c r="F84" s="161"/>
      <c r="G84" s="177"/>
      <c r="H84" s="177"/>
      <c r="I84" s="177"/>
      <c r="J84" s="161"/>
      <c r="K84" s="177"/>
      <c r="L84" s="177"/>
      <c r="M84" s="177"/>
      <c r="N84" s="177"/>
      <c r="O84" s="177"/>
      <c r="P84" s="177"/>
      <c r="Q84" s="274"/>
      <c r="R84" s="168"/>
      <c r="S84" s="168"/>
      <c r="T84" s="168"/>
      <c r="U84" s="168"/>
      <c r="V84" s="168"/>
      <c r="W84" s="168"/>
      <c r="X84" s="168"/>
      <c r="Y84" s="168"/>
      <c r="Z84" s="168"/>
      <c r="AA84" s="168"/>
      <c r="AB84" s="168"/>
      <c r="AC84" s="168"/>
      <c r="AD84" s="168"/>
      <c r="AE84" s="168"/>
      <c r="AF84" s="168"/>
      <c r="AG84" s="168"/>
      <c r="AH84" s="168"/>
      <c r="AI84" s="168"/>
      <c r="AJ84" s="168"/>
      <c r="AK84" s="168"/>
      <c r="AL84" s="161"/>
      <c r="AM84" s="161"/>
      <c r="AN84" s="161"/>
      <c r="AO84" s="161"/>
      <c r="AP84" s="161"/>
      <c r="AQ84" s="161"/>
      <c r="AR84" s="161"/>
      <c r="AS84" s="161"/>
      <c r="AT84" s="161"/>
      <c r="AU84" s="161"/>
      <c r="AV84" s="161"/>
      <c r="AW84" s="177"/>
      <c r="BF84" s="177"/>
      <c r="BG84" s="177"/>
      <c r="BH84" s="177"/>
      <c r="BI84" s="177"/>
    </row>
    <row r="85" spans="2:63" s="251" customFormat="1" ht="15.75" hidden="1" outlineLevel="1" thickBot="1">
      <c r="B85" s="194" t="s">
        <v>315</v>
      </c>
      <c r="C85" s="276"/>
      <c r="D85" s="195">
        <f>+D$6</f>
        <v>2013</v>
      </c>
      <c r="E85" s="196">
        <f t="shared" ref="E85:P85" si="308">+E$6</f>
        <v>2014</v>
      </c>
      <c r="F85" s="196">
        <f t="shared" si="308"/>
        <v>2015</v>
      </c>
      <c r="G85" s="196">
        <f t="shared" si="308"/>
        <v>2016</v>
      </c>
      <c r="H85" s="196">
        <f t="shared" si="308"/>
        <v>2017</v>
      </c>
      <c r="I85" s="196" t="str">
        <f t="shared" si="308"/>
        <v>2018E</v>
      </c>
      <c r="J85" s="197" t="str">
        <f t="shared" si="308"/>
        <v>2019E</v>
      </c>
      <c r="K85" s="197" t="str">
        <f t="shared" si="308"/>
        <v>2020E</v>
      </c>
      <c r="L85" s="197" t="str">
        <f t="shared" si="308"/>
        <v>2021E</v>
      </c>
      <c r="M85" s="197" t="str">
        <f t="shared" si="308"/>
        <v>2022E</v>
      </c>
      <c r="N85" s="197" t="str">
        <f t="shared" si="308"/>
        <v>2023E</v>
      </c>
      <c r="O85" s="197" t="str">
        <f t="shared" si="308"/>
        <v>2024E</v>
      </c>
      <c r="P85" s="197" t="str">
        <f t="shared" si="308"/>
        <v>2025E</v>
      </c>
      <c r="Q85" s="241"/>
      <c r="R85" s="196"/>
      <c r="S85" s="196"/>
      <c r="T85" s="196"/>
      <c r="U85" s="196"/>
      <c r="V85" s="196"/>
      <c r="W85" s="196"/>
      <c r="X85" s="196"/>
      <c r="Y85" s="196"/>
      <c r="Z85" s="196"/>
      <c r="AA85" s="196"/>
      <c r="AB85" s="196"/>
      <c r="AC85" s="196"/>
      <c r="AD85" s="196"/>
      <c r="AE85" s="196"/>
      <c r="AF85" s="196"/>
      <c r="AG85" s="196"/>
      <c r="AH85" s="196"/>
      <c r="AI85" s="196"/>
      <c r="AJ85" s="196"/>
      <c r="AK85" s="196"/>
      <c r="AL85" s="196" t="s">
        <v>248</v>
      </c>
      <c r="AM85" s="196" t="s">
        <v>249</v>
      </c>
      <c r="AN85" s="196" t="s">
        <v>250</v>
      </c>
      <c r="AO85" s="196" t="s">
        <v>251</v>
      </c>
      <c r="AP85" s="196">
        <f>+AP42</f>
        <v>0</v>
      </c>
      <c r="AQ85" s="196">
        <f>+AQ42</f>
        <v>0</v>
      </c>
      <c r="AR85" s="196">
        <f>+AR42</f>
        <v>0</v>
      </c>
      <c r="AS85" s="196">
        <f>+AS42</f>
        <v>0</v>
      </c>
      <c r="AT85" s="196" t="str">
        <f>+AT$6</f>
        <v>1Q15</v>
      </c>
      <c r="AU85" s="196" t="str">
        <f t="shared" ref="AU85:BI85" si="309">+AU$6</f>
        <v>2Q15</v>
      </c>
      <c r="AV85" s="196" t="str">
        <f t="shared" si="309"/>
        <v>3Q15</v>
      </c>
      <c r="AW85" s="196" t="str">
        <f t="shared" si="309"/>
        <v>4Q15</v>
      </c>
      <c r="AX85" s="242" t="str">
        <f t="shared" si="309"/>
        <v>1Q16</v>
      </c>
      <c r="AY85" s="242" t="str">
        <f t="shared" si="309"/>
        <v>2Q16</v>
      </c>
      <c r="AZ85" s="242" t="str">
        <f t="shared" si="309"/>
        <v>3Q16</v>
      </c>
      <c r="BA85" s="242" t="str">
        <f t="shared" si="309"/>
        <v>4Q16</v>
      </c>
      <c r="BB85" s="242" t="str">
        <f t="shared" si="309"/>
        <v>1Q17</v>
      </c>
      <c r="BC85" s="242" t="str">
        <f t="shared" si="309"/>
        <v>2Q17</v>
      </c>
      <c r="BD85" s="242" t="str">
        <f t="shared" si="309"/>
        <v>3Q17</v>
      </c>
      <c r="BE85" s="242" t="str">
        <f t="shared" si="309"/>
        <v>4Q17</v>
      </c>
      <c r="BF85" s="197" t="str">
        <f t="shared" si="309"/>
        <v>1Q18E</v>
      </c>
      <c r="BG85" s="197" t="str">
        <f t="shared" si="309"/>
        <v>2Q18E</v>
      </c>
      <c r="BH85" s="197" t="str">
        <f t="shared" si="309"/>
        <v>3Q18E</v>
      </c>
      <c r="BI85" s="197" t="str">
        <f t="shared" si="309"/>
        <v>4Q18E</v>
      </c>
    </row>
    <row r="86" spans="2:63" hidden="1" outlineLevel="1">
      <c r="B86" s="182"/>
      <c r="D86" s="161"/>
      <c r="E86" s="161"/>
      <c r="F86" s="161"/>
      <c r="G86" s="177"/>
      <c r="H86" s="177"/>
      <c r="I86" s="177"/>
      <c r="J86" s="161"/>
      <c r="K86" s="177"/>
      <c r="L86" s="177"/>
      <c r="M86" s="177"/>
      <c r="N86" s="177"/>
      <c r="O86" s="177"/>
      <c r="P86" s="177"/>
      <c r="R86" s="163"/>
      <c r="S86" s="163"/>
      <c r="T86" s="163"/>
      <c r="U86" s="163"/>
      <c r="V86" s="163"/>
      <c r="W86" s="163"/>
      <c r="X86" s="163"/>
      <c r="Y86" s="163"/>
      <c r="Z86" s="163"/>
      <c r="AA86" s="163"/>
      <c r="AB86" s="163"/>
      <c r="AC86" s="163"/>
      <c r="AD86" s="163"/>
      <c r="AE86" s="163"/>
      <c r="AF86" s="163"/>
      <c r="AG86" s="163"/>
      <c r="AH86" s="163"/>
      <c r="AI86" s="163"/>
      <c r="AJ86" s="163"/>
      <c r="AK86" s="163"/>
      <c r="AL86" s="161"/>
      <c r="AM86" s="161"/>
      <c r="AN86" s="161"/>
      <c r="AO86" s="161"/>
      <c r="AP86" s="161"/>
      <c r="AQ86" s="161"/>
      <c r="AR86" s="161"/>
      <c r="AS86" s="161"/>
      <c r="AT86" s="161"/>
      <c r="AU86" s="161"/>
      <c r="AV86" s="161"/>
      <c r="AW86" s="177"/>
      <c r="BF86" s="177"/>
      <c r="BG86" s="177"/>
      <c r="BH86" s="177"/>
      <c r="BI86" s="177"/>
    </row>
    <row r="87" spans="2:63" s="240" customFormat="1" hidden="1" outlineLevel="1">
      <c r="B87" s="162" t="s">
        <v>317</v>
      </c>
      <c r="C87" s="247"/>
      <c r="D87" s="162"/>
      <c r="E87" s="157">
        <f>SUM(AP87:AS87)</f>
        <v>2363</v>
      </c>
      <c r="F87" s="157">
        <f>SUM(AT87:AW87)</f>
        <v>2458</v>
      </c>
      <c r="G87" s="157">
        <f>SUM(AX87:BA87)</f>
        <v>2532</v>
      </c>
      <c r="H87" s="157">
        <f>SUM(BB87:BE87)</f>
        <v>2532</v>
      </c>
      <c r="I87" s="157">
        <f>SUM(BC87:BF87)</f>
        <v>2490.7055812734084</v>
      </c>
      <c r="J87" s="175">
        <f>J90*AVERAGE(I99:J99)*12/1000</f>
        <v>2426.0483248202954</v>
      </c>
      <c r="K87" s="175">
        <f t="shared" ref="K87:P87" si="310">K90*AVERAGE(J99:K99)*12/1000</f>
        <v>2437.0427248202959</v>
      </c>
      <c r="L87" s="175">
        <f t="shared" si="310"/>
        <v>2448.0371248202955</v>
      </c>
      <c r="M87" s="175">
        <f t="shared" si="310"/>
        <v>2459.031524820296</v>
      </c>
      <c r="N87" s="175">
        <f t="shared" si="310"/>
        <v>2470.025924820296</v>
      </c>
      <c r="O87" s="175">
        <f t="shared" si="310"/>
        <v>2481.0203248202965</v>
      </c>
      <c r="P87" s="175">
        <f t="shared" si="310"/>
        <v>2492.0147248202961</v>
      </c>
      <c r="Q87" s="247"/>
      <c r="R87" s="167"/>
      <c r="S87" s="167"/>
      <c r="T87" s="167"/>
      <c r="U87" s="167"/>
      <c r="V87" s="167"/>
      <c r="W87" s="167"/>
      <c r="X87" s="167"/>
      <c r="Y87" s="167"/>
      <c r="Z87" s="167"/>
      <c r="AA87" s="167"/>
      <c r="AB87" s="167"/>
      <c r="AC87" s="167"/>
      <c r="AD87" s="167"/>
      <c r="AE87" s="167"/>
      <c r="AF87" s="167"/>
      <c r="AG87" s="167"/>
      <c r="AH87" s="167"/>
      <c r="AI87" s="167"/>
      <c r="AJ87" s="167"/>
      <c r="AK87" s="167"/>
      <c r="AL87" s="162"/>
      <c r="AM87" s="162"/>
      <c r="AN87" s="157"/>
      <c r="AO87" s="157">
        <f>+AO10</f>
        <v>569</v>
      </c>
      <c r="AP87" s="157">
        <f t="shared" ref="AP87:AV87" si="311">+AP10</f>
        <v>539</v>
      </c>
      <c r="AQ87" s="157">
        <f t="shared" si="311"/>
        <v>583</v>
      </c>
      <c r="AR87" s="157">
        <f t="shared" si="311"/>
        <v>646</v>
      </c>
      <c r="AS87" s="157">
        <f t="shared" si="311"/>
        <v>595</v>
      </c>
      <c r="AT87" s="157">
        <f t="shared" si="311"/>
        <v>582</v>
      </c>
      <c r="AU87" s="157">
        <f t="shared" si="311"/>
        <v>605</v>
      </c>
      <c r="AV87" s="157">
        <f t="shared" si="311"/>
        <v>638</v>
      </c>
      <c r="AW87" s="157">
        <f t="shared" ref="AW87:BB87" si="312">+AW10</f>
        <v>633</v>
      </c>
      <c r="AX87" s="252">
        <f t="shared" si="312"/>
        <v>633</v>
      </c>
      <c r="AY87" s="252">
        <f t="shared" si="312"/>
        <v>633</v>
      </c>
      <c r="AZ87" s="252">
        <f t="shared" si="312"/>
        <v>633</v>
      </c>
      <c r="BA87" s="252">
        <f t="shared" si="312"/>
        <v>633</v>
      </c>
      <c r="BB87" s="252">
        <f t="shared" si="312"/>
        <v>633</v>
      </c>
      <c r="BC87" s="252">
        <f t="shared" ref="BC87:BD87" si="313">+BC10</f>
        <v>633</v>
      </c>
      <c r="BD87" s="252">
        <f t="shared" si="313"/>
        <v>633</v>
      </c>
      <c r="BE87" s="252">
        <f t="shared" ref="BE87" si="314">+BE10</f>
        <v>633</v>
      </c>
      <c r="BF87" s="175">
        <f t="shared" ref="BF87" si="315">BF90*AVERAGE(BE99:BF99)*3/1000</f>
        <v>591.70558127340837</v>
      </c>
      <c r="BG87" s="175">
        <f t="shared" ref="BG87" si="316">BG90*AVERAGE(BF99:BG99)*3/1000</f>
        <v>559.49120449438215</v>
      </c>
      <c r="BH87" s="175">
        <f t="shared" ref="BH87" si="317">BH90*AVERAGE(BG99:BH99)*3/1000</f>
        <v>532.61197415730351</v>
      </c>
      <c r="BI87" s="175">
        <f t="shared" ref="BI87" si="318">BI90*AVERAGE(BH99:BI99)*3/1000</f>
        <v>497.30269213483155</v>
      </c>
      <c r="BK87" s="236"/>
    </row>
    <row r="88" spans="2:63" s="248" customFormat="1" hidden="1" outlineLevel="1">
      <c r="B88" s="181" t="s">
        <v>252</v>
      </c>
      <c r="C88" s="319"/>
      <c r="D88" s="159"/>
      <c r="E88" s="159"/>
      <c r="F88" s="159">
        <f>+F87/E87-1</f>
        <v>4.0203131612357224E-2</v>
      </c>
      <c r="G88" s="159">
        <f>+G87/F87-1</f>
        <v>3.0105777054515892E-2</v>
      </c>
      <c r="H88" s="159">
        <f>+H87/G87-1</f>
        <v>0</v>
      </c>
      <c r="I88" s="159">
        <f>+I87/H87-1</f>
        <v>-1.6309012135304779E-2</v>
      </c>
      <c r="J88" s="159">
        <f>+J87/I87-1</f>
        <v>-2.5959413645371909E-2</v>
      </c>
      <c r="K88" s="159">
        <f t="shared" ref="K88:P88" si="319">+K87/J87-1</f>
        <v>4.5318140976498E-3</v>
      </c>
      <c r="L88" s="159">
        <f t="shared" si="319"/>
        <v>4.5113694101568402E-3</v>
      </c>
      <c r="M88" s="159">
        <f t="shared" si="319"/>
        <v>4.4911083612784175E-3</v>
      </c>
      <c r="N88" s="159">
        <f t="shared" si="319"/>
        <v>4.4710284878528572E-3</v>
      </c>
      <c r="O88" s="159">
        <f t="shared" si="319"/>
        <v>4.451127370576291E-3</v>
      </c>
      <c r="P88" s="159">
        <f t="shared" si="319"/>
        <v>4.4314026330258827E-3</v>
      </c>
      <c r="Q88" s="319"/>
      <c r="R88" s="164"/>
      <c r="S88" s="164"/>
      <c r="T88" s="164"/>
      <c r="U88" s="164"/>
      <c r="V88" s="164"/>
      <c r="W88" s="164"/>
      <c r="X88" s="164"/>
      <c r="Y88" s="164"/>
      <c r="Z88" s="164"/>
      <c r="AA88" s="164"/>
      <c r="AB88" s="164"/>
      <c r="AC88" s="164"/>
      <c r="AD88" s="164"/>
      <c r="AE88" s="164"/>
      <c r="AF88" s="164"/>
      <c r="AG88" s="164"/>
      <c r="AH88" s="164"/>
      <c r="AI88" s="164"/>
      <c r="AJ88" s="164"/>
      <c r="AK88" s="164"/>
      <c r="AL88" s="159"/>
      <c r="AM88" s="159"/>
      <c r="AN88" s="159"/>
      <c r="AO88" s="159"/>
      <c r="AP88" s="159"/>
      <c r="AQ88" s="159"/>
      <c r="AR88" s="159"/>
      <c r="AS88" s="179">
        <f t="shared" ref="AS88:BE88" si="320">+AS87/AO87-1</f>
        <v>4.5694200351493741E-2</v>
      </c>
      <c r="AT88" s="179">
        <f t="shared" si="320"/>
        <v>7.9777365491651153E-2</v>
      </c>
      <c r="AU88" s="179">
        <f t="shared" si="320"/>
        <v>3.7735849056603765E-2</v>
      </c>
      <c r="AV88" s="179">
        <f t="shared" si="320"/>
        <v>-1.2383900928792602E-2</v>
      </c>
      <c r="AW88" s="179">
        <f t="shared" si="320"/>
        <v>6.386554621848739E-2</v>
      </c>
      <c r="AX88" s="283">
        <f t="shared" si="320"/>
        <v>8.7628865979381354E-2</v>
      </c>
      <c r="AY88" s="283">
        <f t="shared" si="320"/>
        <v>4.6280991735537125E-2</v>
      </c>
      <c r="AZ88" s="283">
        <f t="shared" si="320"/>
        <v>-7.8369905956112706E-3</v>
      </c>
      <c r="BA88" s="283">
        <f t="shared" si="320"/>
        <v>0</v>
      </c>
      <c r="BB88" s="283">
        <f t="shared" si="320"/>
        <v>0</v>
      </c>
      <c r="BC88" s="283">
        <f t="shared" si="320"/>
        <v>0</v>
      </c>
      <c r="BD88" s="283">
        <f t="shared" si="320"/>
        <v>0</v>
      </c>
      <c r="BE88" s="283">
        <f t="shared" si="320"/>
        <v>0</v>
      </c>
      <c r="BF88" s="179">
        <f t="shared" ref="BF88" si="321">+BF87/BB87-1</f>
        <v>-6.5236048541219005E-2</v>
      </c>
      <c r="BG88" s="179">
        <f t="shared" ref="BG88" si="322">+BG87/BC87-1</f>
        <v>-0.11612763902941214</v>
      </c>
      <c r="BH88" s="179">
        <f t="shared" ref="BH88" si="323">+BH87/BD87-1</f>
        <v>-0.15859087810852524</v>
      </c>
      <c r="BI88" s="179">
        <f t="shared" ref="BI88" si="324">+BI87/BE87-1</f>
        <v>-0.21437173438415236</v>
      </c>
    </row>
    <row r="89" spans="2:63" hidden="1" outlineLevel="1">
      <c r="B89" s="161"/>
      <c r="C89" s="274"/>
      <c r="D89" s="161"/>
      <c r="E89" s="161"/>
      <c r="F89" s="161"/>
      <c r="G89" s="177"/>
      <c r="H89" s="177"/>
      <c r="I89" s="177"/>
      <c r="J89" s="161"/>
      <c r="K89" s="177"/>
      <c r="L89" s="177"/>
      <c r="M89" s="177"/>
      <c r="N89" s="177"/>
      <c r="O89" s="177"/>
      <c r="P89" s="177"/>
      <c r="Q89" s="274"/>
      <c r="R89" s="168"/>
      <c r="S89" s="168"/>
      <c r="T89" s="168"/>
      <c r="U89" s="168"/>
      <c r="V89" s="168"/>
      <c r="W89" s="168"/>
      <c r="X89" s="168"/>
      <c r="Y89" s="168"/>
      <c r="Z89" s="168"/>
      <c r="AA89" s="168"/>
      <c r="AB89" s="168"/>
      <c r="AC89" s="168"/>
      <c r="AD89" s="168"/>
      <c r="AE89" s="168"/>
      <c r="AF89" s="168"/>
      <c r="AG89" s="168"/>
      <c r="AH89" s="168"/>
      <c r="AI89" s="168"/>
      <c r="AJ89" s="168"/>
      <c r="AK89" s="168"/>
      <c r="AL89" s="161"/>
      <c r="AM89" s="161"/>
      <c r="AN89" s="161"/>
      <c r="AO89" s="161"/>
      <c r="AP89" s="161"/>
      <c r="AQ89" s="161"/>
      <c r="AR89" s="161"/>
      <c r="AS89" s="161"/>
      <c r="AT89" s="161"/>
      <c r="AU89" s="161"/>
      <c r="AV89" s="161"/>
      <c r="AW89" s="177"/>
      <c r="BF89" s="177"/>
      <c r="BG89" s="177"/>
      <c r="BH89" s="177"/>
      <c r="BI89" s="177"/>
    </row>
    <row r="90" spans="2:63" s="240" customFormat="1" hidden="1" outlineLevel="1">
      <c r="B90" s="171" t="s">
        <v>41</v>
      </c>
      <c r="C90" s="247"/>
      <c r="D90" s="162"/>
      <c r="E90" s="171">
        <f>+E87/AVERAGE(D99:E99)/12*1000</f>
        <v>12.927827380952381</v>
      </c>
      <c r="F90" s="171">
        <f>+F87/AVERAGE(E99:F99)/12*1000</f>
        <v>13.893128045127231</v>
      </c>
      <c r="G90" s="171">
        <f>+G87/AVERAGE(F99:G99)/12*1000</f>
        <v>15.376206959373292</v>
      </c>
      <c r="H90" s="171">
        <f>+H87/AVERAGE(G99:H99)/12*1000</f>
        <v>18.704015601453769</v>
      </c>
      <c r="I90" s="171">
        <f>+I87/AVERAGE(H99:I99)/12*1000</f>
        <v>21.966218482320958</v>
      </c>
      <c r="J90" s="185">
        <f>+I90+J93</f>
        <v>22.066218482320959</v>
      </c>
      <c r="K90" s="185">
        <f t="shared" ref="K90:P90" si="325">+J90+K93</f>
        <v>22.166218482320961</v>
      </c>
      <c r="L90" s="185">
        <f t="shared" si="325"/>
        <v>22.266218482320962</v>
      </c>
      <c r="M90" s="185">
        <f t="shared" si="325"/>
        <v>22.366218482320964</v>
      </c>
      <c r="N90" s="185">
        <f t="shared" si="325"/>
        <v>22.466218482320965</v>
      </c>
      <c r="O90" s="185">
        <f t="shared" si="325"/>
        <v>22.566218482320966</v>
      </c>
      <c r="P90" s="185">
        <f t="shared" si="325"/>
        <v>22.666218482320968</v>
      </c>
      <c r="Q90" s="247"/>
      <c r="R90" s="167"/>
      <c r="S90" s="167"/>
      <c r="T90" s="167"/>
      <c r="U90" s="167"/>
      <c r="V90" s="167"/>
      <c r="W90" s="167"/>
      <c r="X90" s="167"/>
      <c r="Y90" s="167"/>
      <c r="Z90" s="167"/>
      <c r="AA90" s="167"/>
      <c r="AB90" s="167"/>
      <c r="AC90" s="167"/>
      <c r="AD90" s="167"/>
      <c r="AE90" s="167"/>
      <c r="AF90" s="167"/>
      <c r="AG90" s="167"/>
      <c r="AH90" s="167"/>
      <c r="AI90" s="167"/>
      <c r="AJ90" s="167"/>
      <c r="AK90" s="167"/>
      <c r="AL90" s="162"/>
      <c r="AM90" s="162"/>
      <c r="AN90" s="162"/>
      <c r="AO90" s="221">
        <f t="shared" ref="AO90:BE90" si="326">+AO87/AVERAGE(AN99:AO99)/3*1000</f>
        <v>12.161237924254081</v>
      </c>
      <c r="AP90" s="221">
        <f t="shared" si="326"/>
        <v>11.635311768070892</v>
      </c>
      <c r="AQ90" s="221">
        <f t="shared" si="326"/>
        <v>12.829399790944599</v>
      </c>
      <c r="AR90" s="221">
        <f t="shared" si="326"/>
        <v>14.337872179867054</v>
      </c>
      <c r="AS90" s="221">
        <f t="shared" si="326"/>
        <v>13.267774916100835</v>
      </c>
      <c r="AT90" s="221">
        <f t="shared" si="326"/>
        <v>13.1784525507778</v>
      </c>
      <c r="AU90" s="221">
        <f t="shared" si="326"/>
        <v>13.900376803602608</v>
      </c>
      <c r="AV90" s="221">
        <f t="shared" si="326"/>
        <v>14.645960308988441</v>
      </c>
      <c r="AW90" s="221">
        <f t="shared" si="326"/>
        <v>14.443151481963174</v>
      </c>
      <c r="AX90" s="322">
        <f t="shared" si="326"/>
        <v>14.638545858193423</v>
      </c>
      <c r="AY90" s="322">
        <f t="shared" si="326"/>
        <v>15.085436476728391</v>
      </c>
      <c r="AZ90" s="322">
        <f t="shared" si="326"/>
        <v>15.476583415850662</v>
      </c>
      <c r="BA90" s="322">
        <f t="shared" si="326"/>
        <v>16.028562746885445</v>
      </c>
      <c r="BB90" s="322">
        <f t="shared" si="326"/>
        <v>17.340565417488495</v>
      </c>
      <c r="BC90" s="322">
        <f t="shared" si="326"/>
        <v>18.558423853291703</v>
      </c>
      <c r="BD90" s="322">
        <f t="shared" si="326"/>
        <v>19.611488056510826</v>
      </c>
      <c r="BE90" s="322">
        <f t="shared" si="326"/>
        <v>21.073657927590514</v>
      </c>
      <c r="BF90" s="185">
        <f t="shared" ref="BF90" si="327">+BE90+BF92</f>
        <v>20.873657927590514</v>
      </c>
      <c r="BG90" s="185">
        <f t="shared" ref="BG90" si="328">+BF90+BG92</f>
        <v>20.673657927590515</v>
      </c>
      <c r="BH90" s="185">
        <f t="shared" ref="BH90" si="329">+BG90+BH92</f>
        <v>20.473657927590516</v>
      </c>
      <c r="BI90" s="185">
        <f t="shared" ref="BI90" si="330">+BH90+BI92</f>
        <v>20.273657927590516</v>
      </c>
      <c r="BK90" s="236"/>
    </row>
    <row r="91" spans="2:63" s="248" customFormat="1" hidden="1" outlineLevel="1">
      <c r="B91" s="181" t="s">
        <v>252</v>
      </c>
      <c r="C91" s="319"/>
      <c r="D91" s="159"/>
      <c r="E91" s="159"/>
      <c r="F91" s="159">
        <f>+F90/E90-1</f>
        <v>7.4668436987107789E-2</v>
      </c>
      <c r="G91" s="159">
        <f>+G90/F90-1</f>
        <v>0.10674909994558246</v>
      </c>
      <c r="H91" s="159">
        <f>+H90/G90-1</f>
        <v>0.21642584877227167</v>
      </c>
      <c r="I91" s="159">
        <f>+I90/H90-1</f>
        <v>0.17441189904769083</v>
      </c>
      <c r="J91" s="159">
        <f>+J90/I90-1</f>
        <v>4.5524449317702054E-3</v>
      </c>
      <c r="K91" s="159">
        <f t="shared" ref="K91:P91" si="331">+K90/J90-1</f>
        <v>4.5318140976498E-3</v>
      </c>
      <c r="L91" s="159">
        <f t="shared" si="331"/>
        <v>4.5113694101570623E-3</v>
      </c>
      <c r="M91" s="159">
        <f t="shared" si="331"/>
        <v>4.4911083612784175E-3</v>
      </c>
      <c r="N91" s="159">
        <f t="shared" si="331"/>
        <v>4.4710284878530793E-3</v>
      </c>
      <c r="O91" s="159">
        <f t="shared" si="331"/>
        <v>4.451127370576069E-3</v>
      </c>
      <c r="P91" s="159">
        <f t="shared" si="331"/>
        <v>4.4314026330261047E-3</v>
      </c>
      <c r="Q91" s="319"/>
      <c r="R91" s="164"/>
      <c r="S91" s="164"/>
      <c r="T91" s="164"/>
      <c r="U91" s="164"/>
      <c r="V91" s="164"/>
      <c r="W91" s="164"/>
      <c r="X91" s="164"/>
      <c r="Y91" s="164"/>
      <c r="Z91" s="164"/>
      <c r="AA91" s="164"/>
      <c r="AB91" s="164"/>
      <c r="AC91" s="164"/>
      <c r="AD91" s="164"/>
      <c r="AE91" s="164"/>
      <c r="AF91" s="164"/>
      <c r="AG91" s="164"/>
      <c r="AH91" s="164"/>
      <c r="AI91" s="164"/>
      <c r="AJ91" s="164"/>
      <c r="AK91" s="164"/>
      <c r="AL91" s="159"/>
      <c r="AM91" s="159"/>
      <c r="AN91" s="159"/>
      <c r="AO91" s="159"/>
      <c r="AP91" s="179"/>
      <c r="AQ91" s="179"/>
      <c r="AR91" s="179"/>
      <c r="AS91" s="179"/>
      <c r="AT91" s="179">
        <f t="shared" ref="AT91:BE91" si="332">+AT90/AP90-1</f>
        <v>0.1326256497003826</v>
      </c>
      <c r="AU91" s="179">
        <f t="shared" si="332"/>
        <v>8.347834116245556E-2</v>
      </c>
      <c r="AV91" s="179">
        <f t="shared" si="332"/>
        <v>2.1487716256391121E-2</v>
      </c>
      <c r="AW91" s="179">
        <f t="shared" si="332"/>
        <v>8.8588823167024433E-2</v>
      </c>
      <c r="AX91" s="283">
        <f t="shared" si="332"/>
        <v>0.11079398751786274</v>
      </c>
      <c r="AY91" s="283">
        <f t="shared" si="332"/>
        <v>8.5253780517564604E-2</v>
      </c>
      <c r="AZ91" s="283">
        <f t="shared" si="332"/>
        <v>5.6713461551063826E-2</v>
      </c>
      <c r="BA91" s="283">
        <f t="shared" si="332"/>
        <v>0.10976906715284107</v>
      </c>
      <c r="BB91" s="283">
        <f t="shared" si="332"/>
        <v>0.18458251150558858</v>
      </c>
      <c r="BC91" s="283">
        <f t="shared" si="332"/>
        <v>0.2302212058577775</v>
      </c>
      <c r="BD91" s="283">
        <f t="shared" si="332"/>
        <v>0.267171670229575</v>
      </c>
      <c r="BE91" s="283">
        <f t="shared" si="332"/>
        <v>0.31475655430711624</v>
      </c>
      <c r="BF91" s="179">
        <f t="shared" ref="BF91" si="333">+BF90/BB90-1</f>
        <v>0.20374724958730517</v>
      </c>
      <c r="BG91" s="179">
        <f t="shared" ref="BG91" si="334">+BG90/BC90-1</f>
        <v>0.11397703226417222</v>
      </c>
      <c r="BH91" s="179">
        <f t="shared" ref="BH91" si="335">+BH90/BD90-1</f>
        <v>4.3962491198798137E-2</v>
      </c>
      <c r="BI91" s="179">
        <f t="shared" ref="BI91" si="336">+BI90/BE90-1</f>
        <v>-3.7962085308056781E-2</v>
      </c>
    </row>
    <row r="92" spans="2:63" s="331" customFormat="1" hidden="1" outlineLevel="1">
      <c r="B92" s="212" t="s">
        <v>342</v>
      </c>
      <c r="C92" s="332"/>
      <c r="D92" s="227"/>
      <c r="E92" s="227"/>
      <c r="F92" s="227"/>
      <c r="G92" s="227"/>
      <c r="H92" s="227"/>
      <c r="I92" s="227"/>
      <c r="J92" s="227"/>
      <c r="K92" s="227"/>
      <c r="L92" s="227"/>
      <c r="M92" s="227"/>
      <c r="N92" s="227"/>
      <c r="O92" s="227"/>
      <c r="P92" s="227"/>
      <c r="Q92" s="332"/>
      <c r="R92" s="226"/>
      <c r="S92" s="226"/>
      <c r="T92" s="226"/>
      <c r="U92" s="226"/>
      <c r="V92" s="226"/>
      <c r="W92" s="226"/>
      <c r="X92" s="226"/>
      <c r="Y92" s="226"/>
      <c r="Z92" s="226"/>
      <c r="AA92" s="226"/>
      <c r="AB92" s="226"/>
      <c r="AC92" s="226"/>
      <c r="AD92" s="226"/>
      <c r="AE92" s="226"/>
      <c r="AF92" s="226"/>
      <c r="AG92" s="226"/>
      <c r="AH92" s="226"/>
      <c r="AI92" s="226"/>
      <c r="AJ92" s="226"/>
      <c r="AK92" s="226"/>
      <c r="AL92" s="227"/>
      <c r="AM92" s="227"/>
      <c r="AN92" s="227"/>
      <c r="AO92" s="227"/>
      <c r="AP92" s="214">
        <f t="shared" ref="AP92:BE92" si="337">+AP90-AO90</f>
        <v>-0.52592615618318916</v>
      </c>
      <c r="AQ92" s="214">
        <f t="shared" si="337"/>
        <v>1.1940880228737072</v>
      </c>
      <c r="AR92" s="214">
        <f t="shared" si="337"/>
        <v>1.5084723889224545</v>
      </c>
      <c r="AS92" s="214">
        <f t="shared" si="337"/>
        <v>-1.0700972637662183</v>
      </c>
      <c r="AT92" s="214">
        <f t="shared" si="337"/>
        <v>-8.9322365323035058E-2</v>
      </c>
      <c r="AU92" s="214">
        <f t="shared" si="337"/>
        <v>0.72192425282480777</v>
      </c>
      <c r="AV92" s="214">
        <f t="shared" si="337"/>
        <v>0.74558350538583262</v>
      </c>
      <c r="AW92" s="214">
        <f t="shared" si="337"/>
        <v>-0.20280882702526704</v>
      </c>
      <c r="AX92" s="303">
        <f t="shared" si="337"/>
        <v>0.19539437623024902</v>
      </c>
      <c r="AY92" s="303">
        <f t="shared" si="337"/>
        <v>0.44689061853496881</v>
      </c>
      <c r="AZ92" s="303">
        <f t="shared" si="337"/>
        <v>0.39114693912227061</v>
      </c>
      <c r="BA92" s="303">
        <f t="shared" si="337"/>
        <v>0.55197933103478292</v>
      </c>
      <c r="BB92" s="303">
        <f t="shared" si="337"/>
        <v>1.3120026706030501</v>
      </c>
      <c r="BC92" s="303">
        <f t="shared" si="337"/>
        <v>1.2178584358032083</v>
      </c>
      <c r="BD92" s="303">
        <f t="shared" si="337"/>
        <v>1.0530642032191224</v>
      </c>
      <c r="BE92" s="303">
        <f t="shared" si="337"/>
        <v>1.4621698710796878</v>
      </c>
      <c r="BF92" s="215">
        <v>-0.2</v>
      </c>
      <c r="BG92" s="215">
        <v>-0.2</v>
      </c>
      <c r="BH92" s="215">
        <v>-0.2</v>
      </c>
      <c r="BI92" s="215">
        <v>-0.2</v>
      </c>
    </row>
    <row r="93" spans="2:63" s="331" customFormat="1" hidden="1" outlineLevel="1">
      <c r="B93" s="212" t="s">
        <v>343</v>
      </c>
      <c r="C93" s="332"/>
      <c r="D93" s="227"/>
      <c r="E93" s="227"/>
      <c r="F93" s="214">
        <f>+F90-E90</f>
        <v>0.96530066417484939</v>
      </c>
      <c r="G93" s="214">
        <f>+G90-F90</f>
        <v>1.483078914246061</v>
      </c>
      <c r="H93" s="214">
        <f>+H90-G90</f>
        <v>3.3278086420804769</v>
      </c>
      <c r="I93" s="214">
        <f>+I90-H90</f>
        <v>3.2622028808671892</v>
      </c>
      <c r="J93" s="215">
        <v>0.1</v>
      </c>
      <c r="K93" s="215">
        <v>0.1</v>
      </c>
      <c r="L93" s="215">
        <v>0.1</v>
      </c>
      <c r="M93" s="215">
        <v>0.1</v>
      </c>
      <c r="N93" s="215">
        <v>0.1</v>
      </c>
      <c r="O93" s="215">
        <v>0.1</v>
      </c>
      <c r="P93" s="215">
        <v>0.1</v>
      </c>
      <c r="Q93" s="332"/>
      <c r="R93" s="226"/>
      <c r="S93" s="226"/>
      <c r="T93" s="226"/>
      <c r="U93" s="226"/>
      <c r="V93" s="226"/>
      <c r="W93" s="226"/>
      <c r="X93" s="226"/>
      <c r="Y93" s="226"/>
      <c r="Z93" s="226"/>
      <c r="AA93" s="226"/>
      <c r="AB93" s="226"/>
      <c r="AC93" s="226"/>
      <c r="AD93" s="226"/>
      <c r="AE93" s="226"/>
      <c r="AF93" s="226"/>
      <c r="AG93" s="226"/>
      <c r="AH93" s="226"/>
      <c r="AI93" s="226"/>
      <c r="AJ93" s="226"/>
      <c r="AK93" s="226"/>
      <c r="AL93" s="227"/>
      <c r="AM93" s="227"/>
      <c r="AN93" s="227"/>
      <c r="AO93" s="227"/>
      <c r="AP93" s="214"/>
      <c r="AQ93" s="214"/>
      <c r="AR93" s="214"/>
      <c r="AS93" s="214">
        <f t="shared" ref="AS93:BE93" si="338">+AS90-AO90</f>
        <v>1.1065369918467542</v>
      </c>
      <c r="AT93" s="214">
        <f t="shared" si="338"/>
        <v>1.5431407827069084</v>
      </c>
      <c r="AU93" s="214">
        <f t="shared" si="338"/>
        <v>1.0709770126580089</v>
      </c>
      <c r="AV93" s="214">
        <f t="shared" si="338"/>
        <v>0.30808812912138706</v>
      </c>
      <c r="AW93" s="214">
        <f t="shared" si="338"/>
        <v>1.1753765658623383</v>
      </c>
      <c r="AX93" s="303">
        <f t="shared" si="338"/>
        <v>1.4600933074156224</v>
      </c>
      <c r="AY93" s="303">
        <f t="shared" si="338"/>
        <v>1.1850596731257834</v>
      </c>
      <c r="AZ93" s="303">
        <f t="shared" si="338"/>
        <v>0.83062310686222141</v>
      </c>
      <c r="BA93" s="303">
        <f t="shared" si="338"/>
        <v>1.5854112649222714</v>
      </c>
      <c r="BB93" s="303">
        <f t="shared" si="338"/>
        <v>2.7020195592950724</v>
      </c>
      <c r="BC93" s="303">
        <f t="shared" si="338"/>
        <v>3.4729873765633119</v>
      </c>
      <c r="BD93" s="303">
        <f t="shared" si="338"/>
        <v>4.1349046406601637</v>
      </c>
      <c r="BE93" s="303">
        <f t="shared" si="338"/>
        <v>5.0450951807050686</v>
      </c>
      <c r="BF93" s="214">
        <f t="shared" ref="BF93" si="339">+BF90-BB90</f>
        <v>3.5330925101020192</v>
      </c>
      <c r="BG93" s="214">
        <f t="shared" ref="BG93" si="340">+BG90-BC90</f>
        <v>2.1152340742988116</v>
      </c>
      <c r="BH93" s="214">
        <f t="shared" ref="BH93" si="341">+BH90-BD90</f>
        <v>0.8621698710796899</v>
      </c>
      <c r="BI93" s="214">
        <f t="shared" ref="BI93" si="342">+BI90-BE90</f>
        <v>-0.79999999999999716</v>
      </c>
    </row>
    <row r="94" spans="2:63" hidden="1" outlineLevel="1">
      <c r="B94" s="161"/>
      <c r="C94" s="274"/>
      <c r="D94" s="161"/>
      <c r="E94" s="161"/>
      <c r="F94" s="161"/>
      <c r="G94" s="177"/>
      <c r="H94" s="177"/>
      <c r="I94" s="177"/>
      <c r="J94" s="161"/>
      <c r="K94" s="177"/>
      <c r="L94" s="177"/>
      <c r="M94" s="177"/>
      <c r="N94" s="177"/>
      <c r="O94" s="177"/>
      <c r="P94" s="177"/>
      <c r="Q94" s="274"/>
      <c r="R94" s="168"/>
      <c r="S94" s="168"/>
      <c r="T94" s="168"/>
      <c r="U94" s="168"/>
      <c r="V94" s="168"/>
      <c r="W94" s="168"/>
      <c r="X94" s="168"/>
      <c r="Y94" s="168"/>
      <c r="Z94" s="168"/>
      <c r="AA94" s="168"/>
      <c r="AB94" s="168"/>
      <c r="AC94" s="168"/>
      <c r="AD94" s="168"/>
      <c r="AE94" s="168"/>
      <c r="AF94" s="168"/>
      <c r="AG94" s="168"/>
      <c r="AH94" s="168"/>
      <c r="AI94" s="168"/>
      <c r="AJ94" s="168"/>
      <c r="AK94" s="168"/>
      <c r="AL94" s="161"/>
      <c r="AM94" s="161"/>
      <c r="AN94" s="161"/>
      <c r="AO94" s="161"/>
      <c r="AP94" s="161"/>
      <c r="AQ94" s="161"/>
      <c r="AR94" s="161"/>
      <c r="AS94" s="161"/>
      <c r="AT94" s="161"/>
      <c r="AU94" s="161"/>
      <c r="AV94" s="161"/>
      <c r="AW94" s="177"/>
      <c r="BF94" s="177"/>
      <c r="BG94" s="177"/>
      <c r="BH94" s="177"/>
      <c r="BI94" s="177"/>
    </row>
    <row r="95" spans="2:63" hidden="1" outlineLevel="1">
      <c r="B95" s="161" t="s">
        <v>319</v>
      </c>
      <c r="C95" s="274"/>
      <c r="D95" s="154">
        <f>+AO95</f>
        <v>14029</v>
      </c>
      <c r="E95" s="154">
        <f>+AS95</f>
        <v>13844</v>
      </c>
      <c r="F95" s="154">
        <f>+AW95</f>
        <v>13690</v>
      </c>
      <c r="G95" s="154">
        <f>+BA95</f>
        <v>11884</v>
      </c>
      <c r="H95" s="154">
        <f>+BE95</f>
        <v>8794</v>
      </c>
      <c r="I95" s="154">
        <f>+BF95</f>
        <v>8220</v>
      </c>
      <c r="J95" s="168">
        <f>+I95+J96</f>
        <v>8220</v>
      </c>
      <c r="K95" s="168">
        <f t="shared" ref="K95:P95" si="343">+J95+K96</f>
        <v>8220</v>
      </c>
      <c r="L95" s="168">
        <f t="shared" si="343"/>
        <v>8220</v>
      </c>
      <c r="M95" s="168">
        <f t="shared" si="343"/>
        <v>8220</v>
      </c>
      <c r="N95" s="168">
        <f t="shared" si="343"/>
        <v>8220</v>
      </c>
      <c r="O95" s="168">
        <f t="shared" si="343"/>
        <v>8220</v>
      </c>
      <c r="P95" s="168">
        <f t="shared" si="343"/>
        <v>8220</v>
      </c>
      <c r="Q95" s="274"/>
      <c r="R95" s="168"/>
      <c r="S95" s="168"/>
      <c r="T95" s="168"/>
      <c r="U95" s="168"/>
      <c r="V95" s="168"/>
      <c r="W95" s="168"/>
      <c r="X95" s="168"/>
      <c r="Y95" s="168"/>
      <c r="Z95" s="168"/>
      <c r="AA95" s="168"/>
      <c r="AB95" s="168"/>
      <c r="AC95" s="168"/>
      <c r="AD95" s="168"/>
      <c r="AE95" s="168"/>
      <c r="AF95" s="168"/>
      <c r="AG95" s="168"/>
      <c r="AH95" s="168"/>
      <c r="AI95" s="168"/>
      <c r="AJ95" s="168"/>
      <c r="AK95" s="168"/>
      <c r="AL95" s="161"/>
      <c r="AM95" s="161"/>
      <c r="AN95" s="161"/>
      <c r="AO95" s="154">
        <f>+AO39</f>
        <v>14029</v>
      </c>
      <c r="AP95" s="154">
        <f t="shared" ref="AP95:AV95" si="344">+AP39</f>
        <v>13886</v>
      </c>
      <c r="AQ95" s="154">
        <f t="shared" si="344"/>
        <v>13747</v>
      </c>
      <c r="AR95" s="154">
        <f t="shared" si="344"/>
        <v>13876</v>
      </c>
      <c r="AS95" s="154">
        <f t="shared" si="344"/>
        <v>13844</v>
      </c>
      <c r="AT95" s="154">
        <f t="shared" si="344"/>
        <v>13581</v>
      </c>
      <c r="AU95" s="154">
        <f t="shared" si="344"/>
        <v>13487</v>
      </c>
      <c r="AV95" s="154">
        <f t="shared" si="344"/>
        <v>13646</v>
      </c>
      <c r="AW95" s="154">
        <f t="shared" ref="AW95:BB95" si="345">+AW39</f>
        <v>13690</v>
      </c>
      <c r="AX95" s="236">
        <f t="shared" si="345"/>
        <v>13313</v>
      </c>
      <c r="AY95" s="236">
        <f t="shared" si="345"/>
        <v>12869</v>
      </c>
      <c r="AZ95" s="236">
        <f t="shared" si="345"/>
        <v>12566</v>
      </c>
      <c r="BA95" s="236">
        <f t="shared" si="345"/>
        <v>11884</v>
      </c>
      <c r="BB95" s="236">
        <f t="shared" si="345"/>
        <v>10568</v>
      </c>
      <c r="BC95" s="236">
        <f t="shared" ref="BC95:BD95" si="346">+BC39</f>
        <v>10287</v>
      </c>
      <c r="BD95" s="236">
        <f t="shared" si="346"/>
        <v>9347</v>
      </c>
      <c r="BE95" s="236">
        <f t="shared" ref="BE95" si="347">+BE39</f>
        <v>8794</v>
      </c>
      <c r="BF95" s="168">
        <f t="shared" ref="BF95" si="348">+BE95+BF96</f>
        <v>8220</v>
      </c>
      <c r="BG95" s="168">
        <f t="shared" ref="BG95" si="349">+BF95+BG96</f>
        <v>7938</v>
      </c>
      <c r="BH95" s="168">
        <f t="shared" ref="BH95" si="350">+BG95+BH96</f>
        <v>7521</v>
      </c>
      <c r="BI95" s="168">
        <f t="shared" ref="BI95" si="351">+BH95+BI96</f>
        <v>6948</v>
      </c>
    </row>
    <row r="96" spans="2:63" s="239" customFormat="1" ht="15.75" hidden="1" outlineLevel="1">
      <c r="B96" s="186" t="s">
        <v>117</v>
      </c>
      <c r="C96" s="308"/>
      <c r="D96" s="157"/>
      <c r="E96" s="176">
        <f>SUM(AP96:AS96)</f>
        <v>-352</v>
      </c>
      <c r="F96" s="176">
        <f>SUM(AT96:AW96)</f>
        <v>-168</v>
      </c>
      <c r="G96" s="176">
        <f>SUM(AX96:BA96)</f>
        <v>-1813</v>
      </c>
      <c r="H96" s="176">
        <f>SUM(BB96:BE96)</f>
        <v>-1846</v>
      </c>
      <c r="I96" s="176">
        <f>SUM(BC96:BF96)</f>
        <v>-1846</v>
      </c>
      <c r="J96" s="220">
        <f>+'AT&amp;T Mobility'!J112</f>
        <v>0</v>
      </c>
      <c r="K96" s="220">
        <f>+'AT&amp;T Mobility'!K112</f>
        <v>0</v>
      </c>
      <c r="L96" s="220">
        <f>+'AT&amp;T Mobility'!L112</f>
        <v>0</v>
      </c>
      <c r="M96" s="220">
        <f>+'AT&amp;T Mobility'!M112</f>
        <v>0</v>
      </c>
      <c r="N96" s="220">
        <f>+'AT&amp;T Mobility'!N112</f>
        <v>0</v>
      </c>
      <c r="O96" s="220">
        <f>+'AT&amp;T Mobility'!O112</f>
        <v>0</v>
      </c>
      <c r="P96" s="220">
        <f>+'AT&amp;T Mobility'!P112</f>
        <v>0</v>
      </c>
      <c r="Q96" s="308"/>
      <c r="R96" s="178"/>
      <c r="S96" s="178"/>
      <c r="T96" s="178"/>
      <c r="U96" s="178"/>
      <c r="V96" s="178"/>
      <c r="W96" s="178"/>
      <c r="X96" s="178"/>
      <c r="Y96" s="178"/>
      <c r="Z96" s="178"/>
      <c r="AA96" s="178"/>
      <c r="AB96" s="178"/>
      <c r="AC96" s="178"/>
      <c r="AD96" s="178"/>
      <c r="AE96" s="178"/>
      <c r="AF96" s="178"/>
      <c r="AG96" s="178"/>
      <c r="AH96" s="178"/>
      <c r="AI96" s="178"/>
      <c r="AJ96" s="178"/>
      <c r="AK96" s="178"/>
      <c r="AL96" s="176"/>
      <c r="AM96" s="176"/>
      <c r="AN96" s="176"/>
      <c r="AO96" s="176">
        <f>+AO45</f>
        <v>-124</v>
      </c>
      <c r="AP96" s="176">
        <f t="shared" ref="AP96:AV96" si="352">+AP45</f>
        <v>-206</v>
      </c>
      <c r="AQ96" s="176">
        <f t="shared" si="352"/>
        <v>-171</v>
      </c>
      <c r="AR96" s="176">
        <f t="shared" si="352"/>
        <v>91</v>
      </c>
      <c r="AS96" s="176">
        <f t="shared" si="352"/>
        <v>-66</v>
      </c>
      <c r="AT96" s="176">
        <f t="shared" si="352"/>
        <v>-269</v>
      </c>
      <c r="AU96" s="176">
        <f t="shared" si="352"/>
        <v>-98</v>
      </c>
      <c r="AV96" s="176">
        <f t="shared" si="352"/>
        <v>149</v>
      </c>
      <c r="AW96" s="176">
        <f t="shared" ref="AW96:BB96" si="353">+AW45</f>
        <v>50</v>
      </c>
      <c r="AX96" s="239">
        <f t="shared" si="353"/>
        <v>-378</v>
      </c>
      <c r="AY96" s="239">
        <f t="shared" si="353"/>
        <v>-446</v>
      </c>
      <c r="AZ96" s="239">
        <f t="shared" si="353"/>
        <v>-316</v>
      </c>
      <c r="BA96" s="239">
        <f t="shared" si="353"/>
        <v>-673</v>
      </c>
      <c r="BB96" s="239">
        <f t="shared" si="353"/>
        <v>-574</v>
      </c>
      <c r="BC96" s="239">
        <f t="shared" ref="BC96:BD96" si="354">+BC45</f>
        <v>-282</v>
      </c>
      <c r="BD96" s="239">
        <f t="shared" si="354"/>
        <v>-417</v>
      </c>
      <c r="BE96" s="239">
        <f t="shared" ref="BE96" si="355">+BE45</f>
        <v>-573</v>
      </c>
      <c r="BF96" s="504">
        <f t="shared" ref="BF96" si="356">+BB96</f>
        <v>-574</v>
      </c>
      <c r="BG96" s="504">
        <f t="shared" ref="BG96" si="357">+BC96</f>
        <v>-282</v>
      </c>
      <c r="BH96" s="504">
        <f t="shared" ref="BH96" si="358">+BD96</f>
        <v>-417</v>
      </c>
      <c r="BI96" s="504">
        <f t="shared" ref="BI96" si="359">+BE96</f>
        <v>-573</v>
      </c>
      <c r="BK96" s="236"/>
    </row>
    <row r="97" spans="2:63" hidden="1" outlineLevel="1">
      <c r="B97" s="161" t="s">
        <v>36</v>
      </c>
      <c r="D97" s="154">
        <f>+AO97</f>
        <v>1567</v>
      </c>
      <c r="E97" s="154">
        <f>+AS97</f>
        <v>1024</v>
      </c>
      <c r="F97" s="154">
        <f>+AW97</f>
        <v>929</v>
      </c>
      <c r="G97" s="154">
        <f>+BA97</f>
        <v>942</v>
      </c>
      <c r="H97" s="154">
        <f>+BE97</f>
        <v>942</v>
      </c>
      <c r="I97" s="154">
        <f>+BF97</f>
        <v>942</v>
      </c>
      <c r="J97" s="168">
        <f>+I97+J98</f>
        <v>942</v>
      </c>
      <c r="K97" s="168">
        <f t="shared" ref="K97:P97" si="360">+J97+K98</f>
        <v>942</v>
      </c>
      <c r="L97" s="168">
        <f t="shared" si="360"/>
        <v>942</v>
      </c>
      <c r="M97" s="168">
        <f t="shared" si="360"/>
        <v>942</v>
      </c>
      <c r="N97" s="168">
        <f t="shared" si="360"/>
        <v>942</v>
      </c>
      <c r="O97" s="168">
        <f t="shared" si="360"/>
        <v>942</v>
      </c>
      <c r="P97" s="168">
        <f t="shared" si="360"/>
        <v>942</v>
      </c>
      <c r="R97" s="163"/>
      <c r="S97" s="163"/>
      <c r="T97" s="163"/>
      <c r="U97" s="163"/>
      <c r="V97" s="163"/>
      <c r="W97" s="163"/>
      <c r="X97" s="163"/>
      <c r="Y97" s="163"/>
      <c r="Z97" s="163"/>
      <c r="AA97" s="163"/>
      <c r="AB97" s="163"/>
      <c r="AC97" s="163"/>
      <c r="AD97" s="163"/>
      <c r="AE97" s="163"/>
      <c r="AF97" s="163"/>
      <c r="AG97" s="163"/>
      <c r="AH97" s="163"/>
      <c r="AI97" s="163"/>
      <c r="AJ97" s="163"/>
      <c r="AK97" s="163"/>
      <c r="AL97" s="161"/>
      <c r="AM97" s="161"/>
      <c r="AN97" s="161"/>
      <c r="AO97" s="154">
        <f>+AO40</f>
        <v>1567</v>
      </c>
      <c r="AP97" s="154">
        <f t="shared" ref="AP97:AV97" si="361">+AP40</f>
        <v>1401</v>
      </c>
      <c r="AQ97" s="154">
        <f t="shared" si="361"/>
        <v>1261</v>
      </c>
      <c r="AR97" s="154">
        <f t="shared" si="361"/>
        <v>1153</v>
      </c>
      <c r="AS97" s="154">
        <f t="shared" si="361"/>
        <v>1024</v>
      </c>
      <c r="AT97" s="154">
        <f t="shared" si="361"/>
        <v>993</v>
      </c>
      <c r="AU97" s="154">
        <f t="shared" si="361"/>
        <v>955</v>
      </c>
      <c r="AV97" s="154">
        <f t="shared" si="361"/>
        <v>953</v>
      </c>
      <c r="AW97" s="154">
        <f t="shared" ref="AW97:BB97" si="362">+AW40</f>
        <v>929</v>
      </c>
      <c r="AX97" s="236">
        <f t="shared" si="362"/>
        <v>896</v>
      </c>
      <c r="AY97" s="236">
        <f t="shared" si="362"/>
        <v>896</v>
      </c>
      <c r="AZ97" s="236">
        <f t="shared" si="362"/>
        <v>936</v>
      </c>
      <c r="BA97" s="236">
        <f t="shared" si="362"/>
        <v>942</v>
      </c>
      <c r="BB97" s="236">
        <f t="shared" si="362"/>
        <v>942</v>
      </c>
      <c r="BC97" s="236">
        <f t="shared" ref="BC97:BD97" si="363">+BC40</f>
        <v>942</v>
      </c>
      <c r="BD97" s="236">
        <f t="shared" si="363"/>
        <v>942</v>
      </c>
      <c r="BE97" s="236">
        <f t="shared" ref="BE97" si="364">+BE40</f>
        <v>942</v>
      </c>
      <c r="BF97" s="168">
        <f t="shared" ref="BF97" si="365">+BE97+BF98</f>
        <v>942</v>
      </c>
      <c r="BG97" s="168">
        <f t="shared" ref="BG97" si="366">+BF97+BG98</f>
        <v>942</v>
      </c>
      <c r="BH97" s="168">
        <f t="shared" ref="BH97" si="367">+BG97+BH98</f>
        <v>942</v>
      </c>
      <c r="BI97" s="168">
        <f t="shared" ref="BI97" si="368">+BH97+BI98</f>
        <v>942</v>
      </c>
    </row>
    <row r="98" spans="2:63" hidden="1" outlineLevel="1">
      <c r="B98" s="186" t="s">
        <v>117</v>
      </c>
      <c r="D98" s="157"/>
      <c r="E98" s="176">
        <f>SUM(AP98:AS98)</f>
        <v>-465</v>
      </c>
      <c r="F98" s="176">
        <f>SUM(AT98:AW98)</f>
        <v>-131</v>
      </c>
      <c r="G98" s="176">
        <f>SUM(AX98:BA98)</f>
        <v>19</v>
      </c>
      <c r="H98" s="176">
        <f>SUM(BB98:BE98)</f>
        <v>20</v>
      </c>
      <c r="I98" s="176">
        <f>SUM(BC98:BF98)</f>
        <v>15</v>
      </c>
      <c r="J98" s="220">
        <v>0</v>
      </c>
      <c r="K98" s="220">
        <v>0</v>
      </c>
      <c r="L98" s="220">
        <v>0</v>
      </c>
      <c r="M98" s="220">
        <v>0</v>
      </c>
      <c r="N98" s="220">
        <v>0</v>
      </c>
      <c r="O98" s="220">
        <v>0</v>
      </c>
      <c r="P98" s="220">
        <v>0</v>
      </c>
      <c r="R98" s="163"/>
      <c r="S98" s="163"/>
      <c r="T98" s="163"/>
      <c r="U98" s="163"/>
      <c r="V98" s="163"/>
      <c r="W98" s="163"/>
      <c r="X98" s="163"/>
      <c r="Y98" s="163"/>
      <c r="Z98" s="163"/>
      <c r="AA98" s="163"/>
      <c r="AB98" s="163"/>
      <c r="AC98" s="163"/>
      <c r="AD98" s="163"/>
      <c r="AE98" s="163"/>
      <c r="AF98" s="163"/>
      <c r="AG98" s="163"/>
      <c r="AH98" s="163"/>
      <c r="AI98" s="163"/>
      <c r="AJ98" s="163"/>
      <c r="AK98" s="163"/>
      <c r="AL98" s="161"/>
      <c r="AM98" s="161"/>
      <c r="AN98" s="161"/>
      <c r="AO98" s="154">
        <f>+AO46</f>
        <v>-105</v>
      </c>
      <c r="AP98" s="154">
        <f t="shared" ref="AP98:AU98" si="369">+AP46</f>
        <v>-138</v>
      </c>
      <c r="AQ98" s="154">
        <f t="shared" si="369"/>
        <v>-119</v>
      </c>
      <c r="AR98" s="154">
        <f t="shared" si="369"/>
        <v>-94</v>
      </c>
      <c r="AS98" s="154">
        <f t="shared" si="369"/>
        <v>-114</v>
      </c>
      <c r="AT98" s="154">
        <f t="shared" si="369"/>
        <v>-79</v>
      </c>
      <c r="AU98" s="154">
        <f t="shared" si="369"/>
        <v>-30</v>
      </c>
      <c r="AV98" s="154">
        <f t="shared" ref="AV98:BA98" si="370">+AV46</f>
        <v>0</v>
      </c>
      <c r="AW98" s="154">
        <f t="shared" si="370"/>
        <v>-22</v>
      </c>
      <c r="AX98" s="236">
        <f t="shared" si="370"/>
        <v>-26</v>
      </c>
      <c r="AY98" s="236">
        <f t="shared" si="370"/>
        <v>-1</v>
      </c>
      <c r="AZ98" s="236">
        <f t="shared" si="370"/>
        <v>41</v>
      </c>
      <c r="BA98" s="236">
        <f t="shared" si="370"/>
        <v>5</v>
      </c>
      <c r="BB98" s="236">
        <f t="shared" ref="BB98:BC98" si="371">+BB46</f>
        <v>5</v>
      </c>
      <c r="BC98" s="236">
        <f t="shared" si="371"/>
        <v>5</v>
      </c>
      <c r="BD98" s="236">
        <f t="shared" ref="BD98:BE98" si="372">+BD46</f>
        <v>5</v>
      </c>
      <c r="BE98" s="236">
        <f t="shared" si="372"/>
        <v>5</v>
      </c>
      <c r="BF98" s="220">
        <v>0</v>
      </c>
      <c r="BG98" s="220">
        <v>0</v>
      </c>
      <c r="BH98" s="220">
        <v>0</v>
      </c>
      <c r="BI98" s="220">
        <v>0</v>
      </c>
      <c r="BK98" s="236"/>
    </row>
    <row r="99" spans="2:63" hidden="1" outlineLevel="1">
      <c r="B99" s="161" t="s">
        <v>320</v>
      </c>
      <c r="D99" s="168">
        <f t="shared" ref="D99:J99" si="373">D95+D97</f>
        <v>15596</v>
      </c>
      <c r="E99" s="168">
        <f t="shared" si="373"/>
        <v>14868</v>
      </c>
      <c r="F99" s="168">
        <f t="shared" si="373"/>
        <v>14619</v>
      </c>
      <c r="G99" s="168">
        <f t="shared" ref="G99:I100" si="374">G95+G97</f>
        <v>12826</v>
      </c>
      <c r="H99" s="168">
        <f t="shared" si="374"/>
        <v>9736</v>
      </c>
      <c r="I99" s="168">
        <f t="shared" si="374"/>
        <v>9162</v>
      </c>
      <c r="J99" s="168">
        <f t="shared" si="373"/>
        <v>9162</v>
      </c>
      <c r="K99" s="168">
        <f t="shared" ref="K99:P99" si="375">K95+K97</f>
        <v>9162</v>
      </c>
      <c r="L99" s="168">
        <f t="shared" si="375"/>
        <v>9162</v>
      </c>
      <c r="M99" s="168">
        <f t="shared" si="375"/>
        <v>9162</v>
      </c>
      <c r="N99" s="168">
        <f t="shared" si="375"/>
        <v>9162</v>
      </c>
      <c r="O99" s="168">
        <f t="shared" si="375"/>
        <v>9162</v>
      </c>
      <c r="P99" s="168">
        <f t="shared" si="375"/>
        <v>9162</v>
      </c>
      <c r="R99" s="163"/>
      <c r="S99" s="163"/>
      <c r="T99" s="163"/>
      <c r="U99" s="163"/>
      <c r="V99" s="163"/>
      <c r="W99" s="163"/>
      <c r="X99" s="163"/>
      <c r="Y99" s="163"/>
      <c r="Z99" s="163"/>
      <c r="AA99" s="163"/>
      <c r="AB99" s="163"/>
      <c r="AC99" s="163"/>
      <c r="AD99" s="163"/>
      <c r="AE99" s="163"/>
      <c r="AF99" s="163"/>
      <c r="AG99" s="163"/>
      <c r="AH99" s="163"/>
      <c r="AI99" s="163"/>
      <c r="AJ99" s="163"/>
      <c r="AK99" s="163"/>
      <c r="AL99" s="161"/>
      <c r="AM99" s="161"/>
      <c r="AN99" s="161"/>
      <c r="AO99" s="168">
        <f t="shared" ref="AO99:AV100" si="376">AO95+AO97</f>
        <v>15596</v>
      </c>
      <c r="AP99" s="168">
        <f t="shared" si="376"/>
        <v>15287</v>
      </c>
      <c r="AQ99" s="168">
        <f t="shared" si="376"/>
        <v>15008</v>
      </c>
      <c r="AR99" s="168">
        <f t="shared" si="376"/>
        <v>15029</v>
      </c>
      <c r="AS99" s="168">
        <f t="shared" si="376"/>
        <v>14868</v>
      </c>
      <c r="AT99" s="168">
        <f t="shared" si="376"/>
        <v>14574</v>
      </c>
      <c r="AU99" s="168">
        <f t="shared" si="376"/>
        <v>14442</v>
      </c>
      <c r="AV99" s="168">
        <f t="shared" si="376"/>
        <v>14599</v>
      </c>
      <c r="AW99" s="168">
        <f t="shared" ref="AW99:AW100" si="377">AW95+AW97</f>
        <v>14619</v>
      </c>
      <c r="AX99" s="274">
        <f t="shared" ref="AX99:AZ100" si="378">AX95+AX97</f>
        <v>14209</v>
      </c>
      <c r="AY99" s="274">
        <f t="shared" si="378"/>
        <v>13765</v>
      </c>
      <c r="AZ99" s="274">
        <f t="shared" si="378"/>
        <v>13502</v>
      </c>
      <c r="BA99" s="274">
        <f t="shared" ref="BA99:BB99" si="379">BA95+BA97</f>
        <v>12826</v>
      </c>
      <c r="BB99" s="274">
        <f t="shared" si="379"/>
        <v>11510</v>
      </c>
      <c r="BC99" s="274">
        <f t="shared" ref="BC99:BD99" si="380">BC95+BC97</f>
        <v>11229</v>
      </c>
      <c r="BD99" s="274">
        <f t="shared" si="380"/>
        <v>10289</v>
      </c>
      <c r="BE99" s="274">
        <f t="shared" ref="BE99" si="381">BE95+BE97</f>
        <v>9736</v>
      </c>
      <c r="BF99" s="168">
        <f t="shared" ref="BF99:BI99" si="382">BF95+BF97</f>
        <v>9162</v>
      </c>
      <c r="BG99" s="168">
        <f t="shared" si="382"/>
        <v>8880</v>
      </c>
      <c r="BH99" s="168">
        <f t="shared" si="382"/>
        <v>8463</v>
      </c>
      <c r="BI99" s="168">
        <f t="shared" si="382"/>
        <v>7890</v>
      </c>
    </row>
    <row r="100" spans="2:63" hidden="1" outlineLevel="1">
      <c r="B100" s="187" t="s">
        <v>117</v>
      </c>
      <c r="D100" s="167"/>
      <c r="E100" s="167">
        <f t="shared" ref="E100:J100" si="383">E96+E98</f>
        <v>-817</v>
      </c>
      <c r="F100" s="167">
        <f t="shared" si="383"/>
        <v>-299</v>
      </c>
      <c r="G100" s="167">
        <f t="shared" si="374"/>
        <v>-1794</v>
      </c>
      <c r="H100" s="167">
        <f t="shared" si="374"/>
        <v>-1826</v>
      </c>
      <c r="I100" s="167">
        <f t="shared" si="374"/>
        <v>-1831</v>
      </c>
      <c r="J100" s="167">
        <f t="shared" si="383"/>
        <v>0</v>
      </c>
      <c r="K100" s="167">
        <f t="shared" ref="K100:P100" si="384">K96+K98</f>
        <v>0</v>
      </c>
      <c r="L100" s="167">
        <f t="shared" si="384"/>
        <v>0</v>
      </c>
      <c r="M100" s="167">
        <f t="shared" si="384"/>
        <v>0</v>
      </c>
      <c r="N100" s="167">
        <f t="shared" si="384"/>
        <v>0</v>
      </c>
      <c r="O100" s="167">
        <f t="shared" si="384"/>
        <v>0</v>
      </c>
      <c r="P100" s="167">
        <f t="shared" si="384"/>
        <v>0</v>
      </c>
      <c r="R100" s="163"/>
      <c r="S100" s="163"/>
      <c r="T100" s="163"/>
      <c r="U100" s="163"/>
      <c r="V100" s="163"/>
      <c r="W100" s="163"/>
      <c r="X100" s="163"/>
      <c r="Y100" s="163"/>
      <c r="Z100" s="163"/>
      <c r="AA100" s="163"/>
      <c r="AB100" s="163"/>
      <c r="AC100" s="163"/>
      <c r="AD100" s="163"/>
      <c r="AE100" s="163"/>
      <c r="AF100" s="163"/>
      <c r="AG100" s="163"/>
      <c r="AH100" s="163"/>
      <c r="AI100" s="163"/>
      <c r="AJ100" s="163"/>
      <c r="AK100" s="163"/>
      <c r="AL100" s="161"/>
      <c r="AM100" s="161"/>
      <c r="AN100" s="161"/>
      <c r="AO100" s="167">
        <f t="shared" si="376"/>
        <v>-229</v>
      </c>
      <c r="AP100" s="167">
        <f t="shared" si="376"/>
        <v>-344</v>
      </c>
      <c r="AQ100" s="167">
        <f t="shared" si="376"/>
        <v>-290</v>
      </c>
      <c r="AR100" s="167">
        <f t="shared" si="376"/>
        <v>-3</v>
      </c>
      <c r="AS100" s="167">
        <f t="shared" si="376"/>
        <v>-180</v>
      </c>
      <c r="AT100" s="167">
        <f t="shared" si="376"/>
        <v>-348</v>
      </c>
      <c r="AU100" s="167">
        <f t="shared" si="376"/>
        <v>-128</v>
      </c>
      <c r="AV100" s="167">
        <f t="shared" si="376"/>
        <v>149</v>
      </c>
      <c r="AW100" s="167">
        <f t="shared" si="377"/>
        <v>28</v>
      </c>
      <c r="AX100" s="247">
        <f t="shared" si="378"/>
        <v>-404</v>
      </c>
      <c r="AY100" s="247">
        <f t="shared" si="378"/>
        <v>-447</v>
      </c>
      <c r="AZ100" s="247">
        <f t="shared" si="378"/>
        <v>-275</v>
      </c>
      <c r="BA100" s="247">
        <f t="shared" ref="BA100:BB100" si="385">BA96+BA98</f>
        <v>-668</v>
      </c>
      <c r="BB100" s="247">
        <f t="shared" si="385"/>
        <v>-569</v>
      </c>
      <c r="BC100" s="247">
        <f t="shared" ref="BC100:BD100" si="386">BC96+BC98</f>
        <v>-277</v>
      </c>
      <c r="BD100" s="247">
        <f t="shared" si="386"/>
        <v>-412</v>
      </c>
      <c r="BE100" s="247">
        <f t="shared" ref="BE100" si="387">BE96+BE98</f>
        <v>-568</v>
      </c>
      <c r="BF100" s="167">
        <f t="shared" ref="BF100:BI100" si="388">BF96+BF98</f>
        <v>-574</v>
      </c>
      <c r="BG100" s="167">
        <f t="shared" si="388"/>
        <v>-282</v>
      </c>
      <c r="BH100" s="167">
        <f t="shared" si="388"/>
        <v>-417</v>
      </c>
      <c r="BI100" s="167">
        <f t="shared" si="388"/>
        <v>-573</v>
      </c>
    </row>
    <row r="101" spans="2:63" collapsed="1"/>
  </sheetData>
  <pageMargins left="0" right="0" top="0" bottom="0" header="0" footer="0"/>
  <pageSetup scale="59"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pageSetUpPr fitToPage="1"/>
  </sheetPr>
  <dimension ref="B2:BK114"/>
  <sheetViews>
    <sheetView showGridLines="0" zoomScale="70" zoomScaleNormal="70" workbookViewId="0">
      <pane xSplit="2" ySplit="6" topLeftCell="C7" activePane="bottomRight" state="frozen"/>
      <selection activeCell="C7" sqref="C7"/>
      <selection pane="topRight" activeCell="C7" sqref="C7"/>
      <selection pane="bottomLeft" activeCell="C7" sqref="C7"/>
      <selection pane="bottomRight" activeCell="C7" sqref="C7"/>
    </sheetView>
  </sheetViews>
  <sheetFormatPr defaultRowHeight="15" outlineLevelRow="1" outlineLevelCol="1"/>
  <cols>
    <col min="1" max="1" width="1.6640625" style="235" customWidth="1"/>
    <col min="2" max="2" width="25.77734375" style="235" customWidth="1"/>
    <col min="3" max="3" width="1.6640625" style="266" customWidth="1"/>
    <col min="4" max="4" width="0" style="300" hidden="1" customWidth="1" outlineLevel="1"/>
    <col min="5" max="6" width="0" style="300" hidden="1" customWidth="1" outlineLevel="1" collapsed="1"/>
    <col min="7" max="7" width="8.88671875" style="300" collapsed="1"/>
    <col min="8" max="8" width="8.88671875" style="300"/>
    <col min="9" max="10" width="8.88671875" style="300" customWidth="1"/>
    <col min="11" max="16" width="8.88671875" style="300" hidden="1" customWidth="1" outlineLevel="1"/>
    <col min="17" max="17" width="1.6640625" style="266" customWidth="1" collapsed="1"/>
    <col min="18" max="37" width="1.6640625" style="266" hidden="1" customWidth="1" outlineLevel="1"/>
    <col min="38" max="41" width="8.88671875" style="235" hidden="1" customWidth="1" outlineLevel="1"/>
    <col min="42" max="42" width="8.88671875" style="235" hidden="1" customWidth="1" outlineLevel="1" collapsed="1"/>
    <col min="43" max="45" width="8.88671875" style="235" hidden="1" customWidth="1" outlineLevel="1"/>
    <col min="46" max="46" width="8.88671875" style="235" hidden="1" customWidth="1" outlineLevel="1" collapsed="1"/>
    <col min="47" max="49" width="8.88671875" style="235" hidden="1" customWidth="1" outlineLevel="1"/>
    <col min="50" max="50" width="8.88671875" style="235" hidden="1" customWidth="1" outlineLevel="1" collapsed="1"/>
    <col min="51" max="53" width="8.88671875" style="235" hidden="1" customWidth="1" outlineLevel="1"/>
    <col min="54" max="54" width="8.88671875" style="235" collapsed="1"/>
    <col min="55" max="61" width="8.88671875" style="235"/>
    <col min="62" max="62" width="1.6640625" style="235" customWidth="1"/>
    <col min="63" max="16384" width="8.88671875" style="235"/>
  </cols>
  <sheetData>
    <row r="2" spans="2:63">
      <c r="B2" s="240" t="s">
        <v>197</v>
      </c>
    </row>
    <row r="3" spans="2:63">
      <c r="B3" s="240" t="s">
        <v>198</v>
      </c>
    </row>
    <row r="4" spans="2:63">
      <c r="B4" s="235" t="s">
        <v>165</v>
      </c>
    </row>
    <row r="5" spans="2:63" ht="15.75" thickBot="1"/>
    <row r="6" spans="2:63" s="251" customFormat="1" ht="15.75" thickBot="1">
      <c r="B6" s="194" t="s">
        <v>350</v>
      </c>
      <c r="C6" s="276"/>
      <c r="D6" s="195">
        <f>'Income Statement'!D6</f>
        <v>2013</v>
      </c>
      <c r="E6" s="196">
        <f>'Income Statement'!E6</f>
        <v>2014</v>
      </c>
      <c r="F6" s="196">
        <f>'Income Statement'!F6</f>
        <v>2015</v>
      </c>
      <c r="G6" s="196">
        <f>'Income Statement'!G6</f>
        <v>2016</v>
      </c>
      <c r="H6" s="196">
        <f>'Income Statement'!H6</f>
        <v>2017</v>
      </c>
      <c r="I6" s="196" t="str">
        <f>'Income Statement'!I6</f>
        <v>2018E</v>
      </c>
      <c r="J6" s="196" t="str">
        <f>'Income Statement'!J6</f>
        <v>2019E</v>
      </c>
      <c r="K6" s="196" t="str">
        <f>'Income Statement'!K6</f>
        <v>2020E</v>
      </c>
      <c r="L6" s="196" t="str">
        <f>'Income Statement'!L6</f>
        <v>2021E</v>
      </c>
      <c r="M6" s="196" t="str">
        <f>'Income Statement'!M6</f>
        <v>2022E</v>
      </c>
      <c r="N6" s="196" t="str">
        <f>'Income Statement'!N6</f>
        <v>2023E</v>
      </c>
      <c r="O6" s="196" t="str">
        <f>'Income Statement'!O6</f>
        <v>2024E</v>
      </c>
      <c r="P6" s="197" t="str">
        <f>'Income Statement'!P6</f>
        <v>2025E</v>
      </c>
      <c r="Q6" s="241"/>
      <c r="R6" s="196"/>
      <c r="S6" s="196"/>
      <c r="T6" s="196"/>
      <c r="U6" s="196"/>
      <c r="V6" s="196"/>
      <c r="W6" s="196"/>
      <c r="X6" s="196"/>
      <c r="Y6" s="196"/>
      <c r="Z6" s="196"/>
      <c r="AA6" s="196"/>
      <c r="AB6" s="196"/>
      <c r="AC6" s="196"/>
      <c r="AD6" s="196"/>
      <c r="AE6" s="196"/>
      <c r="AF6" s="196"/>
      <c r="AG6" s="196"/>
      <c r="AH6" s="196"/>
      <c r="AI6" s="196"/>
      <c r="AJ6" s="196"/>
      <c r="AK6" s="196"/>
      <c r="AL6" s="196" t="s">
        <v>248</v>
      </c>
      <c r="AM6" s="196" t="s">
        <v>249</v>
      </c>
      <c r="AN6" s="196" t="s">
        <v>250</v>
      </c>
      <c r="AO6" s="196" t="s">
        <v>251</v>
      </c>
      <c r="AP6" s="196" t="str">
        <f>'Income Statement'!AP6</f>
        <v>1Q14</v>
      </c>
      <c r="AQ6" s="196" t="str">
        <f>'Income Statement'!AQ6</f>
        <v>2Q14</v>
      </c>
      <c r="AR6" s="196" t="str">
        <f>'Income Statement'!AR6</f>
        <v>3Q14</v>
      </c>
      <c r="AS6" s="196" t="str">
        <f>'Income Statement'!AS6</f>
        <v>4Q14</v>
      </c>
      <c r="AT6" s="196" t="str">
        <f>'Income Statement'!AT6</f>
        <v>1Q15</v>
      </c>
      <c r="AU6" s="196" t="str">
        <f>'Income Statement'!AU6</f>
        <v>2Q15</v>
      </c>
      <c r="AV6" s="196" t="str">
        <f>'Income Statement'!AV6</f>
        <v>3Q15</v>
      </c>
      <c r="AW6" s="196" t="str">
        <f>'Income Statement'!AW6</f>
        <v>4Q15</v>
      </c>
      <c r="AX6" s="196" t="str">
        <f>'Income Statement'!AX6</f>
        <v>1Q16</v>
      </c>
      <c r="AY6" s="196" t="str">
        <f>'Income Statement'!AY6</f>
        <v>2Q16</v>
      </c>
      <c r="AZ6" s="196" t="str">
        <f>'Income Statement'!AZ6</f>
        <v>3Q16</v>
      </c>
      <c r="BA6" s="196" t="str">
        <f>'Income Statement'!BA6</f>
        <v>4Q16</v>
      </c>
      <c r="BB6" s="196" t="str">
        <f>'Income Statement'!BB6</f>
        <v>1Q17</v>
      </c>
      <c r="BC6" s="196" t="str">
        <f>'Income Statement'!BC6</f>
        <v>2Q17</v>
      </c>
      <c r="BD6" s="196" t="str">
        <f>'Income Statement'!BD6</f>
        <v>3Q17</v>
      </c>
      <c r="BE6" s="196" t="str">
        <f>'Income Statement'!BE6</f>
        <v>4Q17</v>
      </c>
      <c r="BF6" s="196" t="str">
        <f>'Income Statement'!BF6</f>
        <v>1Q18E</v>
      </c>
      <c r="BG6" s="196" t="str">
        <f>'Income Statement'!BG6</f>
        <v>2Q18E</v>
      </c>
      <c r="BH6" s="196" t="str">
        <f>'Income Statement'!BH6</f>
        <v>3Q18E</v>
      </c>
      <c r="BI6" s="197" t="str">
        <f>'Income Statement'!BI6</f>
        <v>4Q18E</v>
      </c>
    </row>
    <row r="8" spans="2:63">
      <c r="B8" s="235" t="s">
        <v>283</v>
      </c>
      <c r="E8" s="295">
        <f>SUM(AP8:AS8)</f>
        <v>30182</v>
      </c>
      <c r="F8" s="295">
        <f>SUM(AT8:AW8)</f>
        <v>30687</v>
      </c>
      <c r="G8" s="295">
        <f>SUM(AX8:BA8)</f>
        <v>31850</v>
      </c>
      <c r="H8" s="295">
        <f>SUM(BB8:BE8)</f>
        <v>31902</v>
      </c>
      <c r="I8" s="295">
        <f ca="1">SUM(BF8:BI8)</f>
        <v>31524.548891843544</v>
      </c>
      <c r="J8" s="262">
        <f ca="1">+J78+J101</f>
        <v>30957.833356150761</v>
      </c>
      <c r="K8" s="262">
        <f t="shared" ref="K8:P8" ca="1" si="0">+K78+K101</f>
        <v>30683.431831742171</v>
      </c>
      <c r="L8" s="262">
        <f t="shared" ca="1" si="0"/>
        <v>30359.102556783422</v>
      </c>
      <c r="M8" s="262">
        <f t="shared" ca="1" si="0"/>
        <v>29961.211369593781</v>
      </c>
      <c r="N8" s="262">
        <f t="shared" ca="1" si="0"/>
        <v>29469.533602438558</v>
      </c>
      <c r="O8" s="262">
        <f t="shared" ca="1" si="0"/>
        <v>28867.207301566341</v>
      </c>
      <c r="P8" s="262">
        <f t="shared" ca="1" si="0"/>
        <v>28140.621523376318</v>
      </c>
      <c r="AO8" s="261">
        <v>7743</v>
      </c>
      <c r="AP8" s="261">
        <v>7698</v>
      </c>
      <c r="AQ8" s="261">
        <v>7353</v>
      </c>
      <c r="AR8" s="261">
        <v>7542</v>
      </c>
      <c r="AS8" s="261">
        <v>7589</v>
      </c>
      <c r="AT8" s="261">
        <v>7515</v>
      </c>
      <c r="AU8" s="261">
        <v>7756</v>
      </c>
      <c r="AV8" s="261">
        <v>7732</v>
      </c>
      <c r="AW8" s="261">
        <v>7684</v>
      </c>
      <c r="AX8" s="261">
        <v>7855</v>
      </c>
      <c r="AY8" s="261">
        <v>7963</v>
      </c>
      <c r="AZ8" s="261">
        <v>8049</v>
      </c>
      <c r="BA8" s="261">
        <v>7983</v>
      </c>
      <c r="BB8" s="261">
        <v>7929</v>
      </c>
      <c r="BC8" s="261">
        <v>8006</v>
      </c>
      <c r="BD8" s="261">
        <v>8034</v>
      </c>
      <c r="BE8" s="261">
        <v>7933</v>
      </c>
      <c r="BF8" s="262">
        <f t="shared" ref="BF8:BI8" ca="1" si="1">+BF78+BF101</f>
        <v>7846.6292691973522</v>
      </c>
      <c r="BG8" s="262">
        <f t="shared" ca="1" si="1"/>
        <v>7860.1247920731867</v>
      </c>
      <c r="BH8" s="262">
        <f t="shared" ca="1" si="1"/>
        <v>7885.0994386816546</v>
      </c>
      <c r="BI8" s="262">
        <f t="shared" ca="1" si="1"/>
        <v>7932.6953918913514</v>
      </c>
      <c r="BK8" s="432"/>
    </row>
    <row r="9" spans="2:63">
      <c r="B9" s="235" t="s">
        <v>284</v>
      </c>
      <c r="E9" s="295">
        <f>SUM(AP9:AS9)</f>
        <v>7041</v>
      </c>
      <c r="F9" s="295">
        <f>SUM(AT9:AW9)</f>
        <v>7953</v>
      </c>
      <c r="G9" s="295">
        <f>SUM(AX9:BA9)</f>
        <v>7770</v>
      </c>
      <c r="H9" s="295">
        <f>SUM(BB9:BE9)</f>
        <v>7895</v>
      </c>
      <c r="I9" s="295">
        <f ca="1">SUM(BF9:BI9)</f>
        <v>8776.7834032247047</v>
      </c>
      <c r="J9" s="388">
        <f ca="1">+'AT&amp;T Mobility'!J9-'Consumer Mobility'!J11</f>
        <v>8793.2445699441651</v>
      </c>
      <c r="K9" s="388">
        <f ca="1">+'AT&amp;T Mobility'!K9-'Consumer Mobility'!K11</f>
        <v>8787.0349485942643</v>
      </c>
      <c r="L9" s="388">
        <f ca="1">+'AT&amp;T Mobility'!L9-'Consumer Mobility'!L11</f>
        <v>8760.041126658547</v>
      </c>
      <c r="M9" s="388">
        <f ca="1">+'AT&amp;T Mobility'!M9-'Consumer Mobility'!M11</f>
        <v>8714.4700016281786</v>
      </c>
      <c r="N9" s="388">
        <f ca="1">+'AT&amp;T Mobility'!N9-'Consumer Mobility'!N11</f>
        <v>8584.8812946370654</v>
      </c>
      <c r="O9" s="388">
        <f ca="1">+'AT&amp;T Mobility'!O9-'Consumer Mobility'!O11</f>
        <v>8443.7419718066394</v>
      </c>
      <c r="P9" s="388">
        <f ca="1">+'AT&amp;T Mobility'!P9-'Consumer Mobility'!P11</f>
        <v>8292.905924941897</v>
      </c>
      <c r="AO9" s="261">
        <v>1348</v>
      </c>
      <c r="AP9" s="261">
        <v>1328</v>
      </c>
      <c r="AQ9" s="261">
        <v>1378</v>
      </c>
      <c r="AR9" s="261">
        <v>1586</v>
      </c>
      <c r="AS9" s="261">
        <v>2749</v>
      </c>
      <c r="AT9" s="261">
        <v>1893</v>
      </c>
      <c r="AU9" s="261">
        <v>1793</v>
      </c>
      <c r="AV9" s="261">
        <v>1813</v>
      </c>
      <c r="AW9" s="261">
        <v>2454</v>
      </c>
      <c r="AX9" s="261">
        <v>1771</v>
      </c>
      <c r="AY9" s="261">
        <v>1775</v>
      </c>
      <c r="AZ9" s="261">
        <v>1876</v>
      </c>
      <c r="BA9" s="261">
        <v>2348</v>
      </c>
      <c r="BB9" s="261">
        <v>1498</v>
      </c>
      <c r="BC9" s="261">
        <v>1721</v>
      </c>
      <c r="BD9" s="261">
        <v>1654</v>
      </c>
      <c r="BE9" s="261">
        <v>3022</v>
      </c>
      <c r="BF9" s="424">
        <f ca="1">+'AT&amp;T Mobility'!BF9-'Consumer Mobility'!BF11</f>
        <v>1895.0711818812317</v>
      </c>
      <c r="BG9" s="424">
        <f ca="1">+'AT&amp;T Mobility'!BG9-'Consumer Mobility'!BG11</f>
        <v>1965.6916692307186</v>
      </c>
      <c r="BH9" s="424">
        <f ca="1">+'AT&amp;T Mobility'!BH9-'Consumer Mobility'!BH11</f>
        <v>1961.7813796743237</v>
      </c>
      <c r="BI9" s="424">
        <f ca="1">+'AT&amp;T Mobility'!BI9-'Consumer Mobility'!BI11</f>
        <v>2954.2391724384297</v>
      </c>
      <c r="BK9" s="432"/>
    </row>
    <row r="10" spans="2:63" s="252" customFormat="1">
      <c r="B10" s="277" t="s">
        <v>29</v>
      </c>
      <c r="C10" s="296"/>
      <c r="D10" s="306">
        <f>SUM(AL10:AO10)</f>
        <v>33656</v>
      </c>
      <c r="E10" s="338">
        <f t="shared" ref="E10:J10" si="2">+SUM(E8:E9)</f>
        <v>37223</v>
      </c>
      <c r="F10" s="338">
        <f t="shared" si="2"/>
        <v>38640</v>
      </c>
      <c r="G10" s="338">
        <f>+SUM(G8:G9)</f>
        <v>39620</v>
      </c>
      <c r="H10" s="338">
        <f>+SUM(H8:H9)</f>
        <v>39797</v>
      </c>
      <c r="I10" s="338">
        <f ca="1">+SUM(I8:I9)</f>
        <v>40301.332295068249</v>
      </c>
      <c r="J10" s="338">
        <f t="shared" ca="1" si="2"/>
        <v>39751.077926094928</v>
      </c>
      <c r="K10" s="338">
        <f t="shared" ref="K10:P10" ca="1" si="3">+SUM(K8:K9)</f>
        <v>39470.466780336435</v>
      </c>
      <c r="L10" s="338">
        <f t="shared" ca="1" si="3"/>
        <v>39119.143683441973</v>
      </c>
      <c r="M10" s="338">
        <f t="shared" ca="1" si="3"/>
        <v>38675.681371221959</v>
      </c>
      <c r="N10" s="338">
        <f t="shared" ca="1" si="3"/>
        <v>38054.414897075621</v>
      </c>
      <c r="O10" s="338">
        <f t="shared" ca="1" si="3"/>
        <v>37310.949273372978</v>
      </c>
      <c r="P10" s="338">
        <f t="shared" ca="1" si="3"/>
        <v>36433.527448318215</v>
      </c>
      <c r="Q10" s="296"/>
      <c r="R10" s="296"/>
      <c r="S10" s="296"/>
      <c r="T10" s="296"/>
      <c r="U10" s="296"/>
      <c r="V10" s="296"/>
      <c r="W10" s="296"/>
      <c r="X10" s="296"/>
      <c r="Y10" s="296"/>
      <c r="Z10" s="296"/>
      <c r="AA10" s="296"/>
      <c r="AB10" s="296"/>
      <c r="AC10" s="296"/>
      <c r="AD10" s="296"/>
      <c r="AE10" s="296"/>
      <c r="AF10" s="296"/>
      <c r="AG10" s="296"/>
      <c r="AH10" s="296"/>
      <c r="AI10" s="296"/>
      <c r="AJ10" s="296"/>
      <c r="AK10" s="296"/>
      <c r="AL10" s="254">
        <v>7787</v>
      </c>
      <c r="AM10" s="254">
        <v>8235</v>
      </c>
      <c r="AN10" s="254">
        <v>8543</v>
      </c>
      <c r="AO10" s="339">
        <f>+SUM(AO8:AO9)</f>
        <v>9091</v>
      </c>
      <c r="AP10" s="339">
        <f t="shared" ref="AP10:AV10" si="4">+SUM(AP8:AP9)</f>
        <v>9026</v>
      </c>
      <c r="AQ10" s="339">
        <f t="shared" si="4"/>
        <v>8731</v>
      </c>
      <c r="AR10" s="339">
        <f t="shared" si="4"/>
        <v>9128</v>
      </c>
      <c r="AS10" s="339">
        <f t="shared" si="4"/>
        <v>10338</v>
      </c>
      <c r="AT10" s="339">
        <f t="shared" si="4"/>
        <v>9408</v>
      </c>
      <c r="AU10" s="339">
        <f t="shared" si="4"/>
        <v>9549</v>
      </c>
      <c r="AV10" s="339">
        <f t="shared" si="4"/>
        <v>9545</v>
      </c>
      <c r="AW10" s="339">
        <f t="shared" ref="AW10:BB10" si="5">+SUM(AW8:AW9)</f>
        <v>10138</v>
      </c>
      <c r="AX10" s="339">
        <f t="shared" si="5"/>
        <v>9626</v>
      </c>
      <c r="AY10" s="339">
        <f t="shared" si="5"/>
        <v>9738</v>
      </c>
      <c r="AZ10" s="339">
        <f t="shared" si="5"/>
        <v>9925</v>
      </c>
      <c r="BA10" s="339">
        <f t="shared" si="5"/>
        <v>10331</v>
      </c>
      <c r="BB10" s="339">
        <f t="shared" si="5"/>
        <v>9427</v>
      </c>
      <c r="BC10" s="339">
        <f t="shared" ref="BC10:BD10" si="6">+SUM(BC8:BC9)</f>
        <v>9727</v>
      </c>
      <c r="BD10" s="339">
        <f t="shared" si="6"/>
        <v>9688</v>
      </c>
      <c r="BE10" s="339">
        <f t="shared" ref="BE10" si="7">+SUM(BE8:BE9)</f>
        <v>10955</v>
      </c>
      <c r="BF10" s="339">
        <f t="shared" ref="BF10:BI10" ca="1" si="8">+SUM(BF8:BF9)</f>
        <v>9741.7004510785846</v>
      </c>
      <c r="BG10" s="339">
        <f t="shared" ca="1" si="8"/>
        <v>9825.8164613039044</v>
      </c>
      <c r="BH10" s="339">
        <f t="shared" ca="1" si="8"/>
        <v>9846.8808183559777</v>
      </c>
      <c r="BI10" s="339">
        <f t="shared" ca="1" si="8"/>
        <v>10886.934564329782</v>
      </c>
      <c r="BK10" s="432"/>
    </row>
    <row r="11" spans="2:63" s="252" customFormat="1">
      <c r="B11" s="277"/>
      <c r="C11" s="296"/>
      <c r="D11" s="306"/>
      <c r="E11" s="306"/>
      <c r="F11" s="306"/>
      <c r="G11" s="306"/>
      <c r="H11" s="306"/>
      <c r="I11" s="306"/>
      <c r="J11" s="340"/>
      <c r="K11" s="340"/>
      <c r="L11" s="340"/>
      <c r="M11" s="340"/>
      <c r="N11" s="340"/>
      <c r="O11" s="340"/>
      <c r="P11" s="340"/>
      <c r="Q11" s="296"/>
      <c r="R11" s="296"/>
      <c r="S11" s="296"/>
      <c r="T11" s="296"/>
      <c r="U11" s="296"/>
      <c r="V11" s="296"/>
      <c r="W11" s="296"/>
      <c r="X11" s="296"/>
      <c r="Y11" s="296"/>
      <c r="Z11" s="296"/>
      <c r="AA11" s="296"/>
      <c r="AB11" s="296"/>
      <c r="AC11" s="296"/>
      <c r="AD11" s="296"/>
      <c r="AE11" s="296"/>
      <c r="AF11" s="296"/>
      <c r="AG11" s="296"/>
      <c r="AH11" s="296"/>
      <c r="AI11" s="296"/>
      <c r="AJ11" s="296"/>
      <c r="AK11" s="296"/>
      <c r="AL11" s="254"/>
      <c r="AM11" s="254"/>
      <c r="AN11" s="254"/>
      <c r="AO11" s="339"/>
      <c r="AP11" s="339"/>
      <c r="AQ11" s="339"/>
      <c r="AR11" s="339"/>
      <c r="AS11" s="339"/>
      <c r="AT11" s="339"/>
      <c r="AU11" s="339"/>
      <c r="AV11" s="339"/>
      <c r="AW11" s="339"/>
      <c r="AX11" s="339"/>
      <c r="AY11" s="339"/>
      <c r="AZ11" s="339"/>
      <c r="BA11" s="339"/>
      <c r="BB11" s="339"/>
      <c r="BC11" s="339"/>
      <c r="BD11" s="339"/>
      <c r="BE11" s="339"/>
      <c r="BF11" s="339"/>
      <c r="BG11" s="339"/>
      <c r="BH11" s="339"/>
      <c r="BI11" s="339"/>
    </row>
    <row r="12" spans="2:63" s="239" customFormat="1">
      <c r="B12" s="238" t="s">
        <v>285</v>
      </c>
      <c r="C12" s="317"/>
      <c r="D12" s="341"/>
      <c r="E12" s="295">
        <f>SUM(AP12:AS12)</f>
        <v>9391</v>
      </c>
      <c r="F12" s="295">
        <f>SUM(AT12:AW12)</f>
        <v>10461</v>
      </c>
      <c r="G12" s="295">
        <f>SUM(AX12:BA12)</f>
        <v>11389</v>
      </c>
      <c r="H12" s="295">
        <f>SUM(BB12:BE12)</f>
        <v>12227</v>
      </c>
      <c r="I12" s="295">
        <f>SUM(BF12:BI12)</f>
        <v>13082.89</v>
      </c>
      <c r="J12" s="262">
        <f>+I12*(1+J13)</f>
        <v>13900.570625</v>
      </c>
      <c r="K12" s="262">
        <f t="shared" ref="K12:P12" si="9">+J12*(1+K13)</f>
        <v>14665.102009375003</v>
      </c>
      <c r="L12" s="262">
        <f t="shared" si="9"/>
        <v>15361.694354820316</v>
      </c>
      <c r="M12" s="262">
        <f t="shared" si="9"/>
        <v>15976.16212901313</v>
      </c>
      <c r="N12" s="262">
        <f t="shared" si="9"/>
        <v>16495.387398206058</v>
      </c>
      <c r="O12" s="262">
        <f t="shared" si="9"/>
        <v>16907.77208316121</v>
      </c>
      <c r="P12" s="262">
        <f t="shared" si="9"/>
        <v>17203.65809461653</v>
      </c>
      <c r="Q12" s="317"/>
      <c r="R12" s="317"/>
      <c r="S12" s="317"/>
      <c r="T12" s="317"/>
      <c r="U12" s="317"/>
      <c r="V12" s="317"/>
      <c r="W12" s="317"/>
      <c r="X12" s="317"/>
      <c r="Y12" s="317"/>
      <c r="Z12" s="317"/>
      <c r="AA12" s="317"/>
      <c r="AB12" s="317"/>
      <c r="AC12" s="317"/>
      <c r="AD12" s="317"/>
      <c r="AE12" s="317"/>
      <c r="AF12" s="317"/>
      <c r="AG12" s="317"/>
      <c r="AH12" s="317"/>
      <c r="AI12" s="317"/>
      <c r="AJ12" s="317"/>
      <c r="AK12" s="317"/>
      <c r="AL12" s="261"/>
      <c r="AM12" s="261"/>
      <c r="AN12" s="261"/>
      <c r="AO12" s="422">
        <v>2240</v>
      </c>
      <c r="AP12" s="422">
        <v>2278</v>
      </c>
      <c r="AQ12" s="422">
        <v>2292</v>
      </c>
      <c r="AR12" s="261">
        <v>2362</v>
      </c>
      <c r="AS12" s="261">
        <v>2459</v>
      </c>
      <c r="AT12" s="261">
        <v>2519</v>
      </c>
      <c r="AU12" s="261">
        <v>2580</v>
      </c>
      <c r="AV12" s="261">
        <v>2646</v>
      </c>
      <c r="AW12" s="261">
        <v>2716</v>
      </c>
      <c r="AX12" s="261">
        <v>2762</v>
      </c>
      <c r="AY12" s="261">
        <v>2797</v>
      </c>
      <c r="AZ12" s="261">
        <v>2888</v>
      </c>
      <c r="BA12" s="261">
        <v>2942</v>
      </c>
      <c r="BB12" s="261">
        <v>2974</v>
      </c>
      <c r="BC12" s="261">
        <v>3028</v>
      </c>
      <c r="BD12" s="261">
        <v>3087</v>
      </c>
      <c r="BE12" s="261">
        <v>3138</v>
      </c>
      <c r="BF12" s="262">
        <f t="shared" ref="BF12" si="10">+BB12*(1+BF13)</f>
        <v>3182.1800000000003</v>
      </c>
      <c r="BG12" s="262">
        <f t="shared" ref="BG12" si="11">+BC12*(1+BG13)</f>
        <v>3239.96</v>
      </c>
      <c r="BH12" s="262">
        <f t="shared" ref="BH12" si="12">+BD12*(1+BH13)</f>
        <v>3303.09</v>
      </c>
      <c r="BI12" s="262">
        <f t="shared" ref="BI12" si="13">+BE12*(1+BI13)</f>
        <v>3357.6600000000003</v>
      </c>
      <c r="BK12" s="236"/>
    </row>
    <row r="13" spans="2:63" s="278" customFormat="1" outlineLevel="1">
      <c r="B13" s="245" t="s">
        <v>252</v>
      </c>
      <c r="C13" s="342"/>
      <c r="D13" s="343"/>
      <c r="E13" s="344"/>
      <c r="F13" s="248">
        <f>+F12/E12-1</f>
        <v>0.11393887764881261</v>
      </c>
      <c r="G13" s="248">
        <f>+G12/F12-1</f>
        <v>8.871044833189945E-2</v>
      </c>
      <c r="H13" s="248">
        <f>+H12/G12-1</f>
        <v>7.3579769953463936E-2</v>
      </c>
      <c r="I13" s="248">
        <f>+I12/H12-1</f>
        <v>7.0000000000000062E-2</v>
      </c>
      <c r="J13" s="228">
        <f t="shared" ref="J13:P13" si="14">+I13-0.0075</f>
        <v>6.2500000000000056E-2</v>
      </c>
      <c r="K13" s="228">
        <f t="shared" si="14"/>
        <v>5.5000000000000056E-2</v>
      </c>
      <c r="L13" s="228">
        <f t="shared" si="14"/>
        <v>4.7500000000000056E-2</v>
      </c>
      <c r="M13" s="228">
        <f t="shared" si="14"/>
        <v>4.0000000000000056E-2</v>
      </c>
      <c r="N13" s="228">
        <f t="shared" si="14"/>
        <v>3.2500000000000057E-2</v>
      </c>
      <c r="O13" s="228">
        <f t="shared" si="14"/>
        <v>2.5000000000000057E-2</v>
      </c>
      <c r="P13" s="228">
        <f t="shared" si="14"/>
        <v>1.7500000000000057E-2</v>
      </c>
      <c r="Q13" s="342"/>
      <c r="R13" s="342"/>
      <c r="S13" s="342"/>
      <c r="T13" s="342"/>
      <c r="U13" s="342"/>
      <c r="V13" s="342"/>
      <c r="W13" s="342"/>
      <c r="X13" s="342"/>
      <c r="Y13" s="342"/>
      <c r="Z13" s="342"/>
      <c r="AA13" s="342"/>
      <c r="AB13" s="342"/>
      <c r="AC13" s="342"/>
      <c r="AD13" s="342"/>
      <c r="AE13" s="342"/>
      <c r="AF13" s="342"/>
      <c r="AG13" s="342"/>
      <c r="AH13" s="342"/>
      <c r="AI13" s="342"/>
      <c r="AJ13" s="342"/>
      <c r="AK13" s="342"/>
      <c r="AL13" s="335"/>
      <c r="AM13" s="335"/>
      <c r="AN13" s="335"/>
      <c r="AO13" s="335"/>
      <c r="AP13" s="335"/>
      <c r="AQ13" s="335"/>
      <c r="AR13" s="335"/>
      <c r="AS13" s="248">
        <f t="shared" ref="AS13:BE13" si="15">+AS12/AO12-1</f>
        <v>9.7767857142857073E-2</v>
      </c>
      <c r="AT13" s="248">
        <f t="shared" si="15"/>
        <v>0.10579455662862158</v>
      </c>
      <c r="AU13" s="248">
        <f t="shared" si="15"/>
        <v>0.12565445026178002</v>
      </c>
      <c r="AV13" s="248">
        <f t="shared" si="15"/>
        <v>0.12023708721422532</v>
      </c>
      <c r="AW13" s="248">
        <f t="shared" si="15"/>
        <v>0.10451403009353388</v>
      </c>
      <c r="AX13" s="248">
        <f t="shared" si="15"/>
        <v>9.6466851925367303E-2</v>
      </c>
      <c r="AY13" s="248">
        <f t="shared" si="15"/>
        <v>8.4108527131782962E-2</v>
      </c>
      <c r="AZ13" s="248">
        <f t="shared" si="15"/>
        <v>9.1458805744520033E-2</v>
      </c>
      <c r="BA13" s="248">
        <f t="shared" si="15"/>
        <v>8.3210603829160457E-2</v>
      </c>
      <c r="BB13" s="248">
        <f t="shared" si="15"/>
        <v>7.6755973931933452E-2</v>
      </c>
      <c r="BC13" s="248">
        <f t="shared" si="15"/>
        <v>8.2588487665355759E-2</v>
      </c>
      <c r="BD13" s="248">
        <f t="shared" si="15"/>
        <v>6.890581717451516E-2</v>
      </c>
      <c r="BE13" s="248">
        <f t="shared" si="15"/>
        <v>6.6621346023113537E-2</v>
      </c>
      <c r="BF13" s="228">
        <v>7.0000000000000007E-2</v>
      </c>
      <c r="BG13" s="228">
        <v>7.0000000000000007E-2</v>
      </c>
      <c r="BH13" s="228">
        <v>7.0000000000000007E-2</v>
      </c>
      <c r="BI13" s="228">
        <v>7.0000000000000007E-2</v>
      </c>
    </row>
    <row r="14" spans="2:63" s="278" customFormat="1" outlineLevel="1">
      <c r="B14" s="298" t="s">
        <v>342</v>
      </c>
      <c r="C14" s="342"/>
      <c r="D14" s="343"/>
      <c r="E14" s="344"/>
      <c r="F14" s="344"/>
      <c r="G14" s="344"/>
      <c r="H14" s="344"/>
      <c r="I14" s="344"/>
      <c r="J14" s="344"/>
      <c r="K14" s="344"/>
      <c r="L14" s="344"/>
      <c r="M14" s="344"/>
      <c r="N14" s="344"/>
      <c r="O14" s="344"/>
      <c r="P14" s="344"/>
      <c r="Q14" s="342"/>
      <c r="R14" s="342"/>
      <c r="S14" s="342"/>
      <c r="T14" s="342"/>
      <c r="U14" s="342"/>
      <c r="V14" s="342"/>
      <c r="W14" s="342"/>
      <c r="X14" s="342"/>
      <c r="Y14" s="342"/>
      <c r="Z14" s="342"/>
      <c r="AA14" s="342"/>
      <c r="AB14" s="342"/>
      <c r="AC14" s="342"/>
      <c r="AD14" s="342"/>
      <c r="AE14" s="342"/>
      <c r="AF14" s="342"/>
      <c r="AG14" s="342"/>
      <c r="AH14" s="342"/>
      <c r="AI14" s="342"/>
      <c r="AJ14" s="342"/>
      <c r="AK14" s="342"/>
      <c r="AL14" s="335"/>
      <c r="AM14" s="335"/>
      <c r="AN14" s="335"/>
      <c r="AO14" s="335"/>
      <c r="AP14" s="288">
        <f>+AP12-AO12</f>
        <v>38</v>
      </c>
      <c r="AQ14" s="288">
        <f t="shared" ref="AQ14:BE14" si="16">+AQ12-AP12</f>
        <v>14</v>
      </c>
      <c r="AR14" s="288">
        <f t="shared" si="16"/>
        <v>70</v>
      </c>
      <c r="AS14" s="288">
        <f t="shared" si="16"/>
        <v>97</v>
      </c>
      <c r="AT14" s="288">
        <f t="shared" si="16"/>
        <v>60</v>
      </c>
      <c r="AU14" s="288">
        <f t="shared" si="16"/>
        <v>61</v>
      </c>
      <c r="AV14" s="288">
        <f t="shared" si="16"/>
        <v>66</v>
      </c>
      <c r="AW14" s="288">
        <f t="shared" si="16"/>
        <v>70</v>
      </c>
      <c r="AX14" s="288">
        <f t="shared" si="16"/>
        <v>46</v>
      </c>
      <c r="AY14" s="288">
        <f t="shared" si="16"/>
        <v>35</v>
      </c>
      <c r="AZ14" s="288">
        <f t="shared" si="16"/>
        <v>91</v>
      </c>
      <c r="BA14" s="288">
        <f t="shared" si="16"/>
        <v>54</v>
      </c>
      <c r="BB14" s="288">
        <f t="shared" si="16"/>
        <v>32</v>
      </c>
      <c r="BC14" s="288">
        <f t="shared" si="16"/>
        <v>54</v>
      </c>
      <c r="BD14" s="288">
        <f t="shared" si="16"/>
        <v>59</v>
      </c>
      <c r="BE14" s="288">
        <f t="shared" si="16"/>
        <v>51</v>
      </c>
      <c r="BF14" s="288">
        <f t="shared" ref="BF14" si="17">+BF12-BE12</f>
        <v>44.180000000000291</v>
      </c>
      <c r="BG14" s="288">
        <f t="shared" ref="BG14" si="18">+BG12-BF12</f>
        <v>57.779999999999745</v>
      </c>
      <c r="BH14" s="288">
        <f t="shared" ref="BH14" si="19">+BH12-BG12</f>
        <v>63.130000000000109</v>
      </c>
      <c r="BI14" s="288">
        <f t="shared" ref="BI14" si="20">+BI12-BH12</f>
        <v>54.570000000000164</v>
      </c>
    </row>
    <row r="15" spans="2:63" s="278" customFormat="1" outlineLevel="1">
      <c r="B15" s="298" t="s">
        <v>343</v>
      </c>
      <c r="C15" s="342"/>
      <c r="D15" s="343"/>
      <c r="E15" s="344"/>
      <c r="F15" s="344">
        <f>+F12-E12</f>
        <v>1070</v>
      </c>
      <c r="G15" s="344">
        <f>+G12-F12</f>
        <v>928</v>
      </c>
      <c r="H15" s="344">
        <f>+H12-G12</f>
        <v>838</v>
      </c>
      <c r="I15" s="344">
        <f>+I12-H12</f>
        <v>855.88999999999942</v>
      </c>
      <c r="J15" s="344">
        <f>+J12-I12</f>
        <v>817.68062500000087</v>
      </c>
      <c r="K15" s="344">
        <f t="shared" ref="K15:P15" si="21">+K12-J12</f>
        <v>764.53138437500274</v>
      </c>
      <c r="L15" s="344">
        <f t="shared" si="21"/>
        <v>696.59234544531319</v>
      </c>
      <c r="M15" s="344">
        <f t="shared" si="21"/>
        <v>614.46777419281352</v>
      </c>
      <c r="N15" s="344">
        <f t="shared" si="21"/>
        <v>519.22526919292795</v>
      </c>
      <c r="O15" s="344">
        <f t="shared" si="21"/>
        <v>412.3846849551519</v>
      </c>
      <c r="P15" s="344">
        <f t="shared" si="21"/>
        <v>295.88601145532084</v>
      </c>
      <c r="Q15" s="342"/>
      <c r="R15" s="342"/>
      <c r="S15" s="342"/>
      <c r="T15" s="342"/>
      <c r="U15" s="342"/>
      <c r="V15" s="342"/>
      <c r="W15" s="342"/>
      <c r="X15" s="342"/>
      <c r="Y15" s="342"/>
      <c r="Z15" s="342"/>
      <c r="AA15" s="342"/>
      <c r="AB15" s="342"/>
      <c r="AC15" s="342"/>
      <c r="AD15" s="342"/>
      <c r="AE15" s="342"/>
      <c r="AF15" s="342"/>
      <c r="AG15" s="342"/>
      <c r="AH15" s="342"/>
      <c r="AI15" s="342"/>
      <c r="AJ15" s="342"/>
      <c r="AK15" s="342"/>
      <c r="AL15" s="335"/>
      <c r="AM15" s="335"/>
      <c r="AN15" s="335"/>
      <c r="AO15" s="335"/>
      <c r="AP15" s="288"/>
      <c r="AQ15" s="288"/>
      <c r="AR15" s="288"/>
      <c r="AS15" s="288">
        <f t="shared" ref="AS15:BE15" si="22">+AS12-AO12</f>
        <v>219</v>
      </c>
      <c r="AT15" s="288">
        <f t="shared" si="22"/>
        <v>241</v>
      </c>
      <c r="AU15" s="288">
        <f t="shared" si="22"/>
        <v>288</v>
      </c>
      <c r="AV15" s="288">
        <f t="shared" si="22"/>
        <v>284</v>
      </c>
      <c r="AW15" s="288">
        <f t="shared" si="22"/>
        <v>257</v>
      </c>
      <c r="AX15" s="288">
        <f t="shared" si="22"/>
        <v>243</v>
      </c>
      <c r="AY15" s="288">
        <f t="shared" si="22"/>
        <v>217</v>
      </c>
      <c r="AZ15" s="288">
        <f t="shared" si="22"/>
        <v>242</v>
      </c>
      <c r="BA15" s="288">
        <f t="shared" si="22"/>
        <v>226</v>
      </c>
      <c r="BB15" s="288">
        <f t="shared" si="22"/>
        <v>212</v>
      </c>
      <c r="BC15" s="288">
        <f t="shared" si="22"/>
        <v>231</v>
      </c>
      <c r="BD15" s="288">
        <f t="shared" si="22"/>
        <v>199</v>
      </c>
      <c r="BE15" s="288">
        <f t="shared" si="22"/>
        <v>196</v>
      </c>
      <c r="BF15" s="288">
        <f t="shared" ref="BF15" si="23">+BF12-BB12</f>
        <v>208.18000000000029</v>
      </c>
      <c r="BG15" s="288">
        <f t="shared" ref="BG15" si="24">+BG12-BC12</f>
        <v>211.96000000000004</v>
      </c>
      <c r="BH15" s="288">
        <f t="shared" ref="BH15" si="25">+BH12-BD12</f>
        <v>216.09000000000015</v>
      </c>
      <c r="BI15" s="288">
        <f t="shared" ref="BI15" si="26">+BI12-BE12</f>
        <v>219.66000000000031</v>
      </c>
    </row>
    <row r="16" spans="2:63" s="252" customFormat="1">
      <c r="B16" s="235" t="s">
        <v>291</v>
      </c>
      <c r="C16" s="266"/>
      <c r="D16" s="300"/>
      <c r="E16" s="295">
        <f>SUM(AP16:AS16)</f>
        <v>20132</v>
      </c>
      <c r="F16" s="295">
        <f>SUM(AT16:AW16)</f>
        <v>18468</v>
      </c>
      <c r="G16" s="295">
        <f>SUM(AX16:BA16)</f>
        <v>16364</v>
      </c>
      <c r="H16" s="295">
        <f>SUM(BB16:BE16)</f>
        <v>13931</v>
      </c>
      <c r="I16" s="295">
        <f>SUM(BF16:BI16)</f>
        <v>12398.59</v>
      </c>
      <c r="J16" s="262">
        <f>+I16*(1+J17)</f>
        <v>11096.73805</v>
      </c>
      <c r="K16" s="262">
        <f t="shared" ref="K16:P16" si="27">+J16*(1+K17)</f>
        <v>9987.0642449999996</v>
      </c>
      <c r="L16" s="262">
        <f t="shared" si="27"/>
        <v>9038.2931417250002</v>
      </c>
      <c r="M16" s="262">
        <f t="shared" si="27"/>
        <v>8224.8467589697502</v>
      </c>
      <c r="N16" s="262">
        <f t="shared" si="27"/>
        <v>7525.7347844573214</v>
      </c>
      <c r="O16" s="262">
        <f t="shared" si="27"/>
        <v>6923.6760017007364</v>
      </c>
      <c r="P16" s="262">
        <f t="shared" si="27"/>
        <v>6404.4003015731814</v>
      </c>
      <c r="Q16" s="266"/>
      <c r="R16" s="266"/>
      <c r="S16" s="266"/>
      <c r="T16" s="266"/>
      <c r="U16" s="266"/>
      <c r="V16" s="266"/>
      <c r="W16" s="266"/>
      <c r="X16" s="266"/>
      <c r="Y16" s="266"/>
      <c r="Z16" s="266"/>
      <c r="AA16" s="266"/>
      <c r="AB16" s="266"/>
      <c r="AC16" s="266"/>
      <c r="AD16" s="266"/>
      <c r="AE16" s="266"/>
      <c r="AF16" s="266"/>
      <c r="AG16" s="266"/>
      <c r="AH16" s="266"/>
      <c r="AI16" s="266"/>
      <c r="AJ16" s="266"/>
      <c r="AK16" s="266"/>
      <c r="AL16" s="254"/>
      <c r="AM16" s="254"/>
      <c r="AN16" s="254"/>
      <c r="AO16" s="422">
        <f>5209</f>
        <v>5209</v>
      </c>
      <c r="AP16" s="422">
        <f>5130</f>
        <v>5130</v>
      </c>
      <c r="AQ16" s="422">
        <v>5076</v>
      </c>
      <c r="AR16" s="261">
        <v>5020</v>
      </c>
      <c r="AS16" s="261">
        <v>4906</v>
      </c>
      <c r="AT16" s="261">
        <v>4784</v>
      </c>
      <c r="AU16" s="261">
        <v>4681</v>
      </c>
      <c r="AV16" s="261">
        <v>4616</v>
      </c>
      <c r="AW16" s="261">
        <v>4387</v>
      </c>
      <c r="AX16" s="261">
        <v>4363</v>
      </c>
      <c r="AY16" s="261">
        <v>4158</v>
      </c>
      <c r="AZ16" s="261">
        <v>4046</v>
      </c>
      <c r="BA16" s="261">
        <v>3797</v>
      </c>
      <c r="BB16" s="261">
        <v>3630</v>
      </c>
      <c r="BC16" s="261">
        <v>3508</v>
      </c>
      <c r="BD16" s="261">
        <v>3434</v>
      </c>
      <c r="BE16" s="261">
        <v>3359</v>
      </c>
      <c r="BF16" s="262">
        <f t="shared" ref="BF16" si="28">+BB16*(1+BF17)</f>
        <v>3230.7000000000003</v>
      </c>
      <c r="BG16" s="262">
        <f t="shared" ref="BG16" si="29">+BC16*(1+BG17)</f>
        <v>3122.12</v>
      </c>
      <c r="BH16" s="262">
        <f t="shared" ref="BH16" si="30">+BD16*(1+BH17)</f>
        <v>3056.26</v>
      </c>
      <c r="BI16" s="262">
        <f t="shared" ref="BI16" si="31">+BE16*(1+BI17)</f>
        <v>2989.51</v>
      </c>
      <c r="BK16" s="236"/>
    </row>
    <row r="17" spans="2:63" s="337" customFormat="1" outlineLevel="1">
      <c r="B17" s="245" t="s">
        <v>252</v>
      </c>
      <c r="C17" s="342"/>
      <c r="D17" s="343"/>
      <c r="E17" s="344"/>
      <c r="F17" s="248">
        <f>+F16/E16-1</f>
        <v>-8.2654480429167454E-2</v>
      </c>
      <c r="G17" s="248">
        <f>+G16/F16-1</f>
        <v>-0.11392679228936542</v>
      </c>
      <c r="H17" s="248">
        <f>+H16/G16-1</f>
        <v>-0.14868002933268154</v>
      </c>
      <c r="I17" s="248">
        <f>+I16/H16-1</f>
        <v>-0.10999999999999999</v>
      </c>
      <c r="J17" s="228">
        <f t="shared" ref="J17:P17" si="32">+I17+0.005</f>
        <v>-0.10499999999999998</v>
      </c>
      <c r="K17" s="228">
        <f t="shared" si="32"/>
        <v>-9.9999999999999978E-2</v>
      </c>
      <c r="L17" s="228">
        <f t="shared" si="32"/>
        <v>-9.4999999999999973E-2</v>
      </c>
      <c r="M17" s="228">
        <f t="shared" si="32"/>
        <v>-8.9999999999999969E-2</v>
      </c>
      <c r="N17" s="228">
        <f t="shared" si="32"/>
        <v>-8.4999999999999964E-2</v>
      </c>
      <c r="O17" s="228">
        <f t="shared" si="32"/>
        <v>-7.999999999999996E-2</v>
      </c>
      <c r="P17" s="228">
        <f t="shared" si="32"/>
        <v>-7.4999999999999956E-2</v>
      </c>
      <c r="Q17" s="342"/>
      <c r="R17" s="342"/>
      <c r="S17" s="342"/>
      <c r="T17" s="342"/>
      <c r="U17" s="342"/>
      <c r="V17" s="342"/>
      <c r="W17" s="342"/>
      <c r="X17" s="342"/>
      <c r="Y17" s="342"/>
      <c r="Z17" s="342"/>
      <c r="AA17" s="342"/>
      <c r="AB17" s="342"/>
      <c r="AC17" s="342"/>
      <c r="AD17" s="342"/>
      <c r="AE17" s="342"/>
      <c r="AF17" s="342"/>
      <c r="AG17" s="342"/>
      <c r="AH17" s="342"/>
      <c r="AI17" s="342"/>
      <c r="AJ17" s="342"/>
      <c r="AK17" s="342"/>
      <c r="AL17" s="299"/>
      <c r="AM17" s="299"/>
      <c r="AN17" s="299"/>
      <c r="AO17" s="345"/>
      <c r="AP17" s="335"/>
      <c r="AQ17" s="335"/>
      <c r="AR17" s="335"/>
      <c r="AS17" s="248">
        <f t="shared" ref="AS17:BE17" si="33">+AS16/AO16-1</f>
        <v>-5.8168554425033547E-2</v>
      </c>
      <c r="AT17" s="248">
        <f t="shared" si="33"/>
        <v>-6.7446393762183199E-2</v>
      </c>
      <c r="AU17" s="248">
        <f t="shared" si="33"/>
        <v>-7.7817178881008697E-2</v>
      </c>
      <c r="AV17" s="248">
        <f t="shared" si="33"/>
        <v>-8.0478087649402341E-2</v>
      </c>
      <c r="AW17" s="248">
        <f t="shared" si="33"/>
        <v>-0.10578883000407668</v>
      </c>
      <c r="AX17" s="248">
        <f t="shared" si="33"/>
        <v>-8.8001672240802686E-2</v>
      </c>
      <c r="AY17" s="248">
        <f t="shared" si="33"/>
        <v>-0.11172826319162577</v>
      </c>
      <c r="AZ17" s="248">
        <f t="shared" si="33"/>
        <v>-0.12348353552859614</v>
      </c>
      <c r="BA17" s="248">
        <f t="shared" si="33"/>
        <v>-0.13448826077045817</v>
      </c>
      <c r="BB17" s="248">
        <f t="shared" si="33"/>
        <v>-0.16800366720146687</v>
      </c>
      <c r="BC17" s="248">
        <f t="shared" si="33"/>
        <v>-0.15632515632515631</v>
      </c>
      <c r="BD17" s="248">
        <f t="shared" si="33"/>
        <v>-0.15126050420168069</v>
      </c>
      <c r="BE17" s="248">
        <f t="shared" si="33"/>
        <v>-0.11535422702133258</v>
      </c>
      <c r="BF17" s="228">
        <v>-0.11</v>
      </c>
      <c r="BG17" s="228">
        <v>-0.11</v>
      </c>
      <c r="BH17" s="228">
        <v>-0.11</v>
      </c>
      <c r="BI17" s="228">
        <v>-0.11</v>
      </c>
    </row>
    <row r="18" spans="2:63" s="337" customFormat="1" outlineLevel="1">
      <c r="B18" s="298" t="s">
        <v>342</v>
      </c>
      <c r="C18" s="342"/>
      <c r="D18" s="343"/>
      <c r="E18" s="344"/>
      <c r="F18" s="344"/>
      <c r="G18" s="344"/>
      <c r="H18" s="344"/>
      <c r="I18" s="344"/>
      <c r="J18" s="344"/>
      <c r="K18" s="344"/>
      <c r="L18" s="344"/>
      <c r="M18" s="344"/>
      <c r="N18" s="344"/>
      <c r="O18" s="344"/>
      <c r="P18" s="344"/>
      <c r="Q18" s="342"/>
      <c r="R18" s="342"/>
      <c r="S18" s="342"/>
      <c r="T18" s="342"/>
      <c r="U18" s="342"/>
      <c r="V18" s="342"/>
      <c r="W18" s="342"/>
      <c r="X18" s="342"/>
      <c r="Y18" s="342"/>
      <c r="Z18" s="342"/>
      <c r="AA18" s="342"/>
      <c r="AB18" s="342"/>
      <c r="AC18" s="342"/>
      <c r="AD18" s="342"/>
      <c r="AE18" s="342"/>
      <c r="AF18" s="342"/>
      <c r="AG18" s="342"/>
      <c r="AH18" s="342"/>
      <c r="AI18" s="342"/>
      <c r="AJ18" s="342"/>
      <c r="AK18" s="342"/>
      <c r="AL18" s="299"/>
      <c r="AM18" s="299"/>
      <c r="AN18" s="299"/>
      <c r="AO18" s="345"/>
      <c r="AP18" s="288">
        <f>+AP16-AO16</f>
        <v>-79</v>
      </c>
      <c r="AQ18" s="288">
        <f t="shared" ref="AQ18:BE18" si="34">+AQ16-AP16</f>
        <v>-54</v>
      </c>
      <c r="AR18" s="288">
        <f t="shared" si="34"/>
        <v>-56</v>
      </c>
      <c r="AS18" s="288">
        <f t="shared" si="34"/>
        <v>-114</v>
      </c>
      <c r="AT18" s="288">
        <f t="shared" si="34"/>
        <v>-122</v>
      </c>
      <c r="AU18" s="288">
        <f t="shared" si="34"/>
        <v>-103</v>
      </c>
      <c r="AV18" s="288">
        <f t="shared" si="34"/>
        <v>-65</v>
      </c>
      <c r="AW18" s="288">
        <f t="shared" si="34"/>
        <v>-229</v>
      </c>
      <c r="AX18" s="288">
        <f t="shared" si="34"/>
        <v>-24</v>
      </c>
      <c r="AY18" s="288">
        <f t="shared" si="34"/>
        <v>-205</v>
      </c>
      <c r="AZ18" s="288">
        <f t="shared" si="34"/>
        <v>-112</v>
      </c>
      <c r="BA18" s="288">
        <f t="shared" si="34"/>
        <v>-249</v>
      </c>
      <c r="BB18" s="288">
        <f t="shared" si="34"/>
        <v>-167</v>
      </c>
      <c r="BC18" s="288">
        <f t="shared" si="34"/>
        <v>-122</v>
      </c>
      <c r="BD18" s="288">
        <f t="shared" si="34"/>
        <v>-74</v>
      </c>
      <c r="BE18" s="288">
        <f t="shared" si="34"/>
        <v>-75</v>
      </c>
      <c r="BF18" s="288">
        <f t="shared" ref="BF18" si="35">+BF16-BE16</f>
        <v>-128.29999999999973</v>
      </c>
      <c r="BG18" s="288">
        <f t="shared" ref="BG18" si="36">+BG16-BF16</f>
        <v>-108.58000000000038</v>
      </c>
      <c r="BH18" s="288">
        <f t="shared" ref="BH18" si="37">+BH16-BG16</f>
        <v>-65.859999999999673</v>
      </c>
      <c r="BI18" s="288">
        <f t="shared" ref="BI18" si="38">+BI16-BH16</f>
        <v>-66.75</v>
      </c>
    </row>
    <row r="19" spans="2:63" s="337" customFormat="1" outlineLevel="1">
      <c r="B19" s="298" t="s">
        <v>343</v>
      </c>
      <c r="C19" s="342"/>
      <c r="D19" s="343"/>
      <c r="E19" s="344"/>
      <c r="F19" s="344">
        <f>+F16-E16</f>
        <v>-1664</v>
      </c>
      <c r="G19" s="344">
        <f>+G16-F16</f>
        <v>-2104</v>
      </c>
      <c r="H19" s="344">
        <f>+H16-G16</f>
        <v>-2433</v>
      </c>
      <c r="I19" s="344">
        <f>+I16-H16</f>
        <v>-1532.4099999999999</v>
      </c>
      <c r="J19" s="344">
        <f>+J16-I16</f>
        <v>-1301.8519500000002</v>
      </c>
      <c r="K19" s="344">
        <f t="shared" ref="K19:P19" si="39">+K16-J16</f>
        <v>-1109.6738050000004</v>
      </c>
      <c r="L19" s="344">
        <f t="shared" si="39"/>
        <v>-948.7711032749994</v>
      </c>
      <c r="M19" s="344">
        <f t="shared" si="39"/>
        <v>-813.44638275524994</v>
      </c>
      <c r="N19" s="344">
        <f t="shared" si="39"/>
        <v>-699.11197451242879</v>
      </c>
      <c r="O19" s="344">
        <f t="shared" si="39"/>
        <v>-602.05878275658506</v>
      </c>
      <c r="P19" s="344">
        <f t="shared" si="39"/>
        <v>-519.27570012755496</v>
      </c>
      <c r="Q19" s="342"/>
      <c r="R19" s="342"/>
      <c r="S19" s="342"/>
      <c r="T19" s="342"/>
      <c r="U19" s="342"/>
      <c r="V19" s="342"/>
      <c r="W19" s="342"/>
      <c r="X19" s="342"/>
      <c r="Y19" s="342"/>
      <c r="Z19" s="342"/>
      <c r="AA19" s="342"/>
      <c r="AB19" s="342"/>
      <c r="AC19" s="342"/>
      <c r="AD19" s="342"/>
      <c r="AE19" s="342"/>
      <c r="AF19" s="342"/>
      <c r="AG19" s="342"/>
      <c r="AH19" s="342"/>
      <c r="AI19" s="342"/>
      <c r="AJ19" s="342"/>
      <c r="AK19" s="342"/>
      <c r="AL19" s="299"/>
      <c r="AM19" s="299"/>
      <c r="AN19" s="299"/>
      <c r="AO19" s="345"/>
      <c r="AP19" s="288"/>
      <c r="AQ19" s="288"/>
      <c r="AR19" s="288"/>
      <c r="AS19" s="288">
        <f t="shared" ref="AS19:BE19" si="40">+AS16-AO16</f>
        <v>-303</v>
      </c>
      <c r="AT19" s="288">
        <f t="shared" si="40"/>
        <v>-346</v>
      </c>
      <c r="AU19" s="288">
        <f t="shared" si="40"/>
        <v>-395</v>
      </c>
      <c r="AV19" s="288">
        <f t="shared" si="40"/>
        <v>-404</v>
      </c>
      <c r="AW19" s="288">
        <f t="shared" si="40"/>
        <v>-519</v>
      </c>
      <c r="AX19" s="288">
        <f t="shared" si="40"/>
        <v>-421</v>
      </c>
      <c r="AY19" s="288">
        <f t="shared" si="40"/>
        <v>-523</v>
      </c>
      <c r="AZ19" s="288">
        <f t="shared" si="40"/>
        <v>-570</v>
      </c>
      <c r="BA19" s="288">
        <f t="shared" si="40"/>
        <v>-590</v>
      </c>
      <c r="BB19" s="288">
        <f t="shared" si="40"/>
        <v>-733</v>
      </c>
      <c r="BC19" s="288">
        <f t="shared" si="40"/>
        <v>-650</v>
      </c>
      <c r="BD19" s="288">
        <f t="shared" si="40"/>
        <v>-612</v>
      </c>
      <c r="BE19" s="288">
        <f t="shared" si="40"/>
        <v>-438</v>
      </c>
      <c r="BF19" s="288">
        <f t="shared" ref="BF19" si="41">+BF16-BB16</f>
        <v>-399.29999999999973</v>
      </c>
      <c r="BG19" s="288">
        <f t="shared" ref="BG19" si="42">+BG16-BC16</f>
        <v>-385.88000000000011</v>
      </c>
      <c r="BH19" s="288">
        <f t="shared" ref="BH19" si="43">+BH16-BD16</f>
        <v>-377.73999999999978</v>
      </c>
      <c r="BI19" s="288">
        <f t="shared" ref="BI19" si="44">+BI16-BE16</f>
        <v>-369.48999999999978</v>
      </c>
    </row>
    <row r="20" spans="2:63" s="252" customFormat="1">
      <c r="B20" s="235" t="s">
        <v>444</v>
      </c>
      <c r="C20" s="266"/>
      <c r="D20" s="300"/>
      <c r="E20" s="295">
        <f>SUM(AP20:AS20)</f>
        <v>3860</v>
      </c>
      <c r="F20" s="295">
        <f>SUM(AT20:AW20)</f>
        <v>3558</v>
      </c>
      <c r="G20" s="295">
        <f>SUM(AX20:BA20)</f>
        <v>3615</v>
      </c>
      <c r="H20" s="295">
        <f>SUM(BB20:BE20)</f>
        <v>3451</v>
      </c>
      <c r="I20" s="295">
        <f>SUM(BF20:BI20)</f>
        <v>3381.9799999999996</v>
      </c>
      <c r="J20" s="262">
        <f>+I20*(1+J21)</f>
        <v>3317.7223799999992</v>
      </c>
      <c r="K20" s="262">
        <f t="shared" ref="K20:P20" si="45">+J20*(1+K21)</f>
        <v>3258.0033771599988</v>
      </c>
      <c r="L20" s="262">
        <f t="shared" si="45"/>
        <v>3202.6173197482785</v>
      </c>
      <c r="M20" s="262">
        <f t="shared" si="45"/>
        <v>3151.3754426323057</v>
      </c>
      <c r="N20" s="262">
        <f t="shared" si="45"/>
        <v>3104.1048109928206</v>
      </c>
      <c r="O20" s="262">
        <f t="shared" si="45"/>
        <v>3060.6473436389206</v>
      </c>
      <c r="P20" s="262">
        <f t="shared" si="45"/>
        <v>3020.858928171614</v>
      </c>
      <c r="Q20" s="266"/>
      <c r="R20" s="266"/>
      <c r="S20" s="266"/>
      <c r="T20" s="266"/>
      <c r="U20" s="266"/>
      <c r="V20" s="266"/>
      <c r="W20" s="266"/>
      <c r="X20" s="266"/>
      <c r="Y20" s="266"/>
      <c r="Z20" s="266"/>
      <c r="AA20" s="266"/>
      <c r="AB20" s="266"/>
      <c r="AC20" s="266"/>
      <c r="AD20" s="266"/>
      <c r="AE20" s="266"/>
      <c r="AF20" s="266"/>
      <c r="AG20" s="266"/>
      <c r="AH20" s="266"/>
      <c r="AI20" s="266"/>
      <c r="AJ20" s="266"/>
      <c r="AK20" s="266"/>
      <c r="AL20" s="254"/>
      <c r="AM20" s="254"/>
      <c r="AN20" s="254"/>
      <c r="AO20" s="261">
        <v>1016</v>
      </c>
      <c r="AP20" s="261">
        <v>910</v>
      </c>
      <c r="AQ20" s="261">
        <v>947</v>
      </c>
      <c r="AR20" s="261">
        <v>977</v>
      </c>
      <c r="AS20" s="261">
        <v>1026</v>
      </c>
      <c r="AT20" s="261">
        <v>846</v>
      </c>
      <c r="AU20" s="261">
        <v>854</v>
      </c>
      <c r="AV20" s="261">
        <v>885</v>
      </c>
      <c r="AW20" s="261">
        <v>973</v>
      </c>
      <c r="AX20" s="261">
        <v>858</v>
      </c>
      <c r="AY20" s="261">
        <v>886</v>
      </c>
      <c r="AZ20" s="261">
        <v>908</v>
      </c>
      <c r="BA20" s="261">
        <v>963</v>
      </c>
      <c r="BB20" s="261">
        <v>817</v>
      </c>
      <c r="BC20" s="261">
        <v>844</v>
      </c>
      <c r="BD20" s="261">
        <v>852</v>
      </c>
      <c r="BE20" s="261">
        <v>938</v>
      </c>
      <c r="BF20" s="262">
        <f t="shared" ref="BF20" si="46">+BB20*(1+BF21)</f>
        <v>800.66</v>
      </c>
      <c r="BG20" s="262">
        <f t="shared" ref="BG20" si="47">+BC20*(1+BG21)</f>
        <v>827.12</v>
      </c>
      <c r="BH20" s="262">
        <f t="shared" ref="BH20" si="48">+BD20*(1+BH21)</f>
        <v>834.96</v>
      </c>
      <c r="BI20" s="262">
        <f t="shared" ref="BI20" si="49">+BE20*(1+BI21)</f>
        <v>919.24</v>
      </c>
      <c r="BK20" s="236"/>
    </row>
    <row r="21" spans="2:63" s="337" customFormat="1" outlineLevel="1">
      <c r="B21" s="245" t="s">
        <v>252</v>
      </c>
      <c r="C21" s="342"/>
      <c r="D21" s="343"/>
      <c r="E21" s="344"/>
      <c r="F21" s="248">
        <f>+F20/E20-1</f>
        <v>-7.8238341968911884E-2</v>
      </c>
      <c r="G21" s="248">
        <f>+G20/F20-1</f>
        <v>1.6020236087689765E-2</v>
      </c>
      <c r="H21" s="248">
        <f>+H20/G20-1</f>
        <v>-4.5366528354080171E-2</v>
      </c>
      <c r="I21" s="248">
        <f>+I20/H20-1</f>
        <v>-2.0000000000000129E-2</v>
      </c>
      <c r="J21" s="228">
        <f>+I21+0.001</f>
        <v>-1.9000000000000128E-2</v>
      </c>
      <c r="K21" s="228">
        <f t="shared" ref="K21:P21" si="50">+J21+0.001</f>
        <v>-1.8000000000000127E-2</v>
      </c>
      <c r="L21" s="228">
        <f t="shared" si="50"/>
        <v>-1.7000000000000126E-2</v>
      </c>
      <c r="M21" s="228">
        <f t="shared" si="50"/>
        <v>-1.6000000000000125E-2</v>
      </c>
      <c r="N21" s="228">
        <f t="shared" si="50"/>
        <v>-1.5000000000000124E-2</v>
      </c>
      <c r="O21" s="228">
        <f t="shared" si="50"/>
        <v>-1.4000000000000123E-2</v>
      </c>
      <c r="P21" s="228">
        <f t="shared" si="50"/>
        <v>-1.3000000000000123E-2</v>
      </c>
      <c r="Q21" s="342"/>
      <c r="R21" s="342"/>
      <c r="S21" s="342"/>
      <c r="T21" s="342"/>
      <c r="U21" s="342"/>
      <c r="V21" s="342"/>
      <c r="W21" s="342"/>
      <c r="X21" s="342"/>
      <c r="Y21" s="342"/>
      <c r="Z21" s="342"/>
      <c r="AA21" s="342"/>
      <c r="AB21" s="342"/>
      <c r="AC21" s="342"/>
      <c r="AD21" s="342"/>
      <c r="AE21" s="342"/>
      <c r="AF21" s="342"/>
      <c r="AG21" s="342"/>
      <c r="AH21" s="342"/>
      <c r="AI21" s="342"/>
      <c r="AJ21" s="342"/>
      <c r="AK21" s="342"/>
      <c r="AL21" s="299"/>
      <c r="AM21" s="299"/>
      <c r="AN21" s="299"/>
      <c r="AO21" s="335"/>
      <c r="AP21" s="335"/>
      <c r="AQ21" s="335"/>
      <c r="AR21" s="335"/>
      <c r="AS21" s="248">
        <f t="shared" ref="AS21:BE21" si="51">+AS20/AO20-1</f>
        <v>9.8425196850393526E-3</v>
      </c>
      <c r="AT21" s="248">
        <f t="shared" si="51"/>
        <v>-7.0329670329670302E-2</v>
      </c>
      <c r="AU21" s="248">
        <f t="shared" si="51"/>
        <v>-9.8204857444561755E-2</v>
      </c>
      <c r="AV21" s="248">
        <f t="shared" si="51"/>
        <v>-9.4165813715455515E-2</v>
      </c>
      <c r="AW21" s="248">
        <f t="shared" si="51"/>
        <v>-5.1656920077972734E-2</v>
      </c>
      <c r="AX21" s="248">
        <f t="shared" si="51"/>
        <v>1.4184397163120588E-2</v>
      </c>
      <c r="AY21" s="248">
        <f t="shared" si="51"/>
        <v>3.7470725995316201E-2</v>
      </c>
      <c r="AZ21" s="248">
        <f t="shared" si="51"/>
        <v>2.5988700564971712E-2</v>
      </c>
      <c r="BA21" s="248">
        <f t="shared" si="51"/>
        <v>-1.0277492291880796E-2</v>
      </c>
      <c r="BB21" s="248">
        <f t="shared" si="51"/>
        <v>-4.7785547785547777E-2</v>
      </c>
      <c r="BC21" s="248">
        <f t="shared" si="51"/>
        <v>-4.7404063205417568E-2</v>
      </c>
      <c r="BD21" s="248">
        <f t="shared" si="51"/>
        <v>-6.1674008810572722E-2</v>
      </c>
      <c r="BE21" s="248">
        <f t="shared" si="51"/>
        <v>-2.5960539979231534E-2</v>
      </c>
      <c r="BF21" s="228">
        <v>-0.02</v>
      </c>
      <c r="BG21" s="228">
        <v>-0.02</v>
      </c>
      <c r="BH21" s="228">
        <v>-0.02</v>
      </c>
      <c r="BI21" s="228">
        <v>-0.02</v>
      </c>
    </row>
    <row r="22" spans="2:63" s="337" customFormat="1" outlineLevel="1">
      <c r="B22" s="298" t="s">
        <v>342</v>
      </c>
      <c r="C22" s="342"/>
      <c r="D22" s="343"/>
      <c r="E22" s="344"/>
      <c r="F22" s="344"/>
      <c r="G22" s="344"/>
      <c r="H22" s="344"/>
      <c r="I22" s="344"/>
      <c r="J22" s="344"/>
      <c r="K22" s="344"/>
      <c r="L22" s="344"/>
      <c r="M22" s="344"/>
      <c r="N22" s="344"/>
      <c r="O22" s="344"/>
      <c r="P22" s="344"/>
      <c r="Q22" s="342"/>
      <c r="R22" s="342"/>
      <c r="S22" s="342"/>
      <c r="T22" s="342"/>
      <c r="U22" s="342"/>
      <c r="V22" s="342"/>
      <c r="W22" s="342"/>
      <c r="X22" s="342"/>
      <c r="Y22" s="342"/>
      <c r="Z22" s="342"/>
      <c r="AA22" s="342"/>
      <c r="AB22" s="342"/>
      <c r="AC22" s="342"/>
      <c r="AD22" s="342"/>
      <c r="AE22" s="342"/>
      <c r="AF22" s="342"/>
      <c r="AG22" s="342"/>
      <c r="AH22" s="342"/>
      <c r="AI22" s="342"/>
      <c r="AJ22" s="342"/>
      <c r="AK22" s="342"/>
      <c r="AL22" s="299"/>
      <c r="AM22" s="299"/>
      <c r="AN22" s="299"/>
      <c r="AO22" s="335"/>
      <c r="AP22" s="288">
        <f>+AP20-AO20</f>
        <v>-106</v>
      </c>
      <c r="AQ22" s="288">
        <f t="shared" ref="AQ22:BE22" si="52">+AQ20-AP20</f>
        <v>37</v>
      </c>
      <c r="AR22" s="288">
        <f t="shared" si="52"/>
        <v>30</v>
      </c>
      <c r="AS22" s="288">
        <f t="shared" si="52"/>
        <v>49</v>
      </c>
      <c r="AT22" s="288">
        <f t="shared" si="52"/>
        <v>-180</v>
      </c>
      <c r="AU22" s="288">
        <f t="shared" si="52"/>
        <v>8</v>
      </c>
      <c r="AV22" s="288">
        <f t="shared" si="52"/>
        <v>31</v>
      </c>
      <c r="AW22" s="288">
        <f t="shared" si="52"/>
        <v>88</v>
      </c>
      <c r="AX22" s="288">
        <f t="shared" si="52"/>
        <v>-115</v>
      </c>
      <c r="AY22" s="288">
        <f t="shared" si="52"/>
        <v>28</v>
      </c>
      <c r="AZ22" s="288">
        <f t="shared" si="52"/>
        <v>22</v>
      </c>
      <c r="BA22" s="288">
        <f t="shared" si="52"/>
        <v>55</v>
      </c>
      <c r="BB22" s="288">
        <f t="shared" si="52"/>
        <v>-146</v>
      </c>
      <c r="BC22" s="288">
        <f t="shared" si="52"/>
        <v>27</v>
      </c>
      <c r="BD22" s="288">
        <f t="shared" si="52"/>
        <v>8</v>
      </c>
      <c r="BE22" s="288">
        <f t="shared" si="52"/>
        <v>86</v>
      </c>
      <c r="BF22" s="288">
        <f t="shared" ref="BF22" si="53">+BF20-BE20</f>
        <v>-137.34000000000003</v>
      </c>
      <c r="BG22" s="288">
        <f t="shared" ref="BG22" si="54">+BG20-BF20</f>
        <v>26.460000000000036</v>
      </c>
      <c r="BH22" s="288">
        <f t="shared" ref="BH22" si="55">+BH20-BG20</f>
        <v>7.8400000000000318</v>
      </c>
      <c r="BI22" s="288">
        <f t="shared" ref="BI22" si="56">+BI20-BH20</f>
        <v>84.279999999999973</v>
      </c>
    </row>
    <row r="23" spans="2:63" s="337" customFormat="1" outlineLevel="1">
      <c r="B23" s="298" t="s">
        <v>343</v>
      </c>
      <c r="C23" s="342"/>
      <c r="D23" s="343"/>
      <c r="E23" s="344"/>
      <c r="F23" s="344">
        <f>+F20-E20</f>
        <v>-302</v>
      </c>
      <c r="G23" s="344">
        <f>+G20-F20</f>
        <v>57</v>
      </c>
      <c r="H23" s="344">
        <f>+H20-G20</f>
        <v>-164</v>
      </c>
      <c r="I23" s="344">
        <f>+I20-H20</f>
        <v>-69.020000000000437</v>
      </c>
      <c r="J23" s="344">
        <f>+J20-I20</f>
        <v>-64.257620000000315</v>
      </c>
      <c r="K23" s="344">
        <f t="shared" ref="K23:P23" si="57">+K20-J20</f>
        <v>-59.719002840000485</v>
      </c>
      <c r="L23" s="344">
        <f t="shared" si="57"/>
        <v>-55.38605741172023</v>
      </c>
      <c r="M23" s="344">
        <f t="shared" si="57"/>
        <v>-51.241877115972784</v>
      </c>
      <c r="N23" s="344">
        <f t="shared" si="57"/>
        <v>-47.270631639485146</v>
      </c>
      <c r="O23" s="344">
        <f t="shared" si="57"/>
        <v>-43.457467353900029</v>
      </c>
      <c r="P23" s="344">
        <f t="shared" si="57"/>
        <v>-39.78841546730655</v>
      </c>
      <c r="Q23" s="342"/>
      <c r="R23" s="342"/>
      <c r="S23" s="342"/>
      <c r="T23" s="342"/>
      <c r="U23" s="342"/>
      <c r="V23" s="342"/>
      <c r="W23" s="342"/>
      <c r="X23" s="342"/>
      <c r="Y23" s="342"/>
      <c r="Z23" s="342"/>
      <c r="AA23" s="342"/>
      <c r="AB23" s="342"/>
      <c r="AC23" s="342"/>
      <c r="AD23" s="342"/>
      <c r="AE23" s="342"/>
      <c r="AF23" s="342"/>
      <c r="AG23" s="342"/>
      <c r="AH23" s="342"/>
      <c r="AI23" s="342"/>
      <c r="AJ23" s="342"/>
      <c r="AK23" s="342"/>
      <c r="AL23" s="299"/>
      <c r="AM23" s="299"/>
      <c r="AN23" s="299"/>
      <c r="AO23" s="335"/>
      <c r="AP23" s="288"/>
      <c r="AQ23" s="288"/>
      <c r="AR23" s="288"/>
      <c r="AS23" s="288">
        <f t="shared" ref="AS23:BE23" si="58">+AS20-AO20</f>
        <v>10</v>
      </c>
      <c r="AT23" s="288">
        <f t="shared" si="58"/>
        <v>-64</v>
      </c>
      <c r="AU23" s="288">
        <f t="shared" si="58"/>
        <v>-93</v>
      </c>
      <c r="AV23" s="288">
        <f t="shared" si="58"/>
        <v>-92</v>
      </c>
      <c r="AW23" s="288">
        <f t="shared" si="58"/>
        <v>-53</v>
      </c>
      <c r="AX23" s="288">
        <f t="shared" si="58"/>
        <v>12</v>
      </c>
      <c r="AY23" s="288">
        <f t="shared" si="58"/>
        <v>32</v>
      </c>
      <c r="AZ23" s="288">
        <f t="shared" si="58"/>
        <v>23</v>
      </c>
      <c r="BA23" s="288">
        <f t="shared" si="58"/>
        <v>-10</v>
      </c>
      <c r="BB23" s="288">
        <f t="shared" si="58"/>
        <v>-41</v>
      </c>
      <c r="BC23" s="288">
        <f t="shared" si="58"/>
        <v>-42</v>
      </c>
      <c r="BD23" s="288">
        <f t="shared" si="58"/>
        <v>-56</v>
      </c>
      <c r="BE23" s="288">
        <f t="shared" si="58"/>
        <v>-25</v>
      </c>
      <c r="BF23" s="288">
        <f t="shared" ref="BF23" si="59">+BF20-BB20</f>
        <v>-16.340000000000032</v>
      </c>
      <c r="BG23" s="288">
        <f t="shared" ref="BG23" si="60">+BG20-BC20</f>
        <v>-16.879999999999995</v>
      </c>
      <c r="BH23" s="288">
        <f t="shared" ref="BH23" si="61">+BH20-BD20</f>
        <v>-17.039999999999964</v>
      </c>
      <c r="BI23" s="288">
        <f t="shared" ref="BI23" si="62">+BI20-BE20</f>
        <v>-18.759999999999991</v>
      </c>
    </row>
    <row r="24" spans="2:63" s="252" customFormat="1">
      <c r="B24" s="235"/>
      <c r="C24" s="266"/>
      <c r="D24" s="300"/>
      <c r="E24" s="295"/>
      <c r="F24" s="295"/>
      <c r="G24" s="295"/>
      <c r="H24" s="295"/>
      <c r="I24" s="295"/>
      <c r="J24" s="295"/>
      <c r="K24" s="295"/>
      <c r="L24" s="295"/>
      <c r="M24" s="295"/>
      <c r="N24" s="295"/>
      <c r="O24" s="295"/>
      <c r="P24" s="295"/>
      <c r="Q24" s="266"/>
      <c r="R24" s="266"/>
      <c r="S24" s="266"/>
      <c r="T24" s="266"/>
      <c r="U24" s="266"/>
      <c r="V24" s="266"/>
      <c r="W24" s="266"/>
      <c r="X24" s="266"/>
      <c r="Y24" s="266"/>
      <c r="Z24" s="266"/>
      <c r="AA24" s="266"/>
      <c r="AB24" s="266"/>
      <c r="AC24" s="266"/>
      <c r="AD24" s="266"/>
      <c r="AE24" s="266"/>
      <c r="AF24" s="266"/>
      <c r="AG24" s="266"/>
      <c r="AH24" s="266"/>
      <c r="AI24" s="266"/>
      <c r="AJ24" s="266"/>
      <c r="AK24" s="266"/>
      <c r="AL24" s="254"/>
      <c r="AM24" s="254"/>
      <c r="AN24" s="254"/>
      <c r="AO24" s="261"/>
      <c r="AP24" s="261"/>
      <c r="AQ24" s="261"/>
      <c r="AR24" s="261"/>
      <c r="AS24" s="261"/>
      <c r="AT24" s="261"/>
      <c r="AU24" s="261"/>
      <c r="AV24" s="261"/>
      <c r="AW24" s="261"/>
      <c r="AX24" s="261"/>
      <c r="AY24" s="261"/>
      <c r="AZ24" s="261"/>
      <c r="BA24" s="261"/>
      <c r="BB24" s="261"/>
      <c r="BC24" s="261"/>
      <c r="BD24" s="261"/>
      <c r="BE24" s="261"/>
      <c r="BF24" s="261"/>
      <c r="BG24" s="261"/>
      <c r="BH24" s="261"/>
      <c r="BI24" s="261"/>
    </row>
    <row r="25" spans="2:63" s="252" customFormat="1">
      <c r="B25" s="277" t="s">
        <v>191</v>
      </c>
      <c r="C25" s="296"/>
      <c r="D25" s="306">
        <f>SUM(AL25:AO25)</f>
        <v>33991</v>
      </c>
      <c r="E25" s="339">
        <f t="shared" ref="E25:J25" si="63">+E12+E16+E20</f>
        <v>33383</v>
      </c>
      <c r="F25" s="339">
        <f t="shared" si="63"/>
        <v>32487</v>
      </c>
      <c r="G25" s="339">
        <f>+G12+G16+G20</f>
        <v>31368</v>
      </c>
      <c r="H25" s="339">
        <f>+H12+H16+H20</f>
        <v>29609</v>
      </c>
      <c r="I25" s="339">
        <f>+I12+I16+I20</f>
        <v>28863.46</v>
      </c>
      <c r="J25" s="339">
        <f t="shared" si="63"/>
        <v>28315.031054999999</v>
      </c>
      <c r="K25" s="339">
        <f t="shared" ref="K25:P25" si="64">+K12+K16+K20</f>
        <v>27910.169631535002</v>
      </c>
      <c r="L25" s="339">
        <f t="shared" si="64"/>
        <v>27602.604816293595</v>
      </c>
      <c r="M25" s="339">
        <f t="shared" si="64"/>
        <v>27352.384330615187</v>
      </c>
      <c r="N25" s="339">
        <f t="shared" si="64"/>
        <v>27125.226993656197</v>
      </c>
      <c r="O25" s="339">
        <f t="shared" si="64"/>
        <v>26892.095428500867</v>
      </c>
      <c r="P25" s="339">
        <f t="shared" si="64"/>
        <v>26628.917324361326</v>
      </c>
      <c r="Q25" s="296"/>
      <c r="R25" s="296"/>
      <c r="S25" s="296"/>
      <c r="T25" s="296"/>
      <c r="U25" s="296"/>
      <c r="V25" s="296"/>
      <c r="W25" s="296"/>
      <c r="X25" s="296"/>
      <c r="Y25" s="296"/>
      <c r="Z25" s="296"/>
      <c r="AA25" s="296"/>
      <c r="AB25" s="296"/>
      <c r="AC25" s="296"/>
      <c r="AD25" s="296"/>
      <c r="AE25" s="296"/>
      <c r="AF25" s="296"/>
      <c r="AG25" s="296"/>
      <c r="AH25" s="296"/>
      <c r="AI25" s="296"/>
      <c r="AJ25" s="296"/>
      <c r="AK25" s="296"/>
      <c r="AL25" s="254">
        <f>8531</f>
        <v>8531</v>
      </c>
      <c r="AM25" s="254">
        <f>8530</f>
        <v>8530</v>
      </c>
      <c r="AN25" s="254">
        <f>8465</f>
        <v>8465</v>
      </c>
      <c r="AO25" s="339">
        <f t="shared" ref="AO25:AV25" si="65">+AO12+AO16+AO20</f>
        <v>8465</v>
      </c>
      <c r="AP25" s="339">
        <f t="shared" si="65"/>
        <v>8318</v>
      </c>
      <c r="AQ25" s="339">
        <f t="shared" si="65"/>
        <v>8315</v>
      </c>
      <c r="AR25" s="339">
        <f t="shared" si="65"/>
        <v>8359</v>
      </c>
      <c r="AS25" s="339">
        <f t="shared" si="65"/>
        <v>8391</v>
      </c>
      <c r="AT25" s="339">
        <f t="shared" si="65"/>
        <v>8149</v>
      </c>
      <c r="AU25" s="339">
        <f t="shared" si="65"/>
        <v>8115</v>
      </c>
      <c r="AV25" s="339">
        <f t="shared" si="65"/>
        <v>8147</v>
      </c>
      <c r="AW25" s="339">
        <f t="shared" ref="AW25:BB25" si="66">+AW12+AW16+AW20</f>
        <v>8076</v>
      </c>
      <c r="AX25" s="339">
        <f t="shared" si="66"/>
        <v>7983</v>
      </c>
      <c r="AY25" s="339">
        <f t="shared" si="66"/>
        <v>7841</v>
      </c>
      <c r="AZ25" s="339">
        <f t="shared" si="66"/>
        <v>7842</v>
      </c>
      <c r="BA25" s="339">
        <f t="shared" si="66"/>
        <v>7702</v>
      </c>
      <c r="BB25" s="339">
        <f t="shared" si="66"/>
        <v>7421</v>
      </c>
      <c r="BC25" s="339">
        <f t="shared" ref="BC25:BD25" si="67">+BC12+BC16+BC20</f>
        <v>7380</v>
      </c>
      <c r="BD25" s="339">
        <f t="shared" si="67"/>
        <v>7373</v>
      </c>
      <c r="BE25" s="339">
        <f t="shared" ref="BE25" si="68">+BE12+BE16+BE20</f>
        <v>7435</v>
      </c>
      <c r="BF25" s="339">
        <f t="shared" ref="BF25:BI25" si="69">+BF12+BF16+BF20</f>
        <v>7213.5400000000009</v>
      </c>
      <c r="BG25" s="339">
        <f t="shared" si="69"/>
        <v>7189.2</v>
      </c>
      <c r="BH25" s="339">
        <f t="shared" si="69"/>
        <v>7194.31</v>
      </c>
      <c r="BI25" s="339">
        <f t="shared" si="69"/>
        <v>7266.41</v>
      </c>
      <c r="BK25" s="432"/>
    </row>
    <row r="26" spans="2:63" s="252" customFormat="1">
      <c r="B26" s="277"/>
      <c r="C26" s="296"/>
      <c r="D26" s="306"/>
      <c r="E26" s="306"/>
      <c r="F26" s="306"/>
      <c r="G26" s="306"/>
      <c r="H26" s="306"/>
      <c r="I26" s="306"/>
      <c r="J26" s="340"/>
      <c r="K26" s="340"/>
      <c r="L26" s="340"/>
      <c r="M26" s="340"/>
      <c r="N26" s="340"/>
      <c r="O26" s="340"/>
      <c r="P26" s="340"/>
      <c r="Q26" s="296"/>
      <c r="R26" s="296"/>
      <c r="S26" s="296"/>
      <c r="T26" s="296"/>
      <c r="U26" s="296"/>
      <c r="V26" s="296"/>
      <c r="W26" s="296"/>
      <c r="X26" s="296"/>
      <c r="Y26" s="296"/>
      <c r="Z26" s="296"/>
      <c r="AA26" s="296"/>
      <c r="AB26" s="296"/>
      <c r="AC26" s="296"/>
      <c r="AD26" s="296"/>
      <c r="AE26" s="296"/>
      <c r="AF26" s="296"/>
      <c r="AG26" s="296"/>
      <c r="AH26" s="296"/>
      <c r="AI26" s="296"/>
      <c r="AJ26" s="296"/>
      <c r="AK26" s="296"/>
      <c r="AL26" s="254"/>
      <c r="AM26" s="254"/>
      <c r="AN26" s="254"/>
      <c r="AO26" s="339"/>
      <c r="AP26" s="339"/>
      <c r="AQ26" s="339"/>
      <c r="AR26" s="339"/>
      <c r="AS26" s="339"/>
      <c r="AT26" s="339"/>
      <c r="AU26" s="339"/>
      <c r="AV26" s="339"/>
      <c r="AW26" s="339"/>
      <c r="AX26" s="339"/>
      <c r="AY26" s="339"/>
      <c r="AZ26" s="339"/>
      <c r="BA26" s="339"/>
      <c r="BB26" s="339"/>
      <c r="BC26" s="339"/>
      <c r="BD26" s="339"/>
      <c r="BE26" s="339"/>
      <c r="BF26" s="339"/>
      <c r="BG26" s="339"/>
      <c r="BH26" s="339"/>
      <c r="BI26" s="339"/>
    </row>
    <row r="27" spans="2:63" s="252" customFormat="1" ht="15.75" thickBot="1">
      <c r="B27" s="156" t="s">
        <v>113</v>
      </c>
      <c r="C27" s="247"/>
      <c r="D27" s="200">
        <f t="shared" ref="D27:J27" si="70">+D10+D25</f>
        <v>67647</v>
      </c>
      <c r="E27" s="200">
        <f t="shared" si="70"/>
        <v>70606</v>
      </c>
      <c r="F27" s="200">
        <f t="shared" si="70"/>
        <v>71127</v>
      </c>
      <c r="G27" s="200">
        <f>+G10+G25</f>
        <v>70988</v>
      </c>
      <c r="H27" s="200">
        <f>+H10+H25</f>
        <v>69406</v>
      </c>
      <c r="I27" s="200">
        <f ca="1">+I10+I25</f>
        <v>69164.79229506824</v>
      </c>
      <c r="J27" s="200">
        <f t="shared" ca="1" si="70"/>
        <v>68066.108981094934</v>
      </c>
      <c r="K27" s="200">
        <f t="shared" ref="K27:P27" ca="1" si="71">+K10+K25</f>
        <v>67380.636411871441</v>
      </c>
      <c r="L27" s="200">
        <f t="shared" ca="1" si="71"/>
        <v>66721.748499735564</v>
      </c>
      <c r="M27" s="200">
        <f t="shared" ca="1" si="71"/>
        <v>66028.065701837142</v>
      </c>
      <c r="N27" s="200">
        <f t="shared" ca="1" si="71"/>
        <v>65179.641890731815</v>
      </c>
      <c r="O27" s="200">
        <f t="shared" ca="1" si="71"/>
        <v>64203.044701873849</v>
      </c>
      <c r="P27" s="200">
        <f t="shared" ca="1" si="71"/>
        <v>63062.444772679541</v>
      </c>
      <c r="Q27" s="247"/>
      <c r="R27" s="167"/>
      <c r="S27" s="167"/>
      <c r="T27" s="167"/>
      <c r="U27" s="167"/>
      <c r="V27" s="167"/>
      <c r="W27" s="167"/>
      <c r="X27" s="167"/>
      <c r="Y27" s="167"/>
      <c r="Z27" s="167"/>
      <c r="AA27" s="167"/>
      <c r="AB27" s="167"/>
      <c r="AC27" s="167"/>
      <c r="AD27" s="167"/>
      <c r="AE27" s="167"/>
      <c r="AF27" s="167"/>
      <c r="AG27" s="167"/>
      <c r="AH27" s="167"/>
      <c r="AI27" s="167"/>
      <c r="AJ27" s="167"/>
      <c r="AK27" s="167"/>
      <c r="AL27" s="156">
        <f t="shared" ref="AL27:AV27" si="72">+AL10+AL25</f>
        <v>16318</v>
      </c>
      <c r="AM27" s="156">
        <f t="shared" si="72"/>
        <v>16765</v>
      </c>
      <c r="AN27" s="156">
        <f t="shared" si="72"/>
        <v>17008</v>
      </c>
      <c r="AO27" s="156">
        <f t="shared" si="72"/>
        <v>17556</v>
      </c>
      <c r="AP27" s="156">
        <f t="shared" si="72"/>
        <v>17344</v>
      </c>
      <c r="AQ27" s="156">
        <f t="shared" si="72"/>
        <v>17046</v>
      </c>
      <c r="AR27" s="156">
        <f t="shared" si="72"/>
        <v>17487</v>
      </c>
      <c r="AS27" s="156">
        <f t="shared" si="72"/>
        <v>18729</v>
      </c>
      <c r="AT27" s="156">
        <f t="shared" si="72"/>
        <v>17557</v>
      </c>
      <c r="AU27" s="156">
        <f t="shared" si="72"/>
        <v>17664</v>
      </c>
      <c r="AV27" s="156">
        <f t="shared" si="72"/>
        <v>17692</v>
      </c>
      <c r="AW27" s="156">
        <f t="shared" ref="AW27:BB27" si="73">+AW10+AW25</f>
        <v>18214</v>
      </c>
      <c r="AX27" s="156">
        <f t="shared" si="73"/>
        <v>17609</v>
      </c>
      <c r="AY27" s="156">
        <f t="shared" si="73"/>
        <v>17579</v>
      </c>
      <c r="AZ27" s="156">
        <f t="shared" si="73"/>
        <v>17767</v>
      </c>
      <c r="BA27" s="156">
        <f t="shared" si="73"/>
        <v>18033</v>
      </c>
      <c r="BB27" s="156">
        <f t="shared" si="73"/>
        <v>16848</v>
      </c>
      <c r="BC27" s="156">
        <f t="shared" ref="BC27:BD27" si="74">+BC10+BC25</f>
        <v>17107</v>
      </c>
      <c r="BD27" s="156">
        <f t="shared" si="74"/>
        <v>17061</v>
      </c>
      <c r="BE27" s="156">
        <f t="shared" ref="BE27" si="75">+BE10+BE25</f>
        <v>18390</v>
      </c>
      <c r="BF27" s="156">
        <f t="shared" ref="BF27:BI27" ca="1" si="76">+BF10+BF25</f>
        <v>16955.240451078585</v>
      </c>
      <c r="BG27" s="156">
        <f t="shared" ca="1" si="76"/>
        <v>17015.016461303905</v>
      </c>
      <c r="BH27" s="156">
        <f t="shared" ca="1" si="76"/>
        <v>17041.190818355979</v>
      </c>
      <c r="BI27" s="156">
        <f t="shared" ca="1" si="76"/>
        <v>18153.344564329782</v>
      </c>
      <c r="BK27" s="432"/>
    </row>
    <row r="28" spans="2:63" s="248" customFormat="1" ht="15.75" thickTop="1">
      <c r="B28" s="387" t="s">
        <v>440</v>
      </c>
      <c r="C28" s="246"/>
      <c r="D28" s="259"/>
      <c r="E28" s="259"/>
      <c r="F28" s="259">
        <f t="shared" ref="F28:J29" si="77">+F8/E8-1</f>
        <v>1.6731826916705383E-2</v>
      </c>
      <c r="G28" s="259">
        <f t="shared" si="77"/>
        <v>3.7898784501580574E-2</v>
      </c>
      <c r="H28" s="259">
        <f t="shared" si="77"/>
        <v>1.6326530612245094E-3</v>
      </c>
      <c r="I28" s="259">
        <f t="shared" ca="1" si="77"/>
        <v>-1.183158134776674E-2</v>
      </c>
      <c r="J28" s="346">
        <f t="shared" ca="1" si="77"/>
        <v>-1.797695940510069E-2</v>
      </c>
      <c r="K28" s="346">
        <f t="shared" ref="K28:K30" ca="1" si="78">+K8/J8-1</f>
        <v>-8.8637186346915975E-3</v>
      </c>
      <c r="L28" s="346">
        <f t="shared" ref="L28:L30" ca="1" si="79">+L8/K8-1</f>
        <v>-1.0570176006949428E-2</v>
      </c>
      <c r="M28" s="346">
        <f t="shared" ref="M28:M30" ca="1" si="80">+M8/L8-1</f>
        <v>-1.3106157747760472E-2</v>
      </c>
      <c r="N28" s="346">
        <f t="shared" ref="N28:N30" ca="1" si="81">+N8/M8-1</f>
        <v>-1.6410476902619653E-2</v>
      </c>
      <c r="O28" s="346">
        <f t="shared" ref="O28:O30" ca="1" si="82">+O8/N8-1</f>
        <v>-2.0438949221183944E-2</v>
      </c>
      <c r="P28" s="346">
        <f t="shared" ref="P28:P30" ca="1" si="83">+P8/O8-1</f>
        <v>-2.5169936620457189E-2</v>
      </c>
      <c r="Q28" s="246"/>
      <c r="R28" s="246"/>
      <c r="S28" s="246"/>
      <c r="T28" s="246"/>
      <c r="U28" s="246"/>
      <c r="V28" s="246"/>
      <c r="W28" s="246"/>
      <c r="X28" s="246"/>
      <c r="Y28" s="246"/>
      <c r="Z28" s="246"/>
      <c r="AA28" s="246"/>
      <c r="AB28" s="246"/>
      <c r="AC28" s="246"/>
      <c r="AD28" s="246"/>
      <c r="AE28" s="246"/>
      <c r="AF28" s="246"/>
      <c r="AG28" s="246"/>
      <c r="AH28" s="246"/>
      <c r="AI28" s="246"/>
      <c r="AJ28" s="246"/>
      <c r="AK28" s="246"/>
      <c r="AP28" s="248" t="e">
        <f t="shared" ref="AP28:BE29" si="84">+AP8/AL8-1</f>
        <v>#DIV/0!</v>
      </c>
      <c r="AQ28" s="248" t="e">
        <f t="shared" si="84"/>
        <v>#DIV/0!</v>
      </c>
      <c r="AR28" s="248" t="e">
        <f t="shared" si="84"/>
        <v>#DIV/0!</v>
      </c>
      <c r="AS28" s="248">
        <f t="shared" si="84"/>
        <v>-1.9888931938525145E-2</v>
      </c>
      <c r="AT28" s="248">
        <f t="shared" si="84"/>
        <v>-2.3772408417770841E-2</v>
      </c>
      <c r="AU28" s="248">
        <f t="shared" si="84"/>
        <v>5.480756153950761E-2</v>
      </c>
      <c r="AV28" s="248">
        <f t="shared" si="84"/>
        <v>2.519225669583669E-2</v>
      </c>
      <c r="AW28" s="248">
        <f t="shared" si="84"/>
        <v>1.2518118329160721E-2</v>
      </c>
      <c r="AX28" s="248">
        <f t="shared" si="84"/>
        <v>4.5242847638057304E-2</v>
      </c>
      <c r="AY28" s="248">
        <f t="shared" si="84"/>
        <v>2.6689014956162938E-2</v>
      </c>
      <c r="AZ28" s="248">
        <f t="shared" si="84"/>
        <v>4.0998448008277233E-2</v>
      </c>
      <c r="BA28" s="248">
        <f t="shared" si="84"/>
        <v>3.8912024986985871E-2</v>
      </c>
      <c r="BB28" s="248">
        <f t="shared" si="84"/>
        <v>9.4207511139401401E-3</v>
      </c>
      <c r="BC28" s="248">
        <f t="shared" si="84"/>
        <v>5.3999748838378103E-3</v>
      </c>
      <c r="BD28" s="248">
        <f t="shared" si="84"/>
        <v>-1.8635855385762401E-3</v>
      </c>
      <c r="BE28" s="248">
        <f t="shared" si="84"/>
        <v>-6.2633095327571109E-3</v>
      </c>
      <c r="BF28" s="248">
        <f t="shared" ref="BF28:BF30" ca="1" si="85">+BF8/BB8-1</f>
        <v>-1.038853963963271E-2</v>
      </c>
      <c r="BG28" s="248">
        <f t="shared" ref="BG28:BG30" ca="1" si="86">+BG8/BC8-1</f>
        <v>-1.8220735439272162E-2</v>
      </c>
      <c r="BH28" s="248">
        <f t="shared" ref="BH28:BH30" ca="1" si="87">+BH8/BD8-1</f>
        <v>-1.8533801508382575E-2</v>
      </c>
      <c r="BI28" s="248">
        <f t="shared" ref="BI28:BI30" ca="1" si="88">+BI8/BE8-1</f>
        <v>-3.8397593426053866E-5</v>
      </c>
    </row>
    <row r="29" spans="2:63" s="248" customFormat="1">
      <c r="B29" s="387" t="s">
        <v>441</v>
      </c>
      <c r="C29" s="246"/>
      <c r="D29" s="259"/>
      <c r="E29" s="259"/>
      <c r="F29" s="259">
        <f t="shared" si="77"/>
        <v>0.12952705581593515</v>
      </c>
      <c r="G29" s="259">
        <f t="shared" si="77"/>
        <v>-2.3010184835910996E-2</v>
      </c>
      <c r="H29" s="259">
        <f t="shared" si="77"/>
        <v>1.6087516087516018E-2</v>
      </c>
      <c r="I29" s="259">
        <f t="shared" ca="1" si="77"/>
        <v>0.11168884144708113</v>
      </c>
      <c r="J29" s="346">
        <f t="shared" ca="1" si="77"/>
        <v>1.8755352574169049E-3</v>
      </c>
      <c r="K29" s="346">
        <f t="shared" ca="1" si="78"/>
        <v>-7.0618089835983167E-4</v>
      </c>
      <c r="L29" s="346">
        <f t="shared" ca="1" si="79"/>
        <v>-3.0720057554836089E-3</v>
      </c>
      <c r="M29" s="346">
        <f t="shared" ca="1" si="80"/>
        <v>-5.2021587994246499E-3</v>
      </c>
      <c r="N29" s="346">
        <f t="shared" ca="1" si="81"/>
        <v>-1.4870520750763006E-2</v>
      </c>
      <c r="O29" s="346">
        <f t="shared" ca="1" si="82"/>
        <v>-1.6440451298796011E-2</v>
      </c>
      <c r="P29" s="346">
        <f t="shared" ca="1" si="83"/>
        <v>-1.7863649477729004E-2</v>
      </c>
      <c r="Q29" s="246"/>
      <c r="R29" s="246"/>
      <c r="S29" s="246"/>
      <c r="T29" s="246"/>
      <c r="U29" s="246"/>
      <c r="V29" s="246"/>
      <c r="W29" s="246"/>
      <c r="X29" s="246"/>
      <c r="Y29" s="246"/>
      <c r="Z29" s="246"/>
      <c r="AA29" s="246"/>
      <c r="AB29" s="246"/>
      <c r="AC29" s="246"/>
      <c r="AD29" s="246"/>
      <c r="AE29" s="246"/>
      <c r="AF29" s="246"/>
      <c r="AG29" s="246"/>
      <c r="AH29" s="246"/>
      <c r="AI29" s="246"/>
      <c r="AJ29" s="246"/>
      <c r="AK29" s="246"/>
      <c r="AP29" s="248" t="e">
        <f t="shared" si="84"/>
        <v>#DIV/0!</v>
      </c>
      <c r="AQ29" s="248" t="e">
        <f t="shared" si="84"/>
        <v>#DIV/0!</v>
      </c>
      <c r="AR29" s="248" t="e">
        <f t="shared" si="84"/>
        <v>#DIV/0!</v>
      </c>
      <c r="AS29" s="248">
        <f t="shared" si="84"/>
        <v>1.0393175074183976</v>
      </c>
      <c r="AT29" s="248">
        <f t="shared" si="84"/>
        <v>0.42545180722891573</v>
      </c>
      <c r="AU29" s="248">
        <f t="shared" si="84"/>
        <v>0.30116110304789556</v>
      </c>
      <c r="AV29" s="248">
        <f t="shared" si="84"/>
        <v>0.14312736443883978</v>
      </c>
      <c r="AW29" s="248">
        <f t="shared" si="84"/>
        <v>-0.1073117497271735</v>
      </c>
      <c r="AX29" s="248">
        <f t="shared" si="84"/>
        <v>-6.4447966191230832E-2</v>
      </c>
      <c r="AY29" s="248">
        <f t="shared" si="84"/>
        <v>-1.0039040713887393E-2</v>
      </c>
      <c r="AZ29" s="248">
        <f t="shared" si="84"/>
        <v>3.474903474903468E-2</v>
      </c>
      <c r="BA29" s="248">
        <f t="shared" si="84"/>
        <v>-4.3194784026079902E-2</v>
      </c>
      <c r="BB29" s="248">
        <f t="shared" si="84"/>
        <v>-0.1541501976284585</v>
      </c>
      <c r="BC29" s="248">
        <f t="shared" si="84"/>
        <v>-3.0422535211267587E-2</v>
      </c>
      <c r="BD29" s="248">
        <f t="shared" si="84"/>
        <v>-0.11833688699360345</v>
      </c>
      <c r="BE29" s="248">
        <f t="shared" si="84"/>
        <v>0.28705281090289603</v>
      </c>
      <c r="BF29" s="248">
        <f t="shared" ca="1" si="85"/>
        <v>0.26506754464701721</v>
      </c>
      <c r="BG29" s="248">
        <f t="shared" ca="1" si="86"/>
        <v>0.14217993563667553</v>
      </c>
      <c r="BH29" s="248">
        <f t="shared" ca="1" si="87"/>
        <v>0.18608305905340017</v>
      </c>
      <c r="BI29" s="248">
        <f t="shared" ca="1" si="88"/>
        <v>-2.2422510774841253E-2</v>
      </c>
    </row>
    <row r="30" spans="2:63" s="248" customFormat="1">
      <c r="B30" s="245" t="s">
        <v>270</v>
      </c>
      <c r="C30" s="246"/>
      <c r="D30" s="259"/>
      <c r="E30" s="259">
        <f t="shared" ref="E30:J30" si="89">+E10/D10-1</f>
        <v>0.10598407416211075</v>
      </c>
      <c r="F30" s="259">
        <f t="shared" si="89"/>
        <v>3.8067861268570535E-2</v>
      </c>
      <c r="G30" s="259">
        <f t="shared" si="89"/>
        <v>2.5362318840579601E-2</v>
      </c>
      <c r="H30" s="259">
        <f t="shared" si="89"/>
        <v>4.4674406865219396E-3</v>
      </c>
      <c r="I30" s="259">
        <f t="shared" ca="1" si="89"/>
        <v>1.2672620927915323E-2</v>
      </c>
      <c r="J30" s="346">
        <f t="shared" ca="1" si="89"/>
        <v>-1.3653503188048588E-2</v>
      </c>
      <c r="K30" s="346">
        <f t="shared" ca="1" si="78"/>
        <v>-7.0592084642384645E-3</v>
      </c>
      <c r="L30" s="346">
        <f t="shared" ca="1" si="79"/>
        <v>-8.9009106188094878E-3</v>
      </c>
      <c r="M30" s="346">
        <f t="shared" ca="1" si="80"/>
        <v>-1.133619681986342E-2</v>
      </c>
      <c r="N30" s="346">
        <f t="shared" ca="1" si="81"/>
        <v>-1.60634913754516E-2</v>
      </c>
      <c r="O30" s="346">
        <f t="shared" ca="1" si="82"/>
        <v>-1.9536908548284493E-2</v>
      </c>
      <c r="P30" s="346">
        <f t="shared" ca="1" si="83"/>
        <v>-2.3516470155342195E-2</v>
      </c>
      <c r="Q30" s="246"/>
      <c r="R30" s="246"/>
      <c r="S30" s="246"/>
      <c r="T30" s="246"/>
      <c r="U30" s="246"/>
      <c r="V30" s="246"/>
      <c r="W30" s="246"/>
      <c r="X30" s="246"/>
      <c r="Y30" s="246"/>
      <c r="Z30" s="246"/>
      <c r="AA30" s="246"/>
      <c r="AB30" s="246"/>
      <c r="AC30" s="246"/>
      <c r="AD30" s="246"/>
      <c r="AE30" s="246"/>
      <c r="AF30" s="246"/>
      <c r="AG30" s="246"/>
      <c r="AH30" s="246"/>
      <c r="AI30" s="246"/>
      <c r="AJ30" s="246"/>
      <c r="AK30" s="246"/>
      <c r="AP30" s="248">
        <f t="shared" ref="AP30:BE30" si="90">+AP10/AL10-1</f>
        <v>0.15911133941184019</v>
      </c>
      <c r="AQ30" s="248">
        <f t="shared" si="90"/>
        <v>6.0230722525804525E-2</v>
      </c>
      <c r="AR30" s="248">
        <f t="shared" si="90"/>
        <v>6.8477115767294761E-2</v>
      </c>
      <c r="AS30" s="248">
        <f t="shared" si="90"/>
        <v>0.13716862831371679</v>
      </c>
      <c r="AT30" s="248">
        <f t="shared" si="90"/>
        <v>4.2322180367826201E-2</v>
      </c>
      <c r="AU30" s="248">
        <f t="shared" si="90"/>
        <v>9.3689153590653884E-2</v>
      </c>
      <c r="AV30" s="248">
        <f t="shared" si="90"/>
        <v>4.568361086765993E-2</v>
      </c>
      <c r="AW30" s="248">
        <f t="shared" si="90"/>
        <v>-1.9346101760495227E-2</v>
      </c>
      <c r="AX30" s="248">
        <f t="shared" si="90"/>
        <v>2.3171768707483054E-2</v>
      </c>
      <c r="AY30" s="248">
        <f t="shared" si="90"/>
        <v>1.9792648444863392E-2</v>
      </c>
      <c r="AZ30" s="248">
        <f t="shared" si="90"/>
        <v>3.9811419591409214E-2</v>
      </c>
      <c r="BA30" s="248">
        <f t="shared" si="90"/>
        <v>1.9037285460643094E-2</v>
      </c>
      <c r="BB30" s="248">
        <f t="shared" si="90"/>
        <v>-2.0673176812798677E-2</v>
      </c>
      <c r="BC30" s="248">
        <f t="shared" si="90"/>
        <v>-1.1295953994659991E-3</v>
      </c>
      <c r="BD30" s="248">
        <f t="shared" si="90"/>
        <v>-2.3879093198992396E-2</v>
      </c>
      <c r="BE30" s="248">
        <f t="shared" si="90"/>
        <v>6.0400735649985382E-2</v>
      </c>
      <c r="BF30" s="248">
        <f t="shared" ca="1" si="85"/>
        <v>3.338288438300463E-2</v>
      </c>
      <c r="BG30" s="248">
        <f t="shared" ca="1" si="86"/>
        <v>1.0158986460769404E-2</v>
      </c>
      <c r="BH30" s="248">
        <f t="shared" ca="1" si="87"/>
        <v>1.6399754165563385E-2</v>
      </c>
      <c r="BI30" s="248">
        <f t="shared" ca="1" si="88"/>
        <v>-6.2131844518683588E-3</v>
      </c>
    </row>
    <row r="31" spans="2:63" s="248" customFormat="1">
      <c r="B31" s="245" t="s">
        <v>271</v>
      </c>
      <c r="C31" s="246"/>
      <c r="D31" s="259"/>
      <c r="E31" s="259">
        <f t="shared" ref="E31:J31" si="91">+E25/D25-1</f>
        <v>-1.7887087758524323E-2</v>
      </c>
      <c r="F31" s="259">
        <f t="shared" si="91"/>
        <v>-2.6840008387502667E-2</v>
      </c>
      <c r="G31" s="259">
        <f t="shared" si="91"/>
        <v>-3.4444547049589103E-2</v>
      </c>
      <c r="H31" s="259">
        <f t="shared" si="91"/>
        <v>-5.6076256057128293E-2</v>
      </c>
      <c r="I31" s="259">
        <f t="shared" si="91"/>
        <v>-2.5179506231213566E-2</v>
      </c>
      <c r="J31" s="346">
        <f t="shared" si="91"/>
        <v>-1.9000803957668233E-2</v>
      </c>
      <c r="K31" s="346">
        <f t="shared" ref="K31" si="92">+K25/J25-1</f>
        <v>-1.4298462985210314E-2</v>
      </c>
      <c r="L31" s="346">
        <f t="shared" ref="L31" si="93">+L25/K25-1</f>
        <v>-1.1019811749689135E-2</v>
      </c>
      <c r="M31" s="346">
        <f t="shared" ref="M31" si="94">+M25/L25-1</f>
        <v>-9.0651040850574516E-3</v>
      </c>
      <c r="N31" s="346">
        <f t="shared" ref="N31" si="95">+N25/M25-1</f>
        <v>-8.3048459034971156E-3</v>
      </c>
      <c r="O31" s="346">
        <f t="shared" ref="O31" si="96">+O25/N25-1</f>
        <v>-8.5946401558170127E-3</v>
      </c>
      <c r="P31" s="346">
        <f t="shared" ref="P31" si="97">+P25/O25-1</f>
        <v>-9.7864483948177927E-3</v>
      </c>
      <c r="Q31" s="246"/>
      <c r="R31" s="246"/>
      <c r="S31" s="246"/>
      <c r="T31" s="246"/>
      <c r="U31" s="246"/>
      <c r="V31" s="246"/>
      <c r="W31" s="246"/>
      <c r="X31" s="246"/>
      <c r="Y31" s="246"/>
      <c r="Z31" s="246"/>
      <c r="AA31" s="246"/>
      <c r="AB31" s="246"/>
      <c r="AC31" s="246"/>
      <c r="AD31" s="246"/>
      <c r="AE31" s="246"/>
      <c r="AF31" s="246"/>
      <c r="AG31" s="246"/>
      <c r="AH31" s="246"/>
      <c r="AI31" s="246"/>
      <c r="AJ31" s="246"/>
      <c r="AK31" s="246"/>
      <c r="AP31" s="248">
        <f t="shared" ref="AP31:BE31" si="98">+AP25/AL25-1</f>
        <v>-2.4967764623139099E-2</v>
      </c>
      <c r="AQ31" s="248">
        <f t="shared" si="98"/>
        <v>-2.5205158264947292E-2</v>
      </c>
      <c r="AR31" s="248">
        <f t="shared" si="98"/>
        <v>-1.2522150029533385E-2</v>
      </c>
      <c r="AS31" s="248">
        <f t="shared" si="98"/>
        <v>-8.7418783225043928E-3</v>
      </c>
      <c r="AT31" s="248">
        <f t="shared" si="98"/>
        <v>-2.0317383986535265E-2</v>
      </c>
      <c r="AU31" s="248">
        <f t="shared" si="98"/>
        <v>-2.40529164161154E-2</v>
      </c>
      <c r="AV31" s="248">
        <f t="shared" si="98"/>
        <v>-2.5361885392989558E-2</v>
      </c>
      <c r="AW31" s="248">
        <f t="shared" si="98"/>
        <v>-3.7540221666070739E-2</v>
      </c>
      <c r="AX31" s="248">
        <f t="shared" si="98"/>
        <v>-2.0370597619339792E-2</v>
      </c>
      <c r="AY31" s="248">
        <f t="shared" si="98"/>
        <v>-3.3764633394947619E-2</v>
      </c>
      <c r="AZ31" s="248">
        <f t="shared" si="98"/>
        <v>-3.7437093408616673E-2</v>
      </c>
      <c r="BA31" s="248">
        <f t="shared" si="98"/>
        <v>-4.6310054482416985E-2</v>
      </c>
      <c r="BB31" s="248">
        <f t="shared" si="98"/>
        <v>-7.039959914818994E-2</v>
      </c>
      <c r="BC31" s="248">
        <f t="shared" si="98"/>
        <v>-5.8793521234536406E-2</v>
      </c>
      <c r="BD31" s="248">
        <f t="shared" si="98"/>
        <v>-5.9806171894924764E-2</v>
      </c>
      <c r="BE31" s="248">
        <f t="shared" si="98"/>
        <v>-3.4666320436250286E-2</v>
      </c>
      <c r="BF31" s="248">
        <f t="shared" ref="BF31" si="99">+BF25/BB25-1</f>
        <v>-2.7955801104972311E-2</v>
      </c>
      <c r="BG31" s="248">
        <f t="shared" ref="BG31" si="100">+BG25/BC25-1</f>
        <v>-2.5853658536585389E-2</v>
      </c>
      <c r="BH31" s="248">
        <f t="shared" ref="BH31" si="101">+BH25/BD25-1</f>
        <v>-2.4235724942357151E-2</v>
      </c>
      <c r="BI31" s="248">
        <f t="shared" ref="BI31" si="102">+BI25/BE25-1</f>
        <v>-2.267518493611298E-2</v>
      </c>
    </row>
    <row r="32" spans="2:63" s="248" customFormat="1">
      <c r="B32" s="245" t="s">
        <v>252</v>
      </c>
      <c r="C32" s="246"/>
      <c r="D32" s="259"/>
      <c r="E32" s="259">
        <f t="shared" ref="E32:J32" si="103">+E27/D27-1</f>
        <v>4.3741777166762752E-2</v>
      </c>
      <c r="F32" s="259">
        <f t="shared" si="103"/>
        <v>7.3789762909668433E-3</v>
      </c>
      <c r="G32" s="259">
        <f t="shared" si="103"/>
        <v>-1.9542508470763442E-3</v>
      </c>
      <c r="H32" s="259">
        <f t="shared" si="103"/>
        <v>-2.2285456696906514E-2</v>
      </c>
      <c r="I32" s="259">
        <f t="shared" ca="1" si="103"/>
        <v>-3.4753148853378102E-3</v>
      </c>
      <c r="J32" s="346">
        <f t="shared" ca="1" si="103"/>
        <v>-1.5885008506729026E-2</v>
      </c>
      <c r="K32" s="346">
        <f t="shared" ref="K32" ca="1" si="104">+K27/J27-1</f>
        <v>-1.0070688327635691E-2</v>
      </c>
      <c r="L32" s="346">
        <f t="shared" ref="L32" ca="1" si="105">+L27/K27-1</f>
        <v>-9.778594374032834E-3</v>
      </c>
      <c r="M32" s="346">
        <f t="shared" ref="M32" ca="1" si="106">+M27/L27-1</f>
        <v>-1.0396651968753057E-2</v>
      </c>
      <c r="N32" s="346">
        <f t="shared" ref="N32" ca="1" si="107">+N27/M27-1</f>
        <v>-1.2849442158983648E-2</v>
      </c>
      <c r="O32" s="346">
        <f t="shared" ref="O32" ca="1" si="108">+O27/N27-1</f>
        <v>-1.4983162848534071E-2</v>
      </c>
      <c r="P32" s="346">
        <f t="shared" ref="P32" ca="1" si="109">+P27/O27-1</f>
        <v>-1.7765511503242126E-2</v>
      </c>
      <c r="Q32" s="246"/>
      <c r="R32" s="246"/>
      <c r="S32" s="246"/>
      <c r="T32" s="246"/>
      <c r="U32" s="246"/>
      <c r="V32" s="246"/>
      <c r="W32" s="246"/>
      <c r="X32" s="246"/>
      <c r="Y32" s="246"/>
      <c r="Z32" s="246"/>
      <c r="AA32" s="246"/>
      <c r="AB32" s="246"/>
      <c r="AC32" s="246"/>
      <c r="AD32" s="246"/>
      <c r="AE32" s="246"/>
      <c r="AF32" s="246"/>
      <c r="AG32" s="246"/>
      <c r="AH32" s="246"/>
      <c r="AI32" s="246"/>
      <c r="AJ32" s="246"/>
      <c r="AK32" s="246"/>
      <c r="AP32" s="248">
        <f t="shared" ref="AP32:BE32" si="110">+AP27/AL27-1</f>
        <v>6.2875352371614124E-2</v>
      </c>
      <c r="AQ32" s="248">
        <f t="shared" si="110"/>
        <v>1.6761109454220158E-2</v>
      </c>
      <c r="AR32" s="248">
        <f t="shared" si="110"/>
        <v>2.8163217309501443E-2</v>
      </c>
      <c r="AS32" s="248">
        <f t="shared" si="110"/>
        <v>6.6814764183185327E-2</v>
      </c>
      <c r="AT32" s="248">
        <f t="shared" si="110"/>
        <v>1.2280904059040587E-2</v>
      </c>
      <c r="AU32" s="248">
        <f t="shared" si="110"/>
        <v>3.6254839845125009E-2</v>
      </c>
      <c r="AV32" s="248">
        <f t="shared" si="110"/>
        <v>1.1722994224280914E-2</v>
      </c>
      <c r="AW32" s="248">
        <f t="shared" si="110"/>
        <v>-2.7497463826151924E-2</v>
      </c>
      <c r="AX32" s="248">
        <f t="shared" si="110"/>
        <v>2.9617816255624874E-3</v>
      </c>
      <c r="AY32" s="248">
        <f t="shared" si="110"/>
        <v>-4.8120471014492239E-3</v>
      </c>
      <c r="AZ32" s="248">
        <f t="shared" si="110"/>
        <v>4.2392041600722852E-3</v>
      </c>
      <c r="BA32" s="248">
        <f t="shared" si="110"/>
        <v>-9.9374107829142133E-3</v>
      </c>
      <c r="BB32" s="248">
        <f t="shared" si="110"/>
        <v>-4.3216536998125998E-2</v>
      </c>
      <c r="BC32" s="248">
        <f t="shared" si="110"/>
        <v>-2.6850219011320342E-2</v>
      </c>
      <c r="BD32" s="248">
        <f t="shared" si="110"/>
        <v>-3.9736590307874131E-2</v>
      </c>
      <c r="BE32" s="248">
        <f t="shared" si="110"/>
        <v>1.9797038762269237E-2</v>
      </c>
      <c r="BF32" s="248">
        <f t="shared" ref="BF32" ca="1" si="111">+BF27/BB27-1</f>
        <v>6.3651739719008393E-3</v>
      </c>
      <c r="BG32" s="248">
        <f t="shared" ref="BG32" ca="1" si="112">+BG27/BC27-1</f>
        <v>-5.3769532177526669E-3</v>
      </c>
      <c r="BH32" s="248">
        <f t="shared" ref="BH32" ca="1" si="113">+BH27/BD27-1</f>
        <v>-1.1610797517156435E-3</v>
      </c>
      <c r="BI32" s="248">
        <f t="shared" ref="BI32" ca="1" si="114">+BI27/BE27-1</f>
        <v>-1.2868702320294578E-2</v>
      </c>
    </row>
    <row r="34" spans="2:63">
      <c r="B34" s="235" t="s">
        <v>306</v>
      </c>
      <c r="D34" s="295">
        <f>SUM(AL34:AO34)</f>
        <v>21963</v>
      </c>
      <c r="E34" s="295">
        <f>SUM(AP34:AS34)</f>
        <v>24457</v>
      </c>
      <c r="F34" s="295">
        <f>SUM(AT34:AW34)</f>
        <v>24313</v>
      </c>
      <c r="G34" s="295">
        <f>SUM(AX34:BA34)</f>
        <v>24227</v>
      </c>
      <c r="H34" s="295">
        <f>SUM(BB34:BE34)</f>
        <v>24289</v>
      </c>
      <c r="I34" s="295">
        <f ca="1">SUM(BF34:BI34)</f>
        <v>23602.781858422226</v>
      </c>
      <c r="J34" s="389">
        <f ca="1">+'AT&amp;T Mobility'!J13-'Consumer Mobility'!J15</f>
        <v>22553.317476254622</v>
      </c>
      <c r="K34" s="389">
        <f ca="1">+'AT&amp;T Mobility'!K13-'Consumer Mobility'!K15</f>
        <v>22828.852201214177</v>
      </c>
      <c r="L34" s="389">
        <f ca="1">+'AT&amp;T Mobility'!L13-'Consumer Mobility'!L15</f>
        <v>23064.343032965196</v>
      </c>
      <c r="M34" s="389">
        <f ca="1">+'AT&amp;T Mobility'!M13-'Consumer Mobility'!M15</f>
        <v>22858.833618641034</v>
      </c>
      <c r="N34" s="389">
        <f ca="1">+'AT&amp;T Mobility'!N13-'Consumer Mobility'!N15</f>
        <v>22549.394084967771</v>
      </c>
      <c r="O34" s="389">
        <f ca="1">+'AT&amp;T Mobility'!O13-'Consumer Mobility'!O15</f>
        <v>22169.281062744503</v>
      </c>
      <c r="P34" s="389">
        <f ca="1">+'AT&amp;T Mobility'!P13-'Consumer Mobility'!P15</f>
        <v>21712.629943382752</v>
      </c>
      <c r="AL34" s="236">
        <f>+'AT&amp;T Mobility'!AL13-'Consumer Mobility'!AL15</f>
        <v>4905</v>
      </c>
      <c r="AM34" s="236">
        <f>+'AT&amp;T Mobility'!AM13-'Consumer Mobility'!AM15</f>
        <v>5332</v>
      </c>
      <c r="AN34" s="236">
        <f>+'AT&amp;T Mobility'!AN13-'Consumer Mobility'!AN15</f>
        <v>5479</v>
      </c>
      <c r="AO34" s="236">
        <f>+'AT&amp;T Mobility'!AO13-'Consumer Mobility'!AO15</f>
        <v>6247</v>
      </c>
      <c r="AP34" s="236">
        <f>+'AT&amp;T Mobility'!AP13-'Consumer Mobility'!AP15</f>
        <v>5429</v>
      </c>
      <c r="AQ34" s="236">
        <f>+'AT&amp;T Mobility'!AQ13-'Consumer Mobility'!AQ15</f>
        <v>5467</v>
      </c>
      <c r="AR34" s="236">
        <f>+'AT&amp;T Mobility'!AR13-'Consumer Mobility'!AR15</f>
        <v>5952</v>
      </c>
      <c r="AS34" s="236">
        <f>+'AT&amp;T Mobility'!AS13-'Consumer Mobility'!AS15</f>
        <v>7609</v>
      </c>
      <c r="AT34" s="236">
        <f>+'AT&amp;T Mobility'!AT13-'Consumer Mobility'!AT15</f>
        <v>5930</v>
      </c>
      <c r="AU34" s="236">
        <f>+'AT&amp;T Mobility'!AU13-'Consumer Mobility'!AU15</f>
        <v>5773</v>
      </c>
      <c r="AV34" s="236">
        <f>+'AT&amp;T Mobility'!AV13-'Consumer Mobility'!AV15</f>
        <v>5800</v>
      </c>
      <c r="AW34" s="236">
        <f>+'AT&amp;T Mobility'!AW13-'Consumer Mobility'!AW15</f>
        <v>6810</v>
      </c>
      <c r="AX34" s="236">
        <f>+'AT&amp;T Mobility'!AX13-'Consumer Mobility'!AX15</f>
        <v>5712</v>
      </c>
      <c r="AY34" s="236">
        <f>+'AT&amp;T Mobility'!AY13-'Consumer Mobility'!AY15</f>
        <v>5822</v>
      </c>
      <c r="AZ34" s="236">
        <f>+'AT&amp;T Mobility'!AZ13-'Consumer Mobility'!AZ15</f>
        <v>5945</v>
      </c>
      <c r="BA34" s="236">
        <f>+'AT&amp;T Mobility'!BA13-'Consumer Mobility'!BA15</f>
        <v>6748</v>
      </c>
      <c r="BB34" s="236">
        <f>+'AT&amp;T Mobility'!BB13-'Consumer Mobility'!BB15</f>
        <v>5470</v>
      </c>
      <c r="BC34" s="236">
        <f>+'AT&amp;T Mobility'!BC13-'Consumer Mobility'!BC15</f>
        <v>5677</v>
      </c>
      <c r="BD34" s="236">
        <f>+'AT&amp;T Mobility'!BD13-'Consumer Mobility'!BD15</f>
        <v>5562</v>
      </c>
      <c r="BE34" s="236">
        <f>+'AT&amp;T Mobility'!BE13-'Consumer Mobility'!BE15</f>
        <v>7580</v>
      </c>
      <c r="BF34" s="424">
        <f ca="1">+'AT&amp;T Mobility'!BF13-'Consumer Mobility'!BF15</f>
        <v>5368.9531676607221</v>
      </c>
      <c r="BG34" s="424">
        <f ca="1">+'AT&amp;T Mobility'!BG13-'Consumer Mobility'!BG15</f>
        <v>5494.9583761403292</v>
      </c>
      <c r="BH34" s="424">
        <f ca="1">+'AT&amp;T Mobility'!BH13-'Consumer Mobility'!BH15</f>
        <v>5430.9632174865383</v>
      </c>
      <c r="BI34" s="424">
        <f ca="1">+'AT&amp;T Mobility'!BI13-'Consumer Mobility'!BI15</f>
        <v>7307.9070971346346</v>
      </c>
      <c r="BK34" s="236"/>
    </row>
    <row r="35" spans="2:63" s="248" customFormat="1">
      <c r="B35" s="245" t="s">
        <v>307</v>
      </c>
      <c r="C35" s="246"/>
      <c r="D35" s="248">
        <f t="shared" ref="D35:J35" si="115">+D34/D$10</f>
        <v>0.65257309246493944</v>
      </c>
      <c r="E35" s="248">
        <f t="shared" si="115"/>
        <v>0.65704000214920877</v>
      </c>
      <c r="F35" s="248">
        <f t="shared" si="115"/>
        <v>0.62921842650103521</v>
      </c>
      <c r="G35" s="248">
        <f>+G34/G$10</f>
        <v>0.61148409893992928</v>
      </c>
      <c r="H35" s="248">
        <f>+H34/H$10</f>
        <v>0.61032238610950573</v>
      </c>
      <c r="I35" s="248">
        <f ca="1">+I34/I$10</f>
        <v>0.58565760768436292</v>
      </c>
      <c r="J35" s="248">
        <f t="shared" ca="1" si="115"/>
        <v>0.56736367044399838</v>
      </c>
      <c r="K35" s="248">
        <f t="shared" ref="K35:P35" ca="1" si="116">+K34/K$10</f>
        <v>0.57837806500396272</v>
      </c>
      <c r="L35" s="248">
        <f t="shared" ca="1" si="116"/>
        <v>0.58959222675233769</v>
      </c>
      <c r="M35" s="248">
        <f t="shared" ca="1" si="116"/>
        <v>0.59103893734241941</v>
      </c>
      <c r="N35" s="248">
        <f t="shared" ca="1" si="116"/>
        <v>0.59255658366989195</v>
      </c>
      <c r="O35" s="248">
        <f t="shared" ca="1" si="116"/>
        <v>0.59417628054201366</v>
      </c>
      <c r="P35" s="248">
        <f t="shared" ca="1" si="116"/>
        <v>0.59595190101157813</v>
      </c>
      <c r="Q35" s="246"/>
      <c r="R35" s="246"/>
      <c r="S35" s="246"/>
      <c r="T35" s="246"/>
      <c r="U35" s="246"/>
      <c r="V35" s="246"/>
      <c r="W35" s="246"/>
      <c r="X35" s="246"/>
      <c r="Y35" s="246"/>
      <c r="Z35" s="246"/>
      <c r="AA35" s="246"/>
      <c r="AB35" s="246"/>
      <c r="AC35" s="246"/>
      <c r="AD35" s="246"/>
      <c r="AE35" s="246"/>
      <c r="AF35" s="246"/>
      <c r="AG35" s="246"/>
      <c r="AH35" s="246"/>
      <c r="AI35" s="246"/>
      <c r="AJ35" s="246"/>
      <c r="AK35" s="246"/>
      <c r="AL35" s="248">
        <f t="shared" ref="AL35:AV35" si="117">+AL34/AL$10</f>
        <v>0.62989598048028761</v>
      </c>
      <c r="AM35" s="248">
        <f t="shared" si="117"/>
        <v>0.64748026715239826</v>
      </c>
      <c r="AN35" s="248">
        <f t="shared" si="117"/>
        <v>0.64134379023762145</v>
      </c>
      <c r="AO35" s="248">
        <f t="shared" si="117"/>
        <v>0.68716312836871629</v>
      </c>
      <c r="AP35" s="248">
        <f t="shared" si="117"/>
        <v>0.60148460004431636</v>
      </c>
      <c r="AQ35" s="248">
        <f t="shared" si="117"/>
        <v>0.62615966097812392</v>
      </c>
      <c r="AR35" s="248">
        <f t="shared" si="117"/>
        <v>0.65205959684487291</v>
      </c>
      <c r="AS35" s="248">
        <f t="shared" si="117"/>
        <v>0.73602244147804219</v>
      </c>
      <c r="AT35" s="248">
        <f t="shared" si="117"/>
        <v>0.63031462585034015</v>
      </c>
      <c r="AU35" s="248">
        <f t="shared" si="117"/>
        <v>0.60456592313331237</v>
      </c>
      <c r="AV35" s="248">
        <f t="shared" si="117"/>
        <v>0.60764798323729696</v>
      </c>
      <c r="AW35" s="248">
        <f t="shared" ref="AW35:BB35" si="118">+AW34/AW$10</f>
        <v>0.67173012428486878</v>
      </c>
      <c r="AX35" s="248">
        <f t="shared" si="118"/>
        <v>0.59339289424475383</v>
      </c>
      <c r="AY35" s="248">
        <f t="shared" si="118"/>
        <v>0.59786403779010067</v>
      </c>
      <c r="AZ35" s="248">
        <f t="shared" si="118"/>
        <v>0.59899244332493706</v>
      </c>
      <c r="BA35" s="248">
        <f t="shared" si="118"/>
        <v>0.65317975026618913</v>
      </c>
      <c r="BB35" s="248">
        <f t="shared" si="118"/>
        <v>0.58024822318871327</v>
      </c>
      <c r="BC35" s="248">
        <f t="shared" ref="BC35:BD35" si="119">+BC34/BC$10</f>
        <v>0.58363318597717695</v>
      </c>
      <c r="BD35" s="248">
        <f t="shared" si="119"/>
        <v>0.57411230388109002</v>
      </c>
      <c r="BE35" s="248">
        <f t="shared" ref="BE35" si="120">+BE34/BE$10</f>
        <v>0.69192149703331807</v>
      </c>
      <c r="BF35" s="248">
        <f t="shared" ref="BF35:BI35" ca="1" si="121">+BF34/BF$10</f>
        <v>0.55113100578516361</v>
      </c>
      <c r="BG35" s="248">
        <f t="shared" ca="1" si="121"/>
        <v>0.55923682248499251</v>
      </c>
      <c r="BH35" s="248">
        <f t="shared" ca="1" si="121"/>
        <v>0.55154147975087253</v>
      </c>
      <c r="BI35" s="248">
        <f t="shared" ca="1" si="121"/>
        <v>0.67125480124390935</v>
      </c>
    </row>
    <row r="37" spans="2:63">
      <c r="B37" s="235" t="s">
        <v>308</v>
      </c>
      <c r="D37" s="295">
        <f>SUM(AL37:AO37)</f>
        <v>21479</v>
      </c>
      <c r="E37" s="295">
        <f>SUM(AP37:AS37)</f>
        <v>21369</v>
      </c>
      <c r="F37" s="295">
        <f>SUM(AT37:AW37)</f>
        <v>20633</v>
      </c>
      <c r="G37" s="295">
        <f>SUM(AX37:BA37)</f>
        <v>20103</v>
      </c>
      <c r="H37" s="295">
        <f>SUM(BB37:BE37)</f>
        <v>18640</v>
      </c>
      <c r="I37" s="295">
        <f>SUM(BF37:BI37)</f>
        <v>17953.983337119244</v>
      </c>
      <c r="J37" s="295">
        <f>+J25*J38</f>
        <v>17471.2680641964</v>
      </c>
      <c r="K37" s="295">
        <f t="shared" ref="K37:P37" si="122">+K25*K38</f>
        <v>17081.904936318126</v>
      </c>
      <c r="L37" s="295">
        <f t="shared" si="122"/>
        <v>16755.652535512345</v>
      </c>
      <c r="M37" s="295">
        <f t="shared" si="122"/>
        <v>16466.998879611794</v>
      </c>
      <c r="N37" s="295">
        <f t="shared" si="122"/>
        <v>16194.616856455275</v>
      </c>
      <c r="O37" s="295">
        <f t="shared" si="122"/>
        <v>15920.969474970208</v>
      </c>
      <c r="P37" s="295">
        <f t="shared" si="122"/>
        <v>15632.015142186136</v>
      </c>
      <c r="Q37" s="295"/>
      <c r="R37" s="295"/>
      <c r="S37" s="295"/>
      <c r="T37" s="295"/>
      <c r="U37" s="295"/>
      <c r="V37" s="295"/>
      <c r="W37" s="295"/>
      <c r="X37" s="295"/>
      <c r="Y37" s="295"/>
      <c r="Z37" s="295"/>
      <c r="AA37" s="295"/>
      <c r="AB37" s="295"/>
      <c r="AC37" s="295"/>
      <c r="AD37" s="295"/>
      <c r="AE37" s="295"/>
      <c r="AF37" s="295"/>
      <c r="AG37" s="295"/>
      <c r="AH37" s="295"/>
      <c r="AI37" s="295"/>
      <c r="AJ37" s="295"/>
      <c r="AK37" s="295"/>
      <c r="AL37" s="236">
        <f t="shared" ref="AL37:AV37" si="123">+AL42-AL34</f>
        <v>5349</v>
      </c>
      <c r="AM37" s="236">
        <f t="shared" si="123"/>
        <v>5438</v>
      </c>
      <c r="AN37" s="236">
        <f t="shared" si="123"/>
        <v>5302</v>
      </c>
      <c r="AO37" s="236">
        <f t="shared" si="123"/>
        <v>5390</v>
      </c>
      <c r="AP37" s="236">
        <f t="shared" si="123"/>
        <v>5285</v>
      </c>
      <c r="AQ37" s="236">
        <f t="shared" si="123"/>
        <v>5360</v>
      </c>
      <c r="AR37" s="236">
        <f t="shared" si="123"/>
        <v>5343</v>
      </c>
      <c r="AS37" s="236">
        <f t="shared" si="123"/>
        <v>5381</v>
      </c>
      <c r="AT37" s="236">
        <f t="shared" si="123"/>
        <v>5143</v>
      </c>
      <c r="AU37" s="236">
        <f t="shared" si="123"/>
        <v>5199</v>
      </c>
      <c r="AV37" s="236">
        <f t="shared" si="123"/>
        <v>5121</v>
      </c>
      <c r="AW37" s="236">
        <f t="shared" ref="AW37:BB37" si="124">+AW42-AW34</f>
        <v>5170</v>
      </c>
      <c r="AX37" s="236">
        <f t="shared" si="124"/>
        <v>5090</v>
      </c>
      <c r="AY37" s="236">
        <f t="shared" si="124"/>
        <v>5035</v>
      </c>
      <c r="AZ37" s="236">
        <f t="shared" si="124"/>
        <v>4980</v>
      </c>
      <c r="BA37" s="236">
        <f t="shared" si="124"/>
        <v>4998</v>
      </c>
      <c r="BB37" s="236">
        <f t="shared" si="124"/>
        <v>4706</v>
      </c>
      <c r="BC37" s="236">
        <f t="shared" ref="BC37:BD37" si="125">+BC42-BC34</f>
        <v>4636</v>
      </c>
      <c r="BD37" s="236">
        <f t="shared" si="125"/>
        <v>4671</v>
      </c>
      <c r="BE37" s="236">
        <f t="shared" ref="BE37" si="126">+BE42-BE34</f>
        <v>4627</v>
      </c>
      <c r="BF37" s="236">
        <f t="shared" ref="BF37:BI37" si="127">+BF38*BF25</f>
        <v>4520.3384500000011</v>
      </c>
      <c r="BG37" s="236">
        <f t="shared" si="127"/>
        <v>4462.2234390243902</v>
      </c>
      <c r="BH37" s="236">
        <f t="shared" si="127"/>
        <v>4503.8376037942498</v>
      </c>
      <c r="BI37" s="236">
        <f t="shared" si="127"/>
        <v>4467.5838443006051</v>
      </c>
      <c r="BK37" s="236"/>
    </row>
    <row r="38" spans="2:63" s="248" customFormat="1">
      <c r="B38" s="158" t="s">
        <v>309</v>
      </c>
      <c r="C38" s="246"/>
      <c r="D38" s="159">
        <f t="shared" ref="D38:I38" si="128">+D37/D$25</f>
        <v>0.63190256244299958</v>
      </c>
      <c r="E38" s="159">
        <f t="shared" si="128"/>
        <v>0.64011622682203517</v>
      </c>
      <c r="F38" s="159">
        <f t="shared" si="128"/>
        <v>0.63511558469541662</v>
      </c>
      <c r="G38" s="159">
        <f t="shared" si="128"/>
        <v>0.64087605202754394</v>
      </c>
      <c r="H38" s="159">
        <f t="shared" si="128"/>
        <v>0.62953831605255162</v>
      </c>
      <c r="I38" s="159">
        <f t="shared" si="128"/>
        <v>0.62203156991986563</v>
      </c>
      <c r="J38" s="228">
        <f>+I38-0.005</f>
        <v>0.61703156991986563</v>
      </c>
      <c r="K38" s="228">
        <f t="shared" ref="K38:P38" si="129">+J38-0.005</f>
        <v>0.61203156991986563</v>
      </c>
      <c r="L38" s="228">
        <f t="shared" si="129"/>
        <v>0.60703156991986562</v>
      </c>
      <c r="M38" s="228">
        <f t="shared" si="129"/>
        <v>0.60203156991986562</v>
      </c>
      <c r="N38" s="228">
        <f t="shared" si="129"/>
        <v>0.59703156991986561</v>
      </c>
      <c r="O38" s="228">
        <f t="shared" si="129"/>
        <v>0.59203156991986561</v>
      </c>
      <c r="P38" s="228">
        <f t="shared" si="129"/>
        <v>0.5870315699198656</v>
      </c>
      <c r="Q38" s="246"/>
      <c r="R38" s="246"/>
      <c r="S38" s="246"/>
      <c r="T38" s="246"/>
      <c r="U38" s="246"/>
      <c r="V38" s="246"/>
      <c r="W38" s="246"/>
      <c r="X38" s="246"/>
      <c r="Y38" s="246"/>
      <c r="Z38" s="246"/>
      <c r="AA38" s="246"/>
      <c r="AB38" s="246"/>
      <c r="AC38" s="246"/>
      <c r="AD38" s="246"/>
      <c r="AE38" s="246"/>
      <c r="AF38" s="246"/>
      <c r="AG38" s="246"/>
      <c r="AH38" s="246"/>
      <c r="AI38" s="246"/>
      <c r="AJ38" s="246"/>
      <c r="AK38" s="246"/>
      <c r="AL38" s="248">
        <f t="shared" ref="AL38:AS38" si="130">+AL37/AL$25</f>
        <v>0.62700738483178997</v>
      </c>
      <c r="AM38" s="248">
        <f t="shared" si="130"/>
        <v>0.63751465416178199</v>
      </c>
      <c r="AN38" s="248">
        <f t="shared" si="130"/>
        <v>0.62634376845835793</v>
      </c>
      <c r="AO38" s="248">
        <f t="shared" si="130"/>
        <v>0.63673951565268749</v>
      </c>
      <c r="AP38" s="248">
        <f t="shared" si="130"/>
        <v>0.63536907910555418</v>
      </c>
      <c r="AQ38" s="248">
        <f t="shared" si="130"/>
        <v>0.6446181599518942</v>
      </c>
      <c r="AR38" s="248">
        <f t="shared" si="130"/>
        <v>0.63919129082426129</v>
      </c>
      <c r="AS38" s="248">
        <f t="shared" si="130"/>
        <v>0.64128232630199022</v>
      </c>
      <c r="AT38" s="248">
        <f t="shared" ref="AT38:AY38" si="131">+AT37/AT$25</f>
        <v>0.63112038286906369</v>
      </c>
      <c r="AU38" s="248">
        <f t="shared" si="131"/>
        <v>0.64066543438077639</v>
      </c>
      <c r="AV38" s="248">
        <f t="shared" si="131"/>
        <v>0.62857493555910149</v>
      </c>
      <c r="AW38" s="248">
        <f t="shared" si="131"/>
        <v>0.64016840019811783</v>
      </c>
      <c r="AX38" s="248">
        <f t="shared" si="131"/>
        <v>0.63760491043467371</v>
      </c>
      <c r="AY38" s="248">
        <f t="shared" si="131"/>
        <v>0.6421374824639714</v>
      </c>
      <c r="AZ38" s="248">
        <f t="shared" ref="AZ38:BA38" si="132">+AZ37/AZ$25</f>
        <v>0.63504208110175975</v>
      </c>
      <c r="BA38" s="248">
        <f t="shared" si="132"/>
        <v>0.64892235782913532</v>
      </c>
      <c r="BB38" s="248">
        <f t="shared" ref="BB38:BC38" si="133">+BB37/BB$25</f>
        <v>0.63414634146341464</v>
      </c>
      <c r="BC38" s="248">
        <f t="shared" si="133"/>
        <v>0.62818428184281838</v>
      </c>
      <c r="BD38" s="248">
        <f t="shared" ref="BD38:BE38" si="134">+BD37/BD$25</f>
        <v>0.63352773633527737</v>
      </c>
      <c r="BE38" s="248">
        <f t="shared" si="134"/>
        <v>0.62232683254875587</v>
      </c>
      <c r="BF38" s="228">
        <f>+BB38-0.0075</f>
        <v>0.62664634146341469</v>
      </c>
      <c r="BG38" s="228">
        <f t="shared" ref="BG38:BI38" si="135">+BC38-0.0075</f>
        <v>0.62068428184281843</v>
      </c>
      <c r="BH38" s="228">
        <f t="shared" si="135"/>
        <v>0.62602773633527742</v>
      </c>
      <c r="BI38" s="228">
        <f t="shared" si="135"/>
        <v>0.61482683254875592</v>
      </c>
    </row>
    <row r="39" spans="2:63" s="248" customFormat="1" hidden="1" outlineLevel="1">
      <c r="B39" s="204" t="s">
        <v>342</v>
      </c>
      <c r="C39" s="246"/>
      <c r="D39" s="159"/>
      <c r="E39" s="159"/>
      <c r="F39" s="159"/>
      <c r="G39" s="159"/>
      <c r="H39" s="159"/>
      <c r="I39" s="159"/>
      <c r="J39" s="192"/>
      <c r="K39" s="192"/>
      <c r="L39" s="192"/>
      <c r="M39" s="192"/>
      <c r="N39" s="192"/>
      <c r="O39" s="192"/>
      <c r="P39" s="192"/>
      <c r="Q39" s="246"/>
      <c r="R39" s="246"/>
      <c r="S39" s="246"/>
      <c r="T39" s="246"/>
      <c r="U39" s="246"/>
      <c r="V39" s="246"/>
      <c r="W39" s="246"/>
      <c r="X39" s="246"/>
      <c r="Y39" s="246"/>
      <c r="Z39" s="246"/>
      <c r="AA39" s="246"/>
      <c r="AB39" s="246"/>
      <c r="AC39" s="246"/>
      <c r="AD39" s="246"/>
      <c r="AE39" s="246"/>
      <c r="AF39" s="246"/>
      <c r="AG39" s="246"/>
      <c r="AH39" s="246"/>
      <c r="AI39" s="246"/>
      <c r="AJ39" s="246"/>
      <c r="AK39" s="246"/>
      <c r="AL39" s="261"/>
      <c r="AM39" s="288">
        <f t="shared" ref="AM39:BE39" si="136">+AM37-AL37</f>
        <v>89</v>
      </c>
      <c r="AN39" s="288">
        <f t="shared" si="136"/>
        <v>-136</v>
      </c>
      <c r="AO39" s="288">
        <f t="shared" si="136"/>
        <v>88</v>
      </c>
      <c r="AP39" s="288">
        <f t="shared" si="136"/>
        <v>-105</v>
      </c>
      <c r="AQ39" s="288">
        <f t="shared" si="136"/>
        <v>75</v>
      </c>
      <c r="AR39" s="288">
        <f t="shared" si="136"/>
        <v>-17</v>
      </c>
      <c r="AS39" s="288">
        <f t="shared" si="136"/>
        <v>38</v>
      </c>
      <c r="AT39" s="288">
        <f t="shared" si="136"/>
        <v>-238</v>
      </c>
      <c r="AU39" s="288">
        <f t="shared" si="136"/>
        <v>56</v>
      </c>
      <c r="AV39" s="288">
        <f t="shared" si="136"/>
        <v>-78</v>
      </c>
      <c r="AW39" s="288">
        <f t="shared" si="136"/>
        <v>49</v>
      </c>
      <c r="AX39" s="288">
        <f t="shared" si="136"/>
        <v>-80</v>
      </c>
      <c r="AY39" s="288">
        <f t="shared" si="136"/>
        <v>-55</v>
      </c>
      <c r="AZ39" s="288">
        <f t="shared" si="136"/>
        <v>-55</v>
      </c>
      <c r="BA39" s="288">
        <f t="shared" si="136"/>
        <v>18</v>
      </c>
      <c r="BB39" s="288">
        <f t="shared" si="136"/>
        <v>-292</v>
      </c>
      <c r="BC39" s="288">
        <f t="shared" si="136"/>
        <v>-70</v>
      </c>
      <c r="BD39" s="288">
        <f t="shared" si="136"/>
        <v>35</v>
      </c>
      <c r="BE39" s="288">
        <f t="shared" si="136"/>
        <v>-44</v>
      </c>
      <c r="BF39" s="288">
        <f t="shared" ref="BF39" si="137">+BF37-BE37</f>
        <v>-106.6615499999989</v>
      </c>
      <c r="BG39" s="288">
        <f t="shared" ref="BG39" si="138">+BG37-BF37</f>
        <v>-58.115010975610858</v>
      </c>
      <c r="BH39" s="288">
        <f t="shared" ref="BH39" si="139">+BH37-BG37</f>
        <v>41.614164769859599</v>
      </c>
      <c r="BI39" s="288">
        <f t="shared" ref="BI39" si="140">+BI37-BH37</f>
        <v>-36.253759493644793</v>
      </c>
    </row>
    <row r="40" spans="2:63" s="278" customFormat="1" hidden="1" outlineLevel="1">
      <c r="B40" s="204" t="s">
        <v>343</v>
      </c>
      <c r="C40" s="243"/>
      <c r="D40" s="205"/>
      <c r="E40" s="205">
        <f t="shared" ref="E40:J40" si="141">+E37-D37</f>
        <v>-110</v>
      </c>
      <c r="F40" s="205">
        <f t="shared" si="141"/>
        <v>-736</v>
      </c>
      <c r="G40" s="205">
        <f t="shared" si="141"/>
        <v>-530</v>
      </c>
      <c r="H40" s="205">
        <f t="shared" si="141"/>
        <v>-1463</v>
      </c>
      <c r="I40" s="205">
        <f t="shared" si="141"/>
        <v>-686.01666288075648</v>
      </c>
      <c r="J40" s="205">
        <f t="shared" si="141"/>
        <v>-482.71527292284372</v>
      </c>
      <c r="K40" s="205">
        <f t="shared" ref="K40" si="142">+K37-J37</f>
        <v>-389.3631278782741</v>
      </c>
      <c r="L40" s="205">
        <f t="shared" ref="L40" si="143">+L37-K37</f>
        <v>-326.25240080578078</v>
      </c>
      <c r="M40" s="205">
        <f t="shared" ref="M40" si="144">+M37-L37</f>
        <v>-288.6536559005508</v>
      </c>
      <c r="N40" s="205">
        <f t="shared" ref="N40" si="145">+N37-M37</f>
        <v>-272.3820231565187</v>
      </c>
      <c r="O40" s="205">
        <f t="shared" ref="O40" si="146">+O37-N37</f>
        <v>-273.64738148506694</v>
      </c>
      <c r="P40" s="205">
        <f t="shared" ref="P40" si="147">+P37-O37</f>
        <v>-288.9543327840729</v>
      </c>
      <c r="Q40" s="243"/>
      <c r="R40" s="243"/>
      <c r="S40" s="243"/>
      <c r="T40" s="243"/>
      <c r="U40" s="243"/>
      <c r="V40" s="243"/>
      <c r="W40" s="243"/>
      <c r="X40" s="243"/>
      <c r="Y40" s="243"/>
      <c r="Z40" s="243"/>
      <c r="AA40" s="243"/>
      <c r="AB40" s="243"/>
      <c r="AC40" s="243"/>
      <c r="AD40" s="243"/>
      <c r="AE40" s="243"/>
      <c r="AF40" s="243"/>
      <c r="AG40" s="243"/>
      <c r="AH40" s="243"/>
      <c r="AI40" s="243"/>
      <c r="AJ40" s="243"/>
      <c r="AK40" s="243"/>
      <c r="AL40" s="261"/>
      <c r="AM40" s="261"/>
      <c r="AN40" s="261"/>
      <c r="AO40" s="288"/>
      <c r="AP40" s="288">
        <f t="shared" ref="AP40:BE40" si="148">+AP37-AL37</f>
        <v>-64</v>
      </c>
      <c r="AQ40" s="288">
        <f t="shared" si="148"/>
        <v>-78</v>
      </c>
      <c r="AR40" s="288">
        <f t="shared" si="148"/>
        <v>41</v>
      </c>
      <c r="AS40" s="288">
        <f t="shared" si="148"/>
        <v>-9</v>
      </c>
      <c r="AT40" s="288">
        <f t="shared" si="148"/>
        <v>-142</v>
      </c>
      <c r="AU40" s="288">
        <f t="shared" si="148"/>
        <v>-161</v>
      </c>
      <c r="AV40" s="288">
        <f t="shared" si="148"/>
        <v>-222</v>
      </c>
      <c r="AW40" s="288">
        <f t="shared" si="148"/>
        <v>-211</v>
      </c>
      <c r="AX40" s="288">
        <f t="shared" si="148"/>
        <v>-53</v>
      </c>
      <c r="AY40" s="288">
        <f t="shared" si="148"/>
        <v>-164</v>
      </c>
      <c r="AZ40" s="288">
        <f t="shared" si="148"/>
        <v>-141</v>
      </c>
      <c r="BA40" s="288">
        <f t="shared" si="148"/>
        <v>-172</v>
      </c>
      <c r="BB40" s="288">
        <f t="shared" si="148"/>
        <v>-384</v>
      </c>
      <c r="BC40" s="288">
        <f t="shared" si="148"/>
        <v>-399</v>
      </c>
      <c r="BD40" s="288">
        <f t="shared" si="148"/>
        <v>-309</v>
      </c>
      <c r="BE40" s="288">
        <f t="shared" si="148"/>
        <v>-371</v>
      </c>
      <c r="BF40" s="288">
        <f t="shared" ref="BF40" si="149">+BF37-BB37</f>
        <v>-185.6615499999989</v>
      </c>
      <c r="BG40" s="288">
        <f t="shared" ref="BG40" si="150">+BG37-BC37</f>
        <v>-173.77656097560975</v>
      </c>
      <c r="BH40" s="288">
        <f t="shared" ref="BH40" si="151">+BH37-BD37</f>
        <v>-167.16239620575016</v>
      </c>
      <c r="BI40" s="288">
        <f t="shared" ref="BI40" si="152">+BI37-BE37</f>
        <v>-159.41615569939495</v>
      </c>
    </row>
    <row r="41" spans="2:63" collapsed="1"/>
    <row r="42" spans="2:63" s="236" customFormat="1">
      <c r="B42" s="255" t="s">
        <v>272</v>
      </c>
      <c r="C42" s="274"/>
      <c r="D42" s="256">
        <f t="shared" ref="D42:J42" si="153">+D34+D37</f>
        <v>43442</v>
      </c>
      <c r="E42" s="256">
        <f t="shared" si="153"/>
        <v>45826</v>
      </c>
      <c r="F42" s="256">
        <f t="shared" si="153"/>
        <v>44946</v>
      </c>
      <c r="G42" s="256">
        <f>+G34+G37</f>
        <v>44330</v>
      </c>
      <c r="H42" s="256">
        <f>+H34+H37</f>
        <v>42929</v>
      </c>
      <c r="I42" s="256">
        <f ca="1">+I34+I37</f>
        <v>41556.765195541469</v>
      </c>
      <c r="J42" s="256">
        <f t="shared" ca="1" si="153"/>
        <v>40024.585540451022</v>
      </c>
      <c r="K42" s="256">
        <f t="shared" ref="K42:P42" ca="1" si="154">+K34+K37</f>
        <v>39910.757137532302</v>
      </c>
      <c r="L42" s="256">
        <f t="shared" ca="1" si="154"/>
        <v>39819.995568477541</v>
      </c>
      <c r="M42" s="256">
        <f t="shared" ca="1" si="154"/>
        <v>39325.832498252828</v>
      </c>
      <c r="N42" s="256">
        <f t="shared" ca="1" si="154"/>
        <v>38744.010941423046</v>
      </c>
      <c r="O42" s="256">
        <f t="shared" ca="1" si="154"/>
        <v>38090.25053771471</v>
      </c>
      <c r="P42" s="256">
        <f t="shared" ca="1" si="154"/>
        <v>37344.645085568889</v>
      </c>
      <c r="Q42" s="274"/>
      <c r="R42" s="274"/>
      <c r="S42" s="274"/>
      <c r="T42" s="274"/>
      <c r="U42" s="274"/>
      <c r="V42" s="274"/>
      <c r="W42" s="274"/>
      <c r="X42" s="274"/>
      <c r="Y42" s="274"/>
      <c r="Z42" s="274"/>
      <c r="AA42" s="274"/>
      <c r="AB42" s="274"/>
      <c r="AC42" s="274"/>
      <c r="AD42" s="274"/>
      <c r="AE42" s="274"/>
      <c r="AF42" s="274"/>
      <c r="AG42" s="274"/>
      <c r="AH42" s="274"/>
      <c r="AI42" s="274"/>
      <c r="AJ42" s="274"/>
      <c r="AK42" s="274"/>
      <c r="AL42" s="257">
        <f>10254</f>
        <v>10254</v>
      </c>
      <c r="AM42" s="257">
        <v>10770</v>
      </c>
      <c r="AN42" s="257">
        <v>10781</v>
      </c>
      <c r="AO42" s="257">
        <v>11637</v>
      </c>
      <c r="AP42" s="257">
        <v>10714</v>
      </c>
      <c r="AQ42" s="257">
        <v>10827</v>
      </c>
      <c r="AR42" s="257">
        <v>11295</v>
      </c>
      <c r="AS42" s="257">
        <v>12990</v>
      </c>
      <c r="AT42" s="257">
        <v>11073</v>
      </c>
      <c r="AU42" s="257">
        <v>10972</v>
      </c>
      <c r="AV42" s="257">
        <v>10921</v>
      </c>
      <c r="AW42" s="257">
        <v>11980</v>
      </c>
      <c r="AX42" s="257">
        <v>10802</v>
      </c>
      <c r="AY42" s="257">
        <v>10857</v>
      </c>
      <c r="AZ42" s="257">
        <v>10925</v>
      </c>
      <c r="BA42" s="257">
        <v>11746</v>
      </c>
      <c r="BB42" s="257">
        <v>10176</v>
      </c>
      <c r="BC42" s="257">
        <v>10313</v>
      </c>
      <c r="BD42" s="257">
        <v>10233</v>
      </c>
      <c r="BE42" s="257">
        <v>12207</v>
      </c>
      <c r="BF42" s="256">
        <f t="shared" ref="BF42:BI42" ca="1" si="155">+BF34+BF37</f>
        <v>9889.2916176607232</v>
      </c>
      <c r="BG42" s="256">
        <f t="shared" ca="1" si="155"/>
        <v>9957.1818151647203</v>
      </c>
      <c r="BH42" s="256">
        <f t="shared" ca="1" si="155"/>
        <v>9934.8008212807872</v>
      </c>
      <c r="BI42" s="256">
        <f t="shared" ca="1" si="155"/>
        <v>11775.490941435241</v>
      </c>
    </row>
    <row r="43" spans="2:63" s="248" customFormat="1">
      <c r="B43" s="245" t="s">
        <v>273</v>
      </c>
      <c r="C43" s="246"/>
      <c r="D43" s="259">
        <f t="shared" ref="D43:J43" si="156">+D42/D$27</f>
        <v>0.64218664537969161</v>
      </c>
      <c r="E43" s="259">
        <f t="shared" si="156"/>
        <v>0.64903832535478567</v>
      </c>
      <c r="F43" s="259">
        <f t="shared" si="156"/>
        <v>0.63191193217765407</v>
      </c>
      <c r="G43" s="259">
        <f>+G42/G$27</f>
        <v>0.62447174170282305</v>
      </c>
      <c r="H43" s="259">
        <f>+H42/H$27</f>
        <v>0.61852001267901913</v>
      </c>
      <c r="I43" s="259">
        <f ca="1">+I42/I$27</f>
        <v>0.60083698391305151</v>
      </c>
      <c r="J43" s="259">
        <f t="shared" ca="1" si="156"/>
        <v>0.58802517346140171</v>
      </c>
      <c r="K43" s="259">
        <f t="shared" ref="K43:P43" ca="1" si="157">+K42/K$27</f>
        <v>0.59231790114853589</v>
      </c>
      <c r="L43" s="259">
        <f t="shared" ca="1" si="157"/>
        <v>0.59680683531000933</v>
      </c>
      <c r="M43" s="259">
        <f t="shared" ca="1" si="157"/>
        <v>0.59559267835947893</v>
      </c>
      <c r="N43" s="259">
        <f t="shared" ca="1" si="157"/>
        <v>0.59441889856305319</v>
      </c>
      <c r="O43" s="259">
        <f t="shared" ca="1" si="157"/>
        <v>0.59327794677941492</v>
      </c>
      <c r="P43" s="259">
        <f t="shared" ca="1" si="157"/>
        <v>0.59218517804352011</v>
      </c>
      <c r="Q43" s="246"/>
      <c r="R43" s="246"/>
      <c r="S43" s="246"/>
      <c r="T43" s="246"/>
      <c r="U43" s="246"/>
      <c r="V43" s="246"/>
      <c r="W43" s="246"/>
      <c r="X43" s="246"/>
      <c r="Y43" s="246"/>
      <c r="Z43" s="246"/>
      <c r="AA43" s="246"/>
      <c r="AB43" s="246"/>
      <c r="AC43" s="246"/>
      <c r="AD43" s="246"/>
      <c r="AE43" s="246"/>
      <c r="AF43" s="246"/>
      <c r="AG43" s="246"/>
      <c r="AH43" s="246"/>
      <c r="AI43" s="246"/>
      <c r="AJ43" s="246"/>
      <c r="AK43" s="246"/>
      <c r="AL43" s="248">
        <f t="shared" ref="AL43:AV43" si="158">+AL42/AL$27</f>
        <v>0.62838583159700945</v>
      </c>
      <c r="AM43" s="248">
        <f t="shared" si="158"/>
        <v>0.64240978228452128</v>
      </c>
      <c r="AN43" s="248">
        <f t="shared" si="158"/>
        <v>0.63387817497648169</v>
      </c>
      <c r="AO43" s="248">
        <f t="shared" si="158"/>
        <v>0.66285030758714969</v>
      </c>
      <c r="AP43" s="248">
        <f t="shared" si="158"/>
        <v>0.61773523985239853</v>
      </c>
      <c r="AQ43" s="248">
        <f t="shared" si="158"/>
        <v>0.63516367476240765</v>
      </c>
      <c r="AR43" s="248">
        <f t="shared" si="158"/>
        <v>0.64590838908903758</v>
      </c>
      <c r="AS43" s="248">
        <f t="shared" si="158"/>
        <v>0.69357680602274552</v>
      </c>
      <c r="AT43" s="248">
        <f t="shared" si="158"/>
        <v>0.63068861422794331</v>
      </c>
      <c r="AU43" s="248">
        <f t="shared" si="158"/>
        <v>0.62115036231884058</v>
      </c>
      <c r="AV43" s="248">
        <f t="shared" si="158"/>
        <v>0.61728464842866837</v>
      </c>
      <c r="AW43" s="248">
        <f t="shared" ref="AW43:BB43" si="159">+AW42/AW$27</f>
        <v>0.65773580762051165</v>
      </c>
      <c r="AX43" s="248">
        <f t="shared" si="159"/>
        <v>0.61343631097734108</v>
      </c>
      <c r="AY43" s="248">
        <f t="shared" si="159"/>
        <v>0.61761192331759485</v>
      </c>
      <c r="AZ43" s="248">
        <f t="shared" si="159"/>
        <v>0.61490403557156526</v>
      </c>
      <c r="BA43" s="248">
        <f t="shared" si="159"/>
        <v>0.65136139300171902</v>
      </c>
      <c r="BB43" s="248">
        <f t="shared" si="159"/>
        <v>0.60398860398860399</v>
      </c>
      <c r="BC43" s="248">
        <f t="shared" ref="BC43:BD43" si="160">+BC42/BC$27</f>
        <v>0.6028526334249138</v>
      </c>
      <c r="BD43" s="248">
        <f t="shared" si="160"/>
        <v>0.59978899243889572</v>
      </c>
      <c r="BE43" s="248">
        <f t="shared" ref="BE43" si="161">+BE42/BE$27</f>
        <v>0.66378466557911908</v>
      </c>
      <c r="BF43" s="248">
        <f t="shared" ref="BF43:BI43" ca="1" si="162">+BF42/BF$27</f>
        <v>0.58325870672224112</v>
      </c>
      <c r="BG43" s="248">
        <f t="shared" ca="1" si="162"/>
        <v>0.58519965806731145</v>
      </c>
      <c r="BH43" s="248">
        <f t="shared" ca="1" si="162"/>
        <v>0.58298747588575095</v>
      </c>
      <c r="BI43" s="248">
        <f t="shared" ca="1" si="162"/>
        <v>0.64866784738793337</v>
      </c>
    </row>
    <row r="45" spans="2:63" s="252" customFormat="1" ht="15.75" thickBot="1">
      <c r="B45" s="156" t="s">
        <v>282</v>
      </c>
      <c r="C45" s="247"/>
      <c r="D45" s="200">
        <f t="shared" ref="D45:J45" si="163">+D27-D42</f>
        <v>24205</v>
      </c>
      <c r="E45" s="200">
        <f t="shared" si="163"/>
        <v>24780</v>
      </c>
      <c r="F45" s="200">
        <f t="shared" si="163"/>
        <v>26181</v>
      </c>
      <c r="G45" s="200">
        <f t="shared" si="163"/>
        <v>26658</v>
      </c>
      <c r="H45" s="200">
        <f t="shared" ref="H45:I45" si="164">+H27-H42</f>
        <v>26477</v>
      </c>
      <c r="I45" s="200">
        <f t="shared" ca="1" si="164"/>
        <v>27608.027099526771</v>
      </c>
      <c r="J45" s="200">
        <f t="shared" ca="1" si="163"/>
        <v>28041.523440643912</v>
      </c>
      <c r="K45" s="200">
        <f t="shared" ref="K45:P45" ca="1" si="165">+K27-K42</f>
        <v>27469.879274339139</v>
      </c>
      <c r="L45" s="200">
        <f t="shared" ca="1" si="165"/>
        <v>26901.752931258023</v>
      </c>
      <c r="M45" s="200">
        <f t="shared" ca="1" si="165"/>
        <v>26702.233203584314</v>
      </c>
      <c r="N45" s="200">
        <f t="shared" ca="1" si="165"/>
        <v>26435.630949308768</v>
      </c>
      <c r="O45" s="200">
        <f t="shared" ca="1" si="165"/>
        <v>26112.794164159139</v>
      </c>
      <c r="P45" s="200">
        <f t="shared" ca="1" si="165"/>
        <v>25717.799687110652</v>
      </c>
      <c r="Q45" s="247"/>
      <c r="R45" s="167"/>
      <c r="S45" s="167"/>
      <c r="T45" s="167"/>
      <c r="U45" s="167"/>
      <c r="V45" s="167"/>
      <c r="W45" s="167"/>
      <c r="X45" s="167"/>
      <c r="Y45" s="167"/>
      <c r="Z45" s="167"/>
      <c r="AA45" s="167"/>
      <c r="AB45" s="167"/>
      <c r="AC45" s="167"/>
      <c r="AD45" s="167"/>
      <c r="AE45" s="167"/>
      <c r="AF45" s="167"/>
      <c r="AG45" s="167"/>
      <c r="AH45" s="167"/>
      <c r="AI45" s="167"/>
      <c r="AJ45" s="167"/>
      <c r="AK45" s="167"/>
      <c r="AL45" s="156">
        <f t="shared" ref="AL45:AW45" si="166">+AL27-AL42</f>
        <v>6064</v>
      </c>
      <c r="AM45" s="156">
        <f t="shared" si="166"/>
        <v>5995</v>
      </c>
      <c r="AN45" s="156">
        <f t="shared" si="166"/>
        <v>6227</v>
      </c>
      <c r="AO45" s="156">
        <f t="shared" si="166"/>
        <v>5919</v>
      </c>
      <c r="AP45" s="156">
        <f t="shared" si="166"/>
        <v>6630</v>
      </c>
      <c r="AQ45" s="156">
        <f t="shared" si="166"/>
        <v>6219</v>
      </c>
      <c r="AR45" s="156">
        <f t="shared" si="166"/>
        <v>6192</v>
      </c>
      <c r="AS45" s="156">
        <f t="shared" si="166"/>
        <v>5739</v>
      </c>
      <c r="AT45" s="156">
        <f t="shared" si="166"/>
        <v>6484</v>
      </c>
      <c r="AU45" s="156">
        <f t="shared" si="166"/>
        <v>6692</v>
      </c>
      <c r="AV45" s="156">
        <f t="shared" si="166"/>
        <v>6771</v>
      </c>
      <c r="AW45" s="156">
        <f t="shared" si="166"/>
        <v>6234</v>
      </c>
      <c r="AX45" s="156">
        <f t="shared" ref="AX45:BC45" si="167">+AX27-AX42</f>
        <v>6807</v>
      </c>
      <c r="AY45" s="156">
        <f t="shared" si="167"/>
        <v>6722</v>
      </c>
      <c r="AZ45" s="156">
        <f t="shared" si="167"/>
        <v>6842</v>
      </c>
      <c r="BA45" s="156">
        <f t="shared" si="167"/>
        <v>6287</v>
      </c>
      <c r="BB45" s="156">
        <f t="shared" si="167"/>
        <v>6672</v>
      </c>
      <c r="BC45" s="156">
        <f t="shared" si="167"/>
        <v>6794</v>
      </c>
      <c r="BD45" s="156">
        <f t="shared" ref="BD45:BE45" si="168">+BD27-BD42</f>
        <v>6828</v>
      </c>
      <c r="BE45" s="156">
        <f t="shared" si="168"/>
        <v>6183</v>
      </c>
      <c r="BF45" s="156">
        <f t="shared" ref="BF45:BI45" ca="1" si="169">+BF27-BF42</f>
        <v>7065.9488334178623</v>
      </c>
      <c r="BG45" s="156">
        <f t="shared" ca="1" si="169"/>
        <v>7057.8346461391848</v>
      </c>
      <c r="BH45" s="156">
        <f t="shared" ca="1" si="169"/>
        <v>7106.3899970751918</v>
      </c>
      <c r="BI45" s="156">
        <f t="shared" ca="1" si="169"/>
        <v>6377.8536228945413</v>
      </c>
      <c r="BK45" s="236"/>
    </row>
    <row r="46" spans="2:63" s="248" customFormat="1" ht="15.75" thickTop="1">
      <c r="B46" s="245" t="s">
        <v>258</v>
      </c>
      <c r="C46" s="246"/>
      <c r="D46" s="259">
        <f t="shared" ref="D46:J46" si="170">+D45/D$27</f>
        <v>0.35781335462030839</v>
      </c>
      <c r="E46" s="259">
        <f t="shared" si="170"/>
        <v>0.35096167464521427</v>
      </c>
      <c r="F46" s="259">
        <f t="shared" si="170"/>
        <v>0.36808806782234593</v>
      </c>
      <c r="G46" s="259">
        <f>+G45/G$27</f>
        <v>0.37552825829717701</v>
      </c>
      <c r="H46" s="259">
        <f>+H45/H$27</f>
        <v>0.38147998732098087</v>
      </c>
      <c r="I46" s="259">
        <f ca="1">+I45/I$27</f>
        <v>0.39916301608694843</v>
      </c>
      <c r="J46" s="259">
        <f t="shared" ca="1" si="170"/>
        <v>0.41197482653859829</v>
      </c>
      <c r="K46" s="259">
        <f t="shared" ref="K46:P46" ca="1" si="171">+K45/K$27</f>
        <v>0.40768209885146417</v>
      </c>
      <c r="L46" s="259">
        <f t="shared" ca="1" si="171"/>
        <v>0.40319316468999072</v>
      </c>
      <c r="M46" s="259">
        <f t="shared" ca="1" si="171"/>
        <v>0.40440732164052112</v>
      </c>
      <c r="N46" s="259">
        <f t="shared" ca="1" si="171"/>
        <v>0.40558110143694681</v>
      </c>
      <c r="O46" s="259">
        <f t="shared" ca="1" si="171"/>
        <v>0.40672205322058508</v>
      </c>
      <c r="P46" s="259">
        <f t="shared" ca="1" si="171"/>
        <v>0.40781482195647989</v>
      </c>
      <c r="Q46" s="246"/>
      <c r="R46" s="246"/>
      <c r="S46" s="246"/>
      <c r="T46" s="246"/>
      <c r="U46" s="246"/>
      <c r="V46" s="246"/>
      <c r="W46" s="246"/>
      <c r="X46" s="246"/>
      <c r="Y46" s="246"/>
      <c r="Z46" s="246"/>
      <c r="AA46" s="246"/>
      <c r="AB46" s="246"/>
      <c r="AC46" s="246"/>
      <c r="AD46" s="246"/>
      <c r="AE46" s="246"/>
      <c r="AF46" s="246"/>
      <c r="AG46" s="246"/>
      <c r="AH46" s="246"/>
      <c r="AI46" s="246"/>
      <c r="AJ46" s="246"/>
      <c r="AK46" s="246"/>
      <c r="AL46" s="248">
        <f t="shared" ref="AL46:AV46" si="172">+AL45/AL$27</f>
        <v>0.37161416840299055</v>
      </c>
      <c r="AM46" s="248">
        <f t="shared" si="172"/>
        <v>0.35759021771547866</v>
      </c>
      <c r="AN46" s="248">
        <f t="shared" si="172"/>
        <v>0.36612182502351837</v>
      </c>
      <c r="AO46" s="248">
        <f t="shared" si="172"/>
        <v>0.33714969241285031</v>
      </c>
      <c r="AP46" s="248">
        <f t="shared" si="172"/>
        <v>0.38226476014760147</v>
      </c>
      <c r="AQ46" s="248">
        <f t="shared" si="172"/>
        <v>0.36483632523759241</v>
      </c>
      <c r="AR46" s="248">
        <f t="shared" si="172"/>
        <v>0.35409161091096242</v>
      </c>
      <c r="AS46" s="248">
        <f t="shared" si="172"/>
        <v>0.30642319397725454</v>
      </c>
      <c r="AT46" s="248">
        <f t="shared" si="172"/>
        <v>0.36931138577205674</v>
      </c>
      <c r="AU46" s="248">
        <f t="shared" si="172"/>
        <v>0.37884963768115942</v>
      </c>
      <c r="AV46" s="248">
        <f t="shared" si="172"/>
        <v>0.38271535157133169</v>
      </c>
      <c r="AW46" s="248">
        <f t="shared" ref="AW46:BB46" si="173">+AW45/AW$27</f>
        <v>0.3422641923794883</v>
      </c>
      <c r="AX46" s="248">
        <f t="shared" si="173"/>
        <v>0.38656368902265886</v>
      </c>
      <c r="AY46" s="248">
        <f t="shared" si="173"/>
        <v>0.38238807668240515</v>
      </c>
      <c r="AZ46" s="248">
        <f t="shared" si="173"/>
        <v>0.38509596442843474</v>
      </c>
      <c r="BA46" s="248">
        <f t="shared" si="173"/>
        <v>0.34863860699828092</v>
      </c>
      <c r="BB46" s="248">
        <f t="shared" si="173"/>
        <v>0.39601139601139601</v>
      </c>
      <c r="BC46" s="248">
        <f t="shared" ref="BC46:BD46" si="174">+BC45/BC$27</f>
        <v>0.3971473665750862</v>
      </c>
      <c r="BD46" s="248">
        <f t="shared" si="174"/>
        <v>0.40021100756110428</v>
      </c>
      <c r="BE46" s="248">
        <f t="shared" ref="BE46" si="175">+BE45/BE$27</f>
        <v>0.33621533442088092</v>
      </c>
      <c r="BF46" s="259">
        <f t="shared" ref="BF46:BI46" ca="1" si="176">+BF45/BF$27</f>
        <v>0.41674129327775894</v>
      </c>
      <c r="BG46" s="259">
        <f t="shared" ca="1" si="176"/>
        <v>0.41480034193268861</v>
      </c>
      <c r="BH46" s="259">
        <f t="shared" ca="1" si="176"/>
        <v>0.41701252411424905</v>
      </c>
      <c r="BI46" s="259">
        <f t="shared" ca="1" si="176"/>
        <v>0.35133215261206663</v>
      </c>
    </row>
    <row r="47" spans="2:63" s="248" customFormat="1">
      <c r="B47" s="245" t="s">
        <v>252</v>
      </c>
      <c r="C47" s="246"/>
      <c r="D47" s="259"/>
      <c r="E47" s="259">
        <f t="shared" ref="E47:J47" si="177">+E45/D45-1</f>
        <v>2.3755422433381579E-2</v>
      </c>
      <c r="F47" s="259">
        <f t="shared" si="177"/>
        <v>5.6537530266343783E-2</v>
      </c>
      <c r="G47" s="259">
        <f t="shared" si="177"/>
        <v>1.821931935372989E-2</v>
      </c>
      <c r="H47" s="259">
        <f t="shared" si="177"/>
        <v>-6.7897066546627194E-3</v>
      </c>
      <c r="I47" s="259">
        <f t="shared" ca="1" si="177"/>
        <v>4.2717343336736491E-2</v>
      </c>
      <c r="J47" s="259">
        <f t="shared" ca="1" si="177"/>
        <v>1.5701822500912233E-2</v>
      </c>
      <c r="K47" s="259">
        <f t="shared" ref="K47" ca="1" si="178">+K45/J45-1</f>
        <v>-2.0385631597897524E-2</v>
      </c>
      <c r="L47" s="259">
        <f t="shared" ref="L47" ca="1" si="179">+L45/K45-1</f>
        <v>-2.0681792497421969E-2</v>
      </c>
      <c r="M47" s="259">
        <f t="shared" ref="M47" ca="1" si="180">+M45/L45-1</f>
        <v>-7.4166069468982743E-3</v>
      </c>
      <c r="N47" s="259">
        <f t="shared" ref="N47" ca="1" si="181">+N45/M45-1</f>
        <v>-9.9842680663787542E-3</v>
      </c>
      <c r="O47" s="259">
        <f t="shared" ref="O47" ca="1" si="182">+O45/N45-1</f>
        <v>-1.2212183842658431E-2</v>
      </c>
      <c r="P47" s="259">
        <f t="shared" ref="P47" ca="1" si="183">+P45/O45-1</f>
        <v>-1.5126473044797084E-2</v>
      </c>
      <c r="Q47" s="246"/>
      <c r="R47" s="246"/>
      <c r="S47" s="246"/>
      <c r="T47" s="246"/>
      <c r="U47" s="246"/>
      <c r="V47" s="246"/>
      <c r="W47" s="246"/>
      <c r="X47" s="246"/>
      <c r="Y47" s="246"/>
      <c r="Z47" s="246"/>
      <c r="AA47" s="246"/>
      <c r="AB47" s="246"/>
      <c r="AC47" s="246"/>
      <c r="AD47" s="246"/>
      <c r="AE47" s="246"/>
      <c r="AF47" s="246"/>
      <c r="AG47" s="246"/>
      <c r="AH47" s="246"/>
      <c r="AI47" s="246"/>
      <c r="AJ47" s="246"/>
      <c r="AK47" s="246"/>
      <c r="AP47" s="248">
        <f t="shared" ref="AP47:BE47" si="184">+AP45/AL45-1</f>
        <v>9.3337730870712399E-2</v>
      </c>
      <c r="AQ47" s="248">
        <f t="shared" si="184"/>
        <v>3.736447039199331E-2</v>
      </c>
      <c r="AR47" s="248">
        <f t="shared" si="184"/>
        <v>-5.6206841175525657E-3</v>
      </c>
      <c r="AS47" s="248">
        <f t="shared" si="184"/>
        <v>-3.0410542321338108E-2</v>
      </c>
      <c r="AT47" s="248">
        <f t="shared" si="184"/>
        <v>-2.202111613876323E-2</v>
      </c>
      <c r="AU47" s="248">
        <f t="shared" si="184"/>
        <v>7.6057243929892326E-2</v>
      </c>
      <c r="AV47" s="248">
        <f t="shared" si="184"/>
        <v>9.3507751937984551E-2</v>
      </c>
      <c r="AW47" s="248">
        <f t="shared" si="184"/>
        <v>8.6251960271824357E-2</v>
      </c>
      <c r="AX47" s="248">
        <f t="shared" si="184"/>
        <v>4.9814929056138268E-2</v>
      </c>
      <c r="AY47" s="248">
        <f t="shared" si="184"/>
        <v>4.4829647340107748E-3</v>
      </c>
      <c r="AZ47" s="248">
        <f t="shared" si="184"/>
        <v>1.0485895731797479E-2</v>
      </c>
      <c r="BA47" s="248">
        <f t="shared" si="184"/>
        <v>8.50176451716389E-3</v>
      </c>
      <c r="BB47" s="248">
        <f t="shared" si="184"/>
        <v>-1.9832525341560103E-2</v>
      </c>
      <c r="BC47" s="248">
        <f t="shared" si="184"/>
        <v>1.0711097887533549E-2</v>
      </c>
      <c r="BD47" s="248">
        <f t="shared" si="184"/>
        <v>-2.0461853259280405E-3</v>
      </c>
      <c r="BE47" s="248">
        <f t="shared" si="184"/>
        <v>-1.6542070940035014E-2</v>
      </c>
      <c r="BF47" s="248">
        <f t="shared" ref="BF47" ca="1" si="185">+BF45/BB45-1</f>
        <v>5.9045088941526158E-2</v>
      </c>
      <c r="BG47" s="248">
        <f t="shared" ref="BG47" ca="1" si="186">+BG45/BC45-1</f>
        <v>3.8833477500616054E-2</v>
      </c>
      <c r="BH47" s="248">
        <f t="shared" ref="BH47" ca="1" si="187">+BH45/BD45-1</f>
        <v>4.0771821481428105E-2</v>
      </c>
      <c r="BI47" s="248">
        <f t="shared" ref="BI47" ca="1" si="188">+BI45/BE45-1</f>
        <v>3.1514414183170247E-2</v>
      </c>
    </row>
    <row r="49" spans="2:63">
      <c r="B49" s="235" t="s">
        <v>310</v>
      </c>
      <c r="D49" s="295">
        <f>SUM(AL49:AO49)</f>
        <v>3566</v>
      </c>
      <c r="E49" s="295">
        <f>SUM(AP49:AS49)</f>
        <v>3917</v>
      </c>
      <c r="F49" s="295">
        <f>SUM(AT49:AW49)</f>
        <v>4262</v>
      </c>
      <c r="G49" s="295">
        <f>SUM(AX49:BA49)</f>
        <v>4576</v>
      </c>
      <c r="H49" s="295">
        <f>SUM(BB49:BE49)</f>
        <v>4520</v>
      </c>
      <c r="I49" s="295">
        <f ca="1">SUM(BF49:BI49)</f>
        <v>4200.4327969472797</v>
      </c>
      <c r="J49" s="389">
        <f ca="1">+'AT&amp;T Mobility'!J22-'Consumer Mobility'!J24</f>
        <v>4212.6161921131988</v>
      </c>
      <c r="K49" s="389">
        <f ca="1">+'AT&amp;T Mobility'!K22-'Consumer Mobility'!K24</f>
        <v>4253.9067918686123</v>
      </c>
      <c r="L49" s="389">
        <f ca="1">+'AT&amp;T Mobility'!L22-'Consumer Mobility'!L24</f>
        <v>4287.2129998731243</v>
      </c>
      <c r="M49" s="389">
        <f ca="1">+'AT&amp;T Mobility'!M22-'Consumer Mobility'!M24</f>
        <v>4309.5841044097024</v>
      </c>
      <c r="N49" s="389">
        <f ca="1">+'AT&amp;T Mobility'!N22-'Consumer Mobility'!N24</f>
        <v>4310.9282456847486</v>
      </c>
      <c r="O49" s="389">
        <f ca="1">+'AT&amp;T Mobility'!O22-'Consumer Mobility'!O24</f>
        <v>4296.9188731089816</v>
      </c>
      <c r="P49" s="389">
        <f ca="1">+'AT&amp;T Mobility'!P22-'Consumer Mobility'!P24</f>
        <v>4265.9444021851177</v>
      </c>
      <c r="AL49" s="236">
        <f>+'AT&amp;T Mobility'!AL22-'Consumer Mobility'!AL24</f>
        <v>866</v>
      </c>
      <c r="AM49" s="236">
        <f>+'AT&amp;T Mobility'!AM22-'Consumer Mobility'!AM24</f>
        <v>876</v>
      </c>
      <c r="AN49" s="236">
        <f>+'AT&amp;T Mobility'!AN22-'Consumer Mobility'!AN24</f>
        <v>899</v>
      </c>
      <c r="AO49" s="236">
        <f>+'AT&amp;T Mobility'!AO22-'Consumer Mobility'!AO24</f>
        <v>925</v>
      </c>
      <c r="AP49" s="236">
        <f>+'AT&amp;T Mobility'!AP22-'Consumer Mobility'!AP24</f>
        <v>988</v>
      </c>
      <c r="AQ49" s="236">
        <f>+'AT&amp;T Mobility'!AQ22-'Consumer Mobility'!AQ24</f>
        <v>992</v>
      </c>
      <c r="AR49" s="236">
        <f>+'AT&amp;T Mobility'!AR22-'Consumer Mobility'!AR24</f>
        <v>959</v>
      </c>
      <c r="AS49" s="236">
        <f>+'AT&amp;T Mobility'!AS22-'Consumer Mobility'!AS24</f>
        <v>978</v>
      </c>
      <c r="AT49" s="236">
        <f>+'AT&amp;T Mobility'!AT22-'Consumer Mobility'!AT24</f>
        <v>1003</v>
      </c>
      <c r="AU49" s="236">
        <f>+'AT&amp;T Mobility'!AU22-'Consumer Mobility'!AU24</f>
        <v>1097</v>
      </c>
      <c r="AV49" s="236">
        <f>+'AT&amp;T Mobility'!AV22-'Consumer Mobility'!AV24</f>
        <v>1070</v>
      </c>
      <c r="AW49" s="236">
        <f>+'AT&amp;T Mobility'!AW22-'Consumer Mobility'!AW24</f>
        <v>1092</v>
      </c>
      <c r="AX49" s="236">
        <f>+'AT&amp;T Mobility'!AX22-'Consumer Mobility'!AX24</f>
        <v>1134</v>
      </c>
      <c r="AY49" s="236">
        <f>+'AT&amp;T Mobility'!AY22-'Consumer Mobility'!AY24</f>
        <v>1149</v>
      </c>
      <c r="AZ49" s="236">
        <f>+'AT&amp;T Mobility'!AZ22-'Consumer Mobility'!AZ24</f>
        <v>1163</v>
      </c>
      <c r="BA49" s="236">
        <f>+'AT&amp;T Mobility'!BA22-'Consumer Mobility'!BA24</f>
        <v>1130</v>
      </c>
      <c r="BB49" s="236">
        <f>+'AT&amp;T Mobility'!BB22-'Consumer Mobility'!BB24</f>
        <v>1124</v>
      </c>
      <c r="BC49" s="236">
        <f>+'AT&amp;T Mobility'!BC22-'Consumer Mobility'!BC24</f>
        <v>1121</v>
      </c>
      <c r="BD49" s="236">
        <f>+'AT&amp;T Mobility'!BD22-'Consumer Mobility'!BD24</f>
        <v>1133</v>
      </c>
      <c r="BE49" s="236">
        <f>+'AT&amp;T Mobility'!BE22-'Consumer Mobility'!BE24</f>
        <v>1142</v>
      </c>
      <c r="BF49" s="389">
        <f ca="1">+'AT&amp;T Mobility'!BF22-'Consumer Mobility'!BF24</f>
        <v>1015.2075608038508</v>
      </c>
      <c r="BG49" s="389">
        <f ca="1">+'AT&amp;T Mobility'!BG22-'Consumer Mobility'!BG24</f>
        <v>1024.0343741310071</v>
      </c>
      <c r="BH49" s="389">
        <f ca="1">+'AT&amp;T Mobility'!BH22-'Consumer Mobility'!BH24</f>
        <v>1026.252759723375</v>
      </c>
      <c r="BI49" s="389">
        <f ca="1">+'AT&amp;T Mobility'!BI22-'Consumer Mobility'!BI24</f>
        <v>1134.9381022890464</v>
      </c>
    </row>
    <row r="50" spans="2:63" s="248" customFormat="1">
      <c r="B50" s="245" t="s">
        <v>307</v>
      </c>
      <c r="C50" s="246"/>
      <c r="D50" s="248">
        <f t="shared" ref="D50:J50" si="189">+D49/D$10</f>
        <v>0.10595436177798906</v>
      </c>
      <c r="E50" s="248">
        <f t="shared" si="189"/>
        <v>0.10523063697176477</v>
      </c>
      <c r="F50" s="248">
        <f t="shared" si="189"/>
        <v>0.11030020703933748</v>
      </c>
      <c r="G50" s="248">
        <f>+G49/G$10</f>
        <v>0.1154972236244321</v>
      </c>
      <c r="H50" s="248">
        <f>+H49/H$10</f>
        <v>0.1135764002311732</v>
      </c>
      <c r="I50" s="248">
        <f ca="1">+I49/I$10</f>
        <v>0.10422565602034191</v>
      </c>
      <c r="J50" s="248">
        <f t="shared" ca="1" si="189"/>
        <v>0.10597489205060756</v>
      </c>
      <c r="K50" s="248">
        <f t="shared" ref="K50:P50" ca="1" si="190">+K49/K$10</f>
        <v>0.1077744232299741</v>
      </c>
      <c r="L50" s="248">
        <f t="shared" ca="1" si="190"/>
        <v>0.10959373330269957</v>
      </c>
      <c r="M50" s="248">
        <f t="shared" ca="1" si="190"/>
        <v>0.11142878293584259</v>
      </c>
      <c r="N50" s="248">
        <f t="shared" ca="1" si="190"/>
        <v>0.1132832618066618</v>
      </c>
      <c r="O50" s="248">
        <f t="shared" ca="1" si="190"/>
        <v>0.11516509112716371</v>
      </c>
      <c r="P50" s="248">
        <f t="shared" ca="1" si="190"/>
        <v>0.11708842653889213</v>
      </c>
      <c r="Q50" s="246"/>
      <c r="R50" s="246"/>
      <c r="S50" s="246"/>
      <c r="T50" s="246"/>
      <c r="U50" s="246"/>
      <c r="V50" s="246"/>
      <c r="W50" s="246"/>
      <c r="X50" s="246"/>
      <c r="Y50" s="246"/>
      <c r="Z50" s="246"/>
      <c r="AA50" s="246"/>
      <c r="AB50" s="246"/>
      <c r="AC50" s="246"/>
      <c r="AD50" s="246"/>
      <c r="AE50" s="246"/>
      <c r="AF50" s="246"/>
      <c r="AG50" s="246"/>
      <c r="AH50" s="246"/>
      <c r="AI50" s="246"/>
      <c r="AJ50" s="246"/>
      <c r="AK50" s="246"/>
      <c r="AL50" s="248">
        <f t="shared" ref="AL50:AV50" si="191">+AL49/AL$10</f>
        <v>0.11121099268010787</v>
      </c>
      <c r="AM50" s="248">
        <f t="shared" si="191"/>
        <v>0.1063752276867031</v>
      </c>
      <c r="AN50" s="248">
        <f t="shared" si="191"/>
        <v>0.10523235397401381</v>
      </c>
      <c r="AO50" s="248">
        <f t="shared" si="191"/>
        <v>0.1017489825101749</v>
      </c>
      <c r="AP50" s="248">
        <f t="shared" si="191"/>
        <v>0.10946155550631509</v>
      </c>
      <c r="AQ50" s="248">
        <f t="shared" si="191"/>
        <v>0.11361814225174666</v>
      </c>
      <c r="AR50" s="248">
        <f t="shared" si="191"/>
        <v>0.10506134969325154</v>
      </c>
      <c r="AS50" s="248">
        <f t="shared" si="191"/>
        <v>9.4602437608821824E-2</v>
      </c>
      <c r="AT50" s="248">
        <f t="shared" si="191"/>
        <v>0.10661139455782313</v>
      </c>
      <c r="AU50" s="248">
        <f t="shared" si="191"/>
        <v>0.11488113938632318</v>
      </c>
      <c r="AV50" s="248">
        <f t="shared" si="191"/>
        <v>0.11210057621791514</v>
      </c>
      <c r="AW50" s="248">
        <f t="shared" ref="AW50:BB50" si="192">+AW49/AW$10</f>
        <v>0.10771355296902742</v>
      </c>
      <c r="AX50" s="248">
        <f t="shared" si="192"/>
        <v>0.1178059422397673</v>
      </c>
      <c r="AY50" s="248">
        <f t="shared" si="192"/>
        <v>0.11799137399876772</v>
      </c>
      <c r="AZ50" s="248">
        <f t="shared" si="192"/>
        <v>0.11717884130982367</v>
      </c>
      <c r="BA50" s="248">
        <f t="shared" si="192"/>
        <v>0.10937953731487755</v>
      </c>
      <c r="BB50" s="248">
        <f t="shared" si="192"/>
        <v>0.11923199321098971</v>
      </c>
      <c r="BC50" s="248">
        <f t="shared" ref="BC50:BD50" si="193">+BC49/BC$10</f>
        <v>0.11524622185668756</v>
      </c>
      <c r="BD50" s="248">
        <f t="shared" si="193"/>
        <v>0.11694880264244426</v>
      </c>
      <c r="BE50" s="248">
        <f t="shared" ref="BE50" si="194">+BE49/BE$10</f>
        <v>0.1042446371519854</v>
      </c>
      <c r="BF50" s="248">
        <f t="shared" ref="BF50:BI50" ca="1" si="195">+BF49/BF$10</f>
        <v>0.1042125618522225</v>
      </c>
      <c r="BG50" s="248">
        <f t="shared" ca="1" si="195"/>
        <v>0.10421875659532885</v>
      </c>
      <c r="BH50" s="248">
        <f t="shared" ca="1" si="195"/>
        <v>0.10422110094094922</v>
      </c>
      <c r="BI50" s="248">
        <f t="shared" ca="1" si="195"/>
        <v>0.10424771964806193</v>
      </c>
    </row>
    <row r="52" spans="2:63">
      <c r="B52" s="235" t="s">
        <v>311</v>
      </c>
      <c r="D52" s="295">
        <f>SUM(AL52:AO52)</f>
        <v>5399</v>
      </c>
      <c r="E52" s="295">
        <f>SUM(AP52:AS52)</f>
        <v>5438</v>
      </c>
      <c r="F52" s="295">
        <f>SUM(AT52:AW52)</f>
        <v>5527</v>
      </c>
      <c r="G52" s="295">
        <f>SUM(AX52:BA52)</f>
        <v>5256</v>
      </c>
      <c r="H52" s="295">
        <f>SUM(BB52:BE52)</f>
        <v>4807</v>
      </c>
      <c r="I52" s="295">
        <f>SUM(BF52:BI52)</f>
        <v>4708.9948863483523</v>
      </c>
      <c r="J52" s="295">
        <f>+J25*J53</f>
        <v>4955.1304346249999</v>
      </c>
      <c r="K52" s="295">
        <f t="shared" ref="K52:P52" si="196">+K25*K53</f>
        <v>4884.2796855186252</v>
      </c>
      <c r="L52" s="295">
        <f t="shared" si="196"/>
        <v>4830.4558428513792</v>
      </c>
      <c r="M52" s="295">
        <f t="shared" si="196"/>
        <v>4786.6672578576572</v>
      </c>
      <c r="N52" s="295">
        <f t="shared" si="196"/>
        <v>4746.914723889834</v>
      </c>
      <c r="O52" s="295">
        <f t="shared" si="196"/>
        <v>4706.1166999876514</v>
      </c>
      <c r="P52" s="295">
        <f t="shared" si="196"/>
        <v>4660.0605317632317</v>
      </c>
      <c r="AL52" s="236">
        <f t="shared" ref="AL52:AV52" si="197">+AL57-AL49</f>
        <v>1304</v>
      </c>
      <c r="AM52" s="236">
        <f t="shared" si="197"/>
        <v>1342</v>
      </c>
      <c r="AN52" s="236">
        <f t="shared" si="197"/>
        <v>1362</v>
      </c>
      <c r="AO52" s="236">
        <f t="shared" si="197"/>
        <v>1391</v>
      </c>
      <c r="AP52" s="236">
        <f t="shared" si="197"/>
        <v>1376</v>
      </c>
      <c r="AQ52" s="236">
        <f t="shared" si="197"/>
        <v>1322</v>
      </c>
      <c r="AR52" s="236">
        <f t="shared" si="197"/>
        <v>1372</v>
      </c>
      <c r="AS52" s="236">
        <f t="shared" si="197"/>
        <v>1368</v>
      </c>
      <c r="AT52" s="236">
        <f t="shared" si="197"/>
        <v>1339</v>
      </c>
      <c r="AU52" s="236">
        <f t="shared" si="197"/>
        <v>1363</v>
      </c>
      <c r="AV52" s="236">
        <f t="shared" si="197"/>
        <v>1404</v>
      </c>
      <c r="AW52" s="236">
        <f t="shared" ref="AW52:BB52" si="198">+AW57-AW49</f>
        <v>1421</v>
      </c>
      <c r="AX52" s="236">
        <f t="shared" si="198"/>
        <v>1374</v>
      </c>
      <c r="AY52" s="236">
        <f t="shared" si="198"/>
        <v>1372</v>
      </c>
      <c r="AZ52" s="236">
        <f t="shared" si="198"/>
        <v>1376</v>
      </c>
      <c r="BA52" s="236">
        <f t="shared" si="198"/>
        <v>1134</v>
      </c>
      <c r="BB52" s="236">
        <f t="shared" si="198"/>
        <v>1188</v>
      </c>
      <c r="BC52" s="236">
        <f t="shared" ref="BC52:BD52" si="199">+BC57-BC49</f>
        <v>1214</v>
      </c>
      <c r="BD52" s="236">
        <f t="shared" si="199"/>
        <v>1192</v>
      </c>
      <c r="BE52" s="236">
        <f t="shared" ref="BE52" si="200">+BE57-BE49</f>
        <v>1213</v>
      </c>
      <c r="BF52" s="236">
        <f t="shared" ref="BF52:BI52" si="201">+BF53*BF25</f>
        <v>1176.8694041694689</v>
      </c>
      <c r="BG52" s="236">
        <f t="shared" si="201"/>
        <v>1172.8983994620039</v>
      </c>
      <c r="BH52" s="236">
        <f t="shared" si="201"/>
        <v>1173.7320820443847</v>
      </c>
      <c r="BI52" s="236">
        <f t="shared" si="201"/>
        <v>1185.4950006724948</v>
      </c>
      <c r="BK52" s="236"/>
    </row>
    <row r="53" spans="2:63" s="248" customFormat="1">
      <c r="B53" s="245" t="s">
        <v>309</v>
      </c>
      <c r="C53" s="246"/>
      <c r="D53" s="248">
        <f t="shared" ref="D53:I53" si="202">+D52/D$25</f>
        <v>0.15883616251360655</v>
      </c>
      <c r="E53" s="248">
        <f t="shared" si="202"/>
        <v>0.1628972830482581</v>
      </c>
      <c r="F53" s="248">
        <f t="shared" si="202"/>
        <v>0.17012959029765753</v>
      </c>
      <c r="G53" s="248">
        <f t="shared" si="202"/>
        <v>0.16755929609793421</v>
      </c>
      <c r="H53" s="248">
        <f t="shared" si="202"/>
        <v>0.16234928569016177</v>
      </c>
      <c r="I53" s="248">
        <f t="shared" si="202"/>
        <v>0.16314727639542703</v>
      </c>
      <c r="J53" s="228">
        <v>0.17499999999999999</v>
      </c>
      <c r="K53" s="228">
        <v>0.17499999999999999</v>
      </c>
      <c r="L53" s="228">
        <v>0.17499999999999999</v>
      </c>
      <c r="M53" s="228">
        <v>0.17499999999999999</v>
      </c>
      <c r="N53" s="228">
        <v>0.17499999999999999</v>
      </c>
      <c r="O53" s="228">
        <v>0.17499999999999999</v>
      </c>
      <c r="P53" s="228">
        <v>0.17499999999999999</v>
      </c>
      <c r="Q53" s="246"/>
      <c r="R53" s="246"/>
      <c r="S53" s="246"/>
      <c r="T53" s="246"/>
      <c r="U53" s="246"/>
      <c r="V53" s="246"/>
      <c r="W53" s="246"/>
      <c r="X53" s="246"/>
      <c r="Y53" s="246"/>
      <c r="Z53" s="246"/>
      <c r="AA53" s="246"/>
      <c r="AB53" s="246"/>
      <c r="AC53" s="246"/>
      <c r="AD53" s="246"/>
      <c r="AE53" s="246"/>
      <c r="AF53" s="246"/>
      <c r="AG53" s="246"/>
      <c r="AH53" s="246"/>
      <c r="AI53" s="246"/>
      <c r="AJ53" s="246"/>
      <c r="AK53" s="246"/>
      <c r="AL53" s="248">
        <f t="shared" ref="AL53:AS53" si="203">+AL52/AL$25</f>
        <v>0.1528542960965889</v>
      </c>
      <c r="AM53" s="248">
        <f t="shared" si="203"/>
        <v>0.15732708089097303</v>
      </c>
      <c r="AN53" s="248">
        <f t="shared" si="203"/>
        <v>0.16089781453041938</v>
      </c>
      <c r="AO53" s="248">
        <f t="shared" si="203"/>
        <v>0.16432368576491435</v>
      </c>
      <c r="AP53" s="248">
        <f t="shared" si="203"/>
        <v>0.16542438086078384</v>
      </c>
      <c r="AQ53" s="248">
        <f t="shared" si="203"/>
        <v>0.15898977751052315</v>
      </c>
      <c r="AR53" s="248">
        <f t="shared" si="203"/>
        <v>0.16413446584519678</v>
      </c>
      <c r="AS53" s="248">
        <f t="shared" si="203"/>
        <v>0.16303181980693601</v>
      </c>
      <c r="AT53" s="248">
        <f t="shared" ref="AT53:AY53" si="204">+AT52/AT$25</f>
        <v>0.16431463983310834</v>
      </c>
      <c r="AU53" s="248">
        <f t="shared" si="204"/>
        <v>0.16796056685150956</v>
      </c>
      <c r="AV53" s="248">
        <f t="shared" si="204"/>
        <v>0.17233337424818951</v>
      </c>
      <c r="AW53" s="248">
        <f t="shared" si="204"/>
        <v>0.17595344229816742</v>
      </c>
      <c r="AX53" s="248">
        <f t="shared" si="204"/>
        <v>0.17211574596016535</v>
      </c>
      <c r="AY53" s="248">
        <f t="shared" si="204"/>
        <v>0.17497768141818645</v>
      </c>
      <c r="AZ53" s="248">
        <f t="shared" ref="AZ53:BA53" si="205">+AZ52/AZ$25</f>
        <v>0.17546544248916093</v>
      </c>
      <c r="BA53" s="248">
        <f t="shared" si="205"/>
        <v>0.14723448454946766</v>
      </c>
      <c r="BB53" s="248">
        <f t="shared" ref="BB53:BC53" si="206">+BB52/BB$25</f>
        <v>0.16008624174639535</v>
      </c>
      <c r="BC53" s="248">
        <f t="shared" si="206"/>
        <v>0.16449864498644987</v>
      </c>
      <c r="BD53" s="248">
        <f t="shared" ref="BD53:BE53" si="207">+BD52/BD$25</f>
        <v>0.16167096161670963</v>
      </c>
      <c r="BE53" s="248">
        <f t="shared" si="207"/>
        <v>0.16314727639542703</v>
      </c>
      <c r="BF53" s="228">
        <f t="shared" ref="BF53" si="208">+BE53</f>
        <v>0.16314727639542703</v>
      </c>
      <c r="BG53" s="228">
        <f t="shared" ref="BG53" si="209">+BF53</f>
        <v>0.16314727639542703</v>
      </c>
      <c r="BH53" s="228">
        <f t="shared" ref="BH53" si="210">+BG53</f>
        <v>0.16314727639542703</v>
      </c>
      <c r="BI53" s="228">
        <f t="shared" ref="BI53" si="211">+BH53</f>
        <v>0.16314727639542703</v>
      </c>
    </row>
    <row r="54" spans="2:63" s="248" customFormat="1" hidden="1" outlineLevel="1">
      <c r="B54" s="298" t="s">
        <v>342</v>
      </c>
      <c r="C54" s="246"/>
      <c r="J54" s="192"/>
      <c r="K54" s="192"/>
      <c r="L54" s="192"/>
      <c r="M54" s="192"/>
      <c r="N54" s="192"/>
      <c r="O54" s="192"/>
      <c r="P54" s="192"/>
      <c r="Q54" s="246"/>
      <c r="R54" s="189"/>
      <c r="S54" s="189"/>
      <c r="T54" s="189"/>
      <c r="U54" s="189"/>
      <c r="V54" s="189"/>
      <c r="W54" s="189"/>
      <c r="X54" s="189"/>
      <c r="Y54" s="189"/>
      <c r="Z54" s="189"/>
      <c r="AA54" s="189"/>
      <c r="AB54" s="189"/>
      <c r="AC54" s="189"/>
      <c r="AD54" s="189"/>
      <c r="AE54" s="189"/>
      <c r="AF54" s="189"/>
      <c r="AG54" s="189"/>
      <c r="AH54" s="189"/>
      <c r="AI54" s="189"/>
      <c r="AJ54" s="189"/>
      <c r="AK54" s="189"/>
      <c r="AL54" s="155"/>
      <c r="AM54" s="207">
        <f t="shared" ref="AM54:BE54" si="212">+AM52-AL52</f>
        <v>38</v>
      </c>
      <c r="AN54" s="207">
        <f t="shared" si="212"/>
        <v>20</v>
      </c>
      <c r="AO54" s="207">
        <f t="shared" si="212"/>
        <v>29</v>
      </c>
      <c r="AP54" s="207">
        <f t="shared" si="212"/>
        <v>-15</v>
      </c>
      <c r="AQ54" s="207">
        <f t="shared" si="212"/>
        <v>-54</v>
      </c>
      <c r="AR54" s="207">
        <f t="shared" si="212"/>
        <v>50</v>
      </c>
      <c r="AS54" s="207">
        <f t="shared" si="212"/>
        <v>-4</v>
      </c>
      <c r="AT54" s="207">
        <f t="shared" si="212"/>
        <v>-29</v>
      </c>
      <c r="AU54" s="207">
        <f t="shared" si="212"/>
        <v>24</v>
      </c>
      <c r="AV54" s="207">
        <f t="shared" si="212"/>
        <v>41</v>
      </c>
      <c r="AW54" s="207">
        <f t="shared" si="212"/>
        <v>17</v>
      </c>
      <c r="AX54" s="207">
        <f t="shared" si="212"/>
        <v>-47</v>
      </c>
      <c r="AY54" s="207">
        <f t="shared" si="212"/>
        <v>-2</v>
      </c>
      <c r="AZ54" s="207">
        <f t="shared" si="212"/>
        <v>4</v>
      </c>
      <c r="BA54" s="207">
        <f t="shared" si="212"/>
        <v>-242</v>
      </c>
      <c r="BB54" s="207">
        <f t="shared" si="212"/>
        <v>54</v>
      </c>
      <c r="BC54" s="207">
        <f t="shared" si="212"/>
        <v>26</v>
      </c>
      <c r="BD54" s="207">
        <f t="shared" si="212"/>
        <v>-22</v>
      </c>
      <c r="BE54" s="207">
        <f t="shared" si="212"/>
        <v>21</v>
      </c>
      <c r="BF54" s="207">
        <f t="shared" ref="BF54" si="213">+BF52-BE52</f>
        <v>-36.130595830531092</v>
      </c>
      <c r="BG54" s="207">
        <f t="shared" ref="BG54" si="214">+BG52-BF52</f>
        <v>-3.9710047074649992</v>
      </c>
      <c r="BH54" s="207">
        <f t="shared" ref="BH54" si="215">+BH52-BG52</f>
        <v>0.83368258238078852</v>
      </c>
      <c r="BI54" s="207">
        <f t="shared" ref="BI54" si="216">+BI52-BH52</f>
        <v>11.762918628110128</v>
      </c>
    </row>
    <row r="55" spans="2:63" s="278" customFormat="1" hidden="1" outlineLevel="1">
      <c r="B55" s="298" t="s">
        <v>343</v>
      </c>
      <c r="C55" s="243"/>
      <c r="E55" s="278">
        <f t="shared" ref="E55:J55" si="217">+E52-D52</f>
        <v>39</v>
      </c>
      <c r="F55" s="278">
        <f t="shared" si="217"/>
        <v>89</v>
      </c>
      <c r="G55" s="278">
        <f t="shared" si="217"/>
        <v>-271</v>
      </c>
      <c r="H55" s="278">
        <f t="shared" si="217"/>
        <v>-449</v>
      </c>
      <c r="I55" s="278">
        <f t="shared" si="217"/>
        <v>-98.005113651647662</v>
      </c>
      <c r="J55" s="205">
        <f t="shared" si="217"/>
        <v>246.13554827664757</v>
      </c>
      <c r="K55" s="205">
        <f t="shared" ref="K55" si="218">+K52-J52</f>
        <v>-70.850749106374678</v>
      </c>
      <c r="L55" s="205">
        <f t="shared" ref="L55" si="219">+L52-K52</f>
        <v>-53.823842667246026</v>
      </c>
      <c r="M55" s="205">
        <f t="shared" ref="M55" si="220">+M52-L52</f>
        <v>-43.788584993721997</v>
      </c>
      <c r="N55" s="205">
        <f t="shared" ref="N55" si="221">+N52-M52</f>
        <v>-39.752533967823183</v>
      </c>
      <c r="O55" s="205">
        <f t="shared" ref="O55" si="222">+O52-N52</f>
        <v>-40.798023902182649</v>
      </c>
      <c r="P55" s="205">
        <f t="shared" ref="P55" si="223">+P52-O52</f>
        <v>-46.056168224419707</v>
      </c>
      <c r="Q55" s="243"/>
      <c r="R55" s="202"/>
      <c r="S55" s="202"/>
      <c r="T55" s="202"/>
      <c r="U55" s="202"/>
      <c r="V55" s="202"/>
      <c r="W55" s="202"/>
      <c r="X55" s="202"/>
      <c r="Y55" s="202"/>
      <c r="Z55" s="202"/>
      <c r="AA55" s="202"/>
      <c r="AB55" s="202"/>
      <c r="AC55" s="202"/>
      <c r="AD55" s="202"/>
      <c r="AE55" s="202"/>
      <c r="AF55" s="202"/>
      <c r="AG55" s="202"/>
      <c r="AH55" s="202"/>
      <c r="AI55" s="202"/>
      <c r="AJ55" s="202"/>
      <c r="AK55" s="202"/>
      <c r="AL55" s="155"/>
      <c r="AM55" s="155"/>
      <c r="AN55" s="155"/>
      <c r="AO55" s="207"/>
      <c r="AP55" s="207">
        <f t="shared" ref="AP55:BE55" si="224">+AP52-AL52</f>
        <v>72</v>
      </c>
      <c r="AQ55" s="207">
        <f t="shared" si="224"/>
        <v>-20</v>
      </c>
      <c r="AR55" s="207">
        <f t="shared" si="224"/>
        <v>10</v>
      </c>
      <c r="AS55" s="207">
        <f t="shared" si="224"/>
        <v>-23</v>
      </c>
      <c r="AT55" s="207">
        <f t="shared" si="224"/>
        <v>-37</v>
      </c>
      <c r="AU55" s="207">
        <f t="shared" si="224"/>
        <v>41</v>
      </c>
      <c r="AV55" s="207">
        <f t="shared" si="224"/>
        <v>32</v>
      </c>
      <c r="AW55" s="207">
        <f t="shared" si="224"/>
        <v>53</v>
      </c>
      <c r="AX55" s="207">
        <f t="shared" si="224"/>
        <v>35</v>
      </c>
      <c r="AY55" s="207">
        <f t="shared" si="224"/>
        <v>9</v>
      </c>
      <c r="AZ55" s="207">
        <f t="shared" si="224"/>
        <v>-28</v>
      </c>
      <c r="BA55" s="207">
        <f t="shared" si="224"/>
        <v>-287</v>
      </c>
      <c r="BB55" s="207">
        <f t="shared" si="224"/>
        <v>-186</v>
      </c>
      <c r="BC55" s="207">
        <f t="shared" si="224"/>
        <v>-158</v>
      </c>
      <c r="BD55" s="207">
        <f t="shared" si="224"/>
        <v>-184</v>
      </c>
      <c r="BE55" s="207">
        <f t="shared" si="224"/>
        <v>79</v>
      </c>
      <c r="BF55" s="207">
        <f t="shared" ref="BF55" si="225">+BF52-BB52</f>
        <v>-11.130595830531092</v>
      </c>
      <c r="BG55" s="207">
        <f t="shared" ref="BG55" si="226">+BG52-BC52</f>
        <v>-41.101600537996092</v>
      </c>
      <c r="BH55" s="207">
        <f t="shared" ref="BH55" si="227">+BH52-BD52</f>
        <v>-18.267917955615303</v>
      </c>
      <c r="BI55" s="207">
        <f t="shared" ref="BI55" si="228">+BI52-BE52</f>
        <v>-27.504999327505175</v>
      </c>
    </row>
    <row r="56" spans="2:63" collapsed="1"/>
    <row r="57" spans="2:63" s="236" customFormat="1">
      <c r="B57" s="255" t="s">
        <v>274</v>
      </c>
      <c r="C57" s="274"/>
      <c r="D57" s="256">
        <f t="shared" ref="D57:J57" si="229">+D49+D52</f>
        <v>8965</v>
      </c>
      <c r="E57" s="256">
        <f t="shared" si="229"/>
        <v>9355</v>
      </c>
      <c r="F57" s="256">
        <f t="shared" si="229"/>
        <v>9789</v>
      </c>
      <c r="G57" s="256">
        <f>+G49+G52</f>
        <v>9832</v>
      </c>
      <c r="H57" s="256">
        <f>+H49+H52</f>
        <v>9327</v>
      </c>
      <c r="I57" s="256">
        <f ca="1">+I49+I52</f>
        <v>8909.4276832956311</v>
      </c>
      <c r="J57" s="256">
        <f t="shared" ca="1" si="229"/>
        <v>9167.7466267381988</v>
      </c>
      <c r="K57" s="256">
        <f t="shared" ref="K57:P57" ca="1" si="230">+K49+K52</f>
        <v>9138.1864773872367</v>
      </c>
      <c r="L57" s="256">
        <f t="shared" ca="1" si="230"/>
        <v>9117.6688427245026</v>
      </c>
      <c r="M57" s="256">
        <f t="shared" ca="1" si="230"/>
        <v>9096.2513622673596</v>
      </c>
      <c r="N57" s="256">
        <f t="shared" ca="1" si="230"/>
        <v>9057.8429695745835</v>
      </c>
      <c r="O57" s="256">
        <f t="shared" ca="1" si="230"/>
        <v>9003.035573096633</v>
      </c>
      <c r="P57" s="256">
        <f t="shared" ca="1" si="230"/>
        <v>8926.0049339483485</v>
      </c>
      <c r="Q57" s="274"/>
      <c r="R57" s="274"/>
      <c r="S57" s="274"/>
      <c r="T57" s="274"/>
      <c r="U57" s="274"/>
      <c r="V57" s="274"/>
      <c r="W57" s="274"/>
      <c r="X57" s="274"/>
      <c r="Y57" s="274"/>
      <c r="Z57" s="274"/>
      <c r="AA57" s="274"/>
      <c r="AB57" s="274"/>
      <c r="AC57" s="274"/>
      <c r="AD57" s="274"/>
      <c r="AE57" s="274"/>
      <c r="AF57" s="274"/>
      <c r="AG57" s="274"/>
      <c r="AH57" s="274"/>
      <c r="AI57" s="274"/>
      <c r="AJ57" s="274"/>
      <c r="AK57" s="274"/>
      <c r="AL57" s="257">
        <v>2170</v>
      </c>
      <c r="AM57" s="257">
        <v>2218</v>
      </c>
      <c r="AN57" s="257">
        <v>2261</v>
      </c>
      <c r="AO57" s="257">
        <v>2316</v>
      </c>
      <c r="AP57" s="257">
        <v>2364</v>
      </c>
      <c r="AQ57" s="257">
        <v>2314</v>
      </c>
      <c r="AR57" s="257">
        <v>2331</v>
      </c>
      <c r="AS57" s="257">
        <v>2346</v>
      </c>
      <c r="AT57" s="257">
        <v>2342</v>
      </c>
      <c r="AU57" s="257">
        <v>2460</v>
      </c>
      <c r="AV57" s="257">
        <v>2474</v>
      </c>
      <c r="AW57" s="257">
        <v>2513</v>
      </c>
      <c r="AX57" s="257">
        <v>2508</v>
      </c>
      <c r="AY57" s="257">
        <v>2521</v>
      </c>
      <c r="AZ57" s="257">
        <v>2539</v>
      </c>
      <c r="BA57" s="257">
        <v>2264</v>
      </c>
      <c r="BB57" s="257">
        <v>2312</v>
      </c>
      <c r="BC57" s="257">
        <v>2335</v>
      </c>
      <c r="BD57" s="257">
        <v>2325</v>
      </c>
      <c r="BE57" s="257">
        <f>2354+1</f>
        <v>2355</v>
      </c>
      <c r="BF57" s="256">
        <f t="shared" ref="BF57:BI57" ca="1" si="231">+BF49+BF52</f>
        <v>2192.0769649733197</v>
      </c>
      <c r="BG57" s="256">
        <f t="shared" ca="1" si="231"/>
        <v>2196.932773593011</v>
      </c>
      <c r="BH57" s="256">
        <f t="shared" ca="1" si="231"/>
        <v>2199.9848417677595</v>
      </c>
      <c r="BI57" s="256">
        <f t="shared" ca="1" si="231"/>
        <v>2320.4331029615414</v>
      </c>
    </row>
    <row r="58" spans="2:63" s="248" customFormat="1">
      <c r="B58" s="245" t="s">
        <v>273</v>
      </c>
      <c r="C58" s="246"/>
      <c r="D58" s="259">
        <f t="shared" ref="D58:J58" si="232">+D57/D$27</f>
        <v>0.13252620219669756</v>
      </c>
      <c r="E58" s="259">
        <f t="shared" si="232"/>
        <v>0.13249582188482564</v>
      </c>
      <c r="F58" s="259">
        <f t="shared" si="232"/>
        <v>0.13762706145345649</v>
      </c>
      <c r="G58" s="259">
        <f>+G57/G$27</f>
        <v>0.13850228207584381</v>
      </c>
      <c r="H58" s="259">
        <f>+H57/H$27</f>
        <v>0.13438319453649542</v>
      </c>
      <c r="I58" s="259">
        <f ca="1">+I57/I$27</f>
        <v>0.12881449343889539</v>
      </c>
      <c r="J58" s="259">
        <f t="shared" ca="1" si="232"/>
        <v>0.13468886005052089</v>
      </c>
      <c r="K58" s="259">
        <f t="shared" ref="K58:P58" ca="1" si="233">+K57/K$27</f>
        <v>0.13562036460340152</v>
      </c>
      <c r="L58" s="259">
        <f t="shared" ca="1" si="233"/>
        <v>0.1366521268962344</v>
      </c>
      <c r="M58" s="259">
        <f t="shared" ca="1" si="233"/>
        <v>0.1377634081141085</v>
      </c>
      <c r="N58" s="259">
        <f t="shared" ca="1" si="233"/>
        <v>0.13896736322607134</v>
      </c>
      <c r="O58" s="259">
        <f t="shared" ca="1" si="233"/>
        <v>0.14022754862954137</v>
      </c>
      <c r="P58" s="259">
        <f t="shared" ca="1" si="233"/>
        <v>0.14154232310726003</v>
      </c>
      <c r="Q58" s="246"/>
      <c r="R58" s="246"/>
      <c r="S58" s="246"/>
      <c r="T58" s="246"/>
      <c r="U58" s="246"/>
      <c r="V58" s="246"/>
      <c r="W58" s="246"/>
      <c r="X58" s="246"/>
      <c r="Y58" s="246"/>
      <c r="Z58" s="246"/>
      <c r="AA58" s="246"/>
      <c r="AB58" s="246"/>
      <c r="AC58" s="246"/>
      <c r="AD58" s="246"/>
      <c r="AE58" s="246"/>
      <c r="AF58" s="246"/>
      <c r="AG58" s="246"/>
      <c r="AH58" s="246"/>
      <c r="AI58" s="246"/>
      <c r="AJ58" s="246"/>
      <c r="AK58" s="246"/>
      <c r="AL58" s="248">
        <f t="shared" ref="AL58:AV58" si="234">+AL57/AL$27</f>
        <v>0.13298198308616252</v>
      </c>
      <c r="AM58" s="248">
        <f t="shared" si="234"/>
        <v>0.13229943334327468</v>
      </c>
      <c r="AN58" s="248">
        <f t="shared" si="234"/>
        <v>0.13293744120413922</v>
      </c>
      <c r="AO58" s="248">
        <f t="shared" si="234"/>
        <v>0.1319207108680793</v>
      </c>
      <c r="AP58" s="248">
        <f t="shared" si="234"/>
        <v>0.13630073800738007</v>
      </c>
      <c r="AQ58" s="248">
        <f t="shared" si="234"/>
        <v>0.13575032265634165</v>
      </c>
      <c r="AR58" s="248">
        <f t="shared" si="234"/>
        <v>0.13329902213072567</v>
      </c>
      <c r="AS58" s="248">
        <f t="shared" si="234"/>
        <v>0.12526029152650969</v>
      </c>
      <c r="AT58" s="248">
        <f t="shared" si="234"/>
        <v>0.13339408782821666</v>
      </c>
      <c r="AU58" s="248">
        <f t="shared" si="234"/>
        <v>0.13926630434782608</v>
      </c>
      <c r="AV58" s="248">
        <f t="shared" si="234"/>
        <v>0.13983721456025322</v>
      </c>
      <c r="AW58" s="248">
        <f t="shared" ref="AW58:BB58" si="235">+AW57/AW$27</f>
        <v>0.13797079169869331</v>
      </c>
      <c r="AX58" s="248">
        <f t="shared" si="235"/>
        <v>0.14242716792549265</v>
      </c>
      <c r="AY58" s="248">
        <f t="shared" si="235"/>
        <v>0.14340975027020877</v>
      </c>
      <c r="AZ58" s="248">
        <f t="shared" si="235"/>
        <v>0.14290538639049924</v>
      </c>
      <c r="BA58" s="248">
        <f t="shared" si="235"/>
        <v>0.12554760716464261</v>
      </c>
      <c r="BB58" s="248">
        <f t="shared" si="235"/>
        <v>0.13722697056030389</v>
      </c>
      <c r="BC58" s="248">
        <f t="shared" ref="BC58:BD58" si="236">+BC57/BC$27</f>
        <v>0.1364938329338867</v>
      </c>
      <c r="BD58" s="248">
        <f t="shared" si="236"/>
        <v>0.13627571654650958</v>
      </c>
      <c r="BE58" s="248">
        <f t="shared" ref="BE58" si="237">+BE57/BE$27</f>
        <v>0.12805872756933115</v>
      </c>
      <c r="BF58" s="248">
        <f t="shared" ref="BF58:BI58" ca="1" si="238">+BF57/BF$27</f>
        <v>0.12928610309586461</v>
      </c>
      <c r="BG58" s="248">
        <f t="shared" ca="1" si="238"/>
        <v>0.12911728757884813</v>
      </c>
      <c r="BH58" s="248">
        <f t="shared" ca="1" si="238"/>
        <v>0.12909806980143887</v>
      </c>
      <c r="BI58" s="248">
        <f t="shared" ca="1" si="238"/>
        <v>0.12782399930429633</v>
      </c>
    </row>
    <row r="60" spans="2:63" s="252" customFormat="1" ht="15.75" thickBot="1">
      <c r="B60" s="156" t="s">
        <v>4</v>
      </c>
      <c r="C60" s="247"/>
      <c r="D60" s="200">
        <f t="shared" ref="D60:J60" si="239">+D45-D57</f>
        <v>15240</v>
      </c>
      <c r="E60" s="200">
        <f t="shared" si="239"/>
        <v>15425</v>
      </c>
      <c r="F60" s="200">
        <f t="shared" si="239"/>
        <v>16392</v>
      </c>
      <c r="G60" s="200">
        <f>+G45-G57</f>
        <v>16826</v>
      </c>
      <c r="H60" s="200">
        <f>+H45-H57</f>
        <v>17150</v>
      </c>
      <c r="I60" s="200">
        <f ca="1">+I45-I57</f>
        <v>18698.59941623114</v>
      </c>
      <c r="J60" s="200">
        <f t="shared" ca="1" si="239"/>
        <v>18873.776813905715</v>
      </c>
      <c r="K60" s="200">
        <f t="shared" ref="K60:P60" ca="1" si="240">+K45-K57</f>
        <v>18331.692796951902</v>
      </c>
      <c r="L60" s="200">
        <f t="shared" ca="1" si="240"/>
        <v>17784.08408853352</v>
      </c>
      <c r="M60" s="200">
        <f t="shared" ca="1" si="240"/>
        <v>17605.981841316956</v>
      </c>
      <c r="N60" s="200">
        <f t="shared" ca="1" si="240"/>
        <v>17377.787979734185</v>
      </c>
      <c r="O60" s="200">
        <f t="shared" ca="1" si="240"/>
        <v>17109.758591062506</v>
      </c>
      <c r="P60" s="200">
        <f t="shared" ca="1" si="240"/>
        <v>16791.794753162303</v>
      </c>
      <c r="Q60" s="247"/>
      <c r="R60" s="167"/>
      <c r="S60" s="167"/>
      <c r="T60" s="167"/>
      <c r="U60" s="167"/>
      <c r="V60" s="167"/>
      <c r="W60" s="167"/>
      <c r="X60" s="167"/>
      <c r="Y60" s="167"/>
      <c r="Z60" s="167"/>
      <c r="AA60" s="167"/>
      <c r="AB60" s="167"/>
      <c r="AC60" s="167"/>
      <c r="AD60" s="167"/>
      <c r="AE60" s="167"/>
      <c r="AF60" s="167"/>
      <c r="AG60" s="167"/>
      <c r="AH60" s="167"/>
      <c r="AI60" s="167"/>
      <c r="AJ60" s="167"/>
      <c r="AK60" s="167"/>
      <c r="AL60" s="156">
        <f t="shared" ref="AL60:AV60" si="241">+AL45-AL57</f>
        <v>3894</v>
      </c>
      <c r="AM60" s="156">
        <f t="shared" si="241"/>
        <v>3777</v>
      </c>
      <c r="AN60" s="156">
        <f t="shared" si="241"/>
        <v>3966</v>
      </c>
      <c r="AO60" s="156">
        <f t="shared" si="241"/>
        <v>3603</v>
      </c>
      <c r="AP60" s="156">
        <f t="shared" si="241"/>
        <v>4266</v>
      </c>
      <c r="AQ60" s="156">
        <f t="shared" si="241"/>
        <v>3905</v>
      </c>
      <c r="AR60" s="156">
        <f t="shared" si="241"/>
        <v>3861</v>
      </c>
      <c r="AS60" s="156">
        <f t="shared" si="241"/>
        <v>3393</v>
      </c>
      <c r="AT60" s="156">
        <f t="shared" si="241"/>
        <v>4142</v>
      </c>
      <c r="AU60" s="156">
        <f t="shared" si="241"/>
        <v>4232</v>
      </c>
      <c r="AV60" s="156">
        <f t="shared" si="241"/>
        <v>4297</v>
      </c>
      <c r="AW60" s="156">
        <f t="shared" ref="AW60:BB60" si="242">+AW45-AW57</f>
        <v>3721</v>
      </c>
      <c r="AX60" s="156">
        <f t="shared" si="242"/>
        <v>4299</v>
      </c>
      <c r="AY60" s="156">
        <f t="shared" si="242"/>
        <v>4201</v>
      </c>
      <c r="AZ60" s="156">
        <f t="shared" si="242"/>
        <v>4303</v>
      </c>
      <c r="BA60" s="156">
        <f t="shared" si="242"/>
        <v>4023</v>
      </c>
      <c r="BB60" s="156">
        <f t="shared" si="242"/>
        <v>4360</v>
      </c>
      <c r="BC60" s="156">
        <f t="shared" ref="BC60:BD60" si="243">+BC45-BC57</f>
        <v>4459</v>
      </c>
      <c r="BD60" s="156">
        <f t="shared" si="243"/>
        <v>4503</v>
      </c>
      <c r="BE60" s="156">
        <f t="shared" ref="BE60" si="244">+BE45-BE57</f>
        <v>3828</v>
      </c>
      <c r="BF60" s="156">
        <f t="shared" ref="BF60:BI60" ca="1" si="245">+BF45-BF57</f>
        <v>4873.871868444543</v>
      </c>
      <c r="BG60" s="156">
        <f t="shared" ca="1" si="245"/>
        <v>4860.9018725461738</v>
      </c>
      <c r="BH60" s="156">
        <f t="shared" ca="1" si="245"/>
        <v>4906.4051553074323</v>
      </c>
      <c r="BI60" s="156">
        <f t="shared" ca="1" si="245"/>
        <v>4057.4205199329999</v>
      </c>
      <c r="BK60" s="236"/>
    </row>
    <row r="61" spans="2:63" s="248" customFormat="1" ht="15.75" thickTop="1">
      <c r="B61" s="245" t="s">
        <v>258</v>
      </c>
      <c r="C61" s="246"/>
      <c r="D61" s="259">
        <f t="shared" ref="D61:J61" si="246">+D60/D$27</f>
        <v>0.2252871524236108</v>
      </c>
      <c r="E61" s="259">
        <f t="shared" si="246"/>
        <v>0.21846585276038863</v>
      </c>
      <c r="F61" s="259">
        <f t="shared" si="246"/>
        <v>0.23046100636888944</v>
      </c>
      <c r="G61" s="259">
        <f>+G60/G$27</f>
        <v>0.23702597622133317</v>
      </c>
      <c r="H61" s="259">
        <f>+H60/H$27</f>
        <v>0.24709679278448549</v>
      </c>
      <c r="I61" s="259">
        <f ca="1">+I60/I$27</f>
        <v>0.27034852264805304</v>
      </c>
      <c r="J61" s="259">
        <f t="shared" ca="1" si="246"/>
        <v>0.27728596648807741</v>
      </c>
      <c r="K61" s="259">
        <f t="shared" ref="K61:P61" ca="1" si="247">+K60/K$27</f>
        <v>0.27206173424806268</v>
      </c>
      <c r="L61" s="259">
        <f t="shared" ca="1" si="247"/>
        <v>0.26654103779375632</v>
      </c>
      <c r="M61" s="259">
        <f t="shared" ca="1" si="247"/>
        <v>0.26664391352641265</v>
      </c>
      <c r="N61" s="259">
        <f t="shared" ca="1" si="247"/>
        <v>0.26661373821087547</v>
      </c>
      <c r="O61" s="259">
        <f t="shared" ca="1" si="247"/>
        <v>0.26649450459104373</v>
      </c>
      <c r="P61" s="259">
        <f t="shared" ca="1" si="247"/>
        <v>0.26627249884921983</v>
      </c>
      <c r="Q61" s="246"/>
      <c r="R61" s="246"/>
      <c r="S61" s="246"/>
      <c r="T61" s="246"/>
      <c r="U61" s="246"/>
      <c r="V61" s="246"/>
      <c r="W61" s="246"/>
      <c r="X61" s="246"/>
      <c r="Y61" s="246"/>
      <c r="Z61" s="246"/>
      <c r="AA61" s="246"/>
      <c r="AB61" s="246"/>
      <c r="AC61" s="246"/>
      <c r="AD61" s="246"/>
      <c r="AE61" s="246"/>
      <c r="AF61" s="246"/>
      <c r="AG61" s="246"/>
      <c r="AH61" s="246"/>
      <c r="AI61" s="246"/>
      <c r="AJ61" s="246"/>
      <c r="AK61" s="246"/>
      <c r="AL61" s="248">
        <f t="shared" ref="AL61:AV61" si="248">+AL60/AL$27</f>
        <v>0.23863218531682803</v>
      </c>
      <c r="AM61" s="248">
        <f t="shared" si="248"/>
        <v>0.22529078437220398</v>
      </c>
      <c r="AN61" s="248">
        <f t="shared" si="248"/>
        <v>0.23318438381937912</v>
      </c>
      <c r="AO61" s="248">
        <f t="shared" si="248"/>
        <v>0.20522898154477101</v>
      </c>
      <c r="AP61" s="248">
        <f t="shared" si="248"/>
        <v>0.24596402214022139</v>
      </c>
      <c r="AQ61" s="248">
        <f t="shared" si="248"/>
        <v>0.22908600258125073</v>
      </c>
      <c r="AR61" s="248">
        <f t="shared" si="248"/>
        <v>0.22079258878023675</v>
      </c>
      <c r="AS61" s="248">
        <f t="shared" si="248"/>
        <v>0.18116290245074484</v>
      </c>
      <c r="AT61" s="248">
        <f t="shared" si="248"/>
        <v>0.23591729794384006</v>
      </c>
      <c r="AU61" s="248">
        <f t="shared" si="248"/>
        <v>0.23958333333333334</v>
      </c>
      <c r="AV61" s="248">
        <f t="shared" si="248"/>
        <v>0.24287813701107847</v>
      </c>
      <c r="AW61" s="248">
        <f t="shared" ref="AW61:BB61" si="249">+AW60/AW$27</f>
        <v>0.20429340068079499</v>
      </c>
      <c r="AX61" s="248">
        <f t="shared" si="249"/>
        <v>0.24413652109716621</v>
      </c>
      <c r="AY61" s="248">
        <f t="shared" si="249"/>
        <v>0.23897832641219638</v>
      </c>
      <c r="AZ61" s="248">
        <f t="shared" si="249"/>
        <v>0.24219057803793551</v>
      </c>
      <c r="BA61" s="248">
        <f t="shared" si="249"/>
        <v>0.22309099983363834</v>
      </c>
      <c r="BB61" s="248">
        <f t="shared" si="249"/>
        <v>0.25878442545109209</v>
      </c>
      <c r="BC61" s="248">
        <f t="shared" ref="BC61:BD61" si="250">+BC60/BC$27</f>
        <v>0.26065353364119953</v>
      </c>
      <c r="BD61" s="248">
        <f t="shared" si="250"/>
        <v>0.26393529101459468</v>
      </c>
      <c r="BE61" s="248">
        <f t="shared" ref="BE61" si="251">+BE60/BE$27</f>
        <v>0.20815660685154977</v>
      </c>
      <c r="BF61" s="259">
        <f t="shared" ref="BF61:BI61" ca="1" si="252">+BF60/BF$27</f>
        <v>0.28745519018189436</v>
      </c>
      <c r="BG61" s="259">
        <f t="shared" ca="1" si="252"/>
        <v>0.28568305435384045</v>
      </c>
      <c r="BH61" s="259">
        <f t="shared" ca="1" si="252"/>
        <v>0.28791445431281015</v>
      </c>
      <c r="BI61" s="259">
        <f t="shared" ca="1" si="252"/>
        <v>0.22350815330777032</v>
      </c>
    </row>
    <row r="62" spans="2:63" s="248" customFormat="1">
      <c r="B62" s="245" t="s">
        <v>252</v>
      </c>
      <c r="C62" s="246"/>
      <c r="D62" s="259"/>
      <c r="E62" s="259">
        <f t="shared" ref="E62:J62" si="253">+E60/D60-1</f>
        <v>1.2139107611548461E-2</v>
      </c>
      <c r="F62" s="259">
        <f t="shared" si="253"/>
        <v>6.2690437601296667E-2</v>
      </c>
      <c r="G62" s="259">
        <f t="shared" si="253"/>
        <v>2.6476329917032748E-2</v>
      </c>
      <c r="H62" s="259">
        <f t="shared" si="253"/>
        <v>1.9255913467252972E-2</v>
      </c>
      <c r="I62" s="259">
        <f t="shared" ca="1" si="253"/>
        <v>9.029734205429385E-2</v>
      </c>
      <c r="J62" s="259">
        <f t="shared" ca="1" si="253"/>
        <v>9.3684769524777778E-3</v>
      </c>
      <c r="K62" s="259">
        <f t="shared" ref="K62" ca="1" si="254">+K60/J60-1</f>
        <v>-2.8721544304498692E-2</v>
      </c>
      <c r="L62" s="259">
        <f t="shared" ref="L62" ca="1" si="255">+L60/K60-1</f>
        <v>-2.9872238995268141E-2</v>
      </c>
      <c r="M62" s="259">
        <f t="shared" ref="M62" ca="1" si="256">+M60/L60-1</f>
        <v>-1.0014698891993912E-2</v>
      </c>
      <c r="N62" s="259">
        <f t="shared" ref="N62" ca="1" si="257">+N60/M60-1</f>
        <v>-1.29611551141815E-2</v>
      </c>
      <c r="O62" s="259">
        <f t="shared" ref="O62" ca="1" si="258">+O60/N60-1</f>
        <v>-1.5423676994117619E-2</v>
      </c>
      <c r="P62" s="259">
        <f t="shared" ref="P62" ca="1" si="259">+P60/O60-1</f>
        <v>-1.8583771139020877E-2</v>
      </c>
      <c r="Q62" s="246"/>
      <c r="R62" s="246"/>
      <c r="S62" s="246"/>
      <c r="T62" s="246"/>
      <c r="U62" s="246"/>
      <c r="V62" s="246"/>
      <c r="W62" s="246"/>
      <c r="X62" s="246"/>
      <c r="Y62" s="246"/>
      <c r="Z62" s="246"/>
      <c r="AA62" s="246"/>
      <c r="AB62" s="246"/>
      <c r="AC62" s="246"/>
      <c r="AD62" s="246"/>
      <c r="AE62" s="246"/>
      <c r="AF62" s="246"/>
      <c r="AG62" s="246"/>
      <c r="AH62" s="246"/>
      <c r="AI62" s="246"/>
      <c r="AJ62" s="246"/>
      <c r="AK62" s="246"/>
      <c r="AP62" s="248">
        <f>+AP60/AL60-1</f>
        <v>9.5531587057010814E-2</v>
      </c>
      <c r="AQ62" s="248">
        <f t="shared" ref="AQ62:BE62" si="260">+AQ60/AM60-1</f>
        <v>3.3889330156208652E-2</v>
      </c>
      <c r="AR62" s="248">
        <f t="shared" si="260"/>
        <v>-2.6475037821482639E-2</v>
      </c>
      <c r="AS62" s="248">
        <f t="shared" si="260"/>
        <v>-5.8284762697751846E-2</v>
      </c>
      <c r="AT62" s="248">
        <f t="shared" si="260"/>
        <v>-2.9067041725269527E-2</v>
      </c>
      <c r="AU62" s="248">
        <f t="shared" si="260"/>
        <v>8.3738796414852823E-2</v>
      </c>
      <c r="AV62" s="248">
        <f t="shared" si="260"/>
        <v>0.11292411292411297</v>
      </c>
      <c r="AW62" s="248">
        <f t="shared" si="260"/>
        <v>9.6669613910993268E-2</v>
      </c>
      <c r="AX62" s="248">
        <f t="shared" si="260"/>
        <v>3.7904394012554299E-2</v>
      </c>
      <c r="AY62" s="248">
        <f t="shared" si="260"/>
        <v>-7.3251417769376603E-3</v>
      </c>
      <c r="AZ62" s="248">
        <f t="shared" si="260"/>
        <v>1.3963230160576323E-3</v>
      </c>
      <c r="BA62" s="248">
        <f t="shared" si="260"/>
        <v>8.1160978231658243E-2</v>
      </c>
      <c r="BB62" s="248">
        <f t="shared" si="260"/>
        <v>1.4189346359618549E-2</v>
      </c>
      <c r="BC62" s="248">
        <f t="shared" si="260"/>
        <v>6.1413949059747619E-2</v>
      </c>
      <c r="BD62" s="248">
        <f t="shared" si="260"/>
        <v>4.6479200557750344E-2</v>
      </c>
      <c r="BE62" s="248">
        <f t="shared" si="260"/>
        <v>-4.8471290082028329E-2</v>
      </c>
      <c r="BF62" s="248">
        <f t="shared" ref="BF62" ca="1" si="261">+BF60/BB60-1</f>
        <v>0.11786052028544569</v>
      </c>
      <c r="BG62" s="248">
        <f t="shared" ref="BG62" ca="1" si="262">+BG60/BC60-1</f>
        <v>9.0132736610489816E-2</v>
      </c>
      <c r="BH62" s="248">
        <f t="shared" ref="BH62" ca="1" si="263">+BH60/BD60-1</f>
        <v>8.9585866157546601E-2</v>
      </c>
      <c r="BI62" s="248">
        <f t="shared" ref="BI62" ca="1" si="264">+BI60/BE60-1</f>
        <v>5.9932215238505782E-2</v>
      </c>
    </row>
    <row r="63" spans="2:63" ht="15.75" thickBot="1"/>
    <row r="64" spans="2:63" s="251" customFormat="1" ht="15.75" thickBot="1">
      <c r="B64" s="194"/>
      <c r="C64" s="276"/>
      <c r="D64" s="195">
        <f>+D$6</f>
        <v>2013</v>
      </c>
      <c r="E64" s="196">
        <f t="shared" ref="E64:P64" si="265">+E$6</f>
        <v>2014</v>
      </c>
      <c r="F64" s="196">
        <f t="shared" si="265"/>
        <v>2015</v>
      </c>
      <c r="G64" s="196">
        <f t="shared" si="265"/>
        <v>2016</v>
      </c>
      <c r="H64" s="196">
        <f t="shared" si="265"/>
        <v>2017</v>
      </c>
      <c r="I64" s="196" t="str">
        <f t="shared" si="265"/>
        <v>2018E</v>
      </c>
      <c r="J64" s="196" t="str">
        <f t="shared" si="265"/>
        <v>2019E</v>
      </c>
      <c r="K64" s="196" t="str">
        <f t="shared" si="265"/>
        <v>2020E</v>
      </c>
      <c r="L64" s="196" t="str">
        <f t="shared" si="265"/>
        <v>2021E</v>
      </c>
      <c r="M64" s="196" t="str">
        <f t="shared" si="265"/>
        <v>2022E</v>
      </c>
      <c r="N64" s="196" t="str">
        <f t="shared" si="265"/>
        <v>2023E</v>
      </c>
      <c r="O64" s="196" t="str">
        <f t="shared" si="265"/>
        <v>2024E</v>
      </c>
      <c r="P64" s="197" t="str">
        <f t="shared" si="265"/>
        <v>2025E</v>
      </c>
      <c r="Q64" s="241"/>
      <c r="R64" s="242"/>
      <c r="S64" s="242"/>
      <c r="T64" s="242"/>
      <c r="U64" s="242"/>
      <c r="V64" s="242"/>
      <c r="W64" s="242"/>
      <c r="X64" s="242"/>
      <c r="Y64" s="242"/>
      <c r="Z64" s="242"/>
      <c r="AA64" s="242"/>
      <c r="AB64" s="242"/>
      <c r="AC64" s="242"/>
      <c r="AD64" s="242"/>
      <c r="AE64" s="242"/>
      <c r="AF64" s="242"/>
      <c r="AG64" s="242"/>
      <c r="AH64" s="242"/>
      <c r="AI64" s="242"/>
      <c r="AJ64" s="242"/>
      <c r="AK64" s="242"/>
      <c r="AL64" s="242" t="s">
        <v>248</v>
      </c>
      <c r="AM64" s="242" t="s">
        <v>249</v>
      </c>
      <c r="AN64" s="242" t="s">
        <v>250</v>
      </c>
      <c r="AO64" s="242" t="s">
        <v>251</v>
      </c>
      <c r="AP64" s="242" t="s">
        <v>156</v>
      </c>
      <c r="AQ64" s="242" t="s">
        <v>157</v>
      </c>
      <c r="AR64" s="242" t="s">
        <v>158</v>
      </c>
      <c r="AS64" s="242" t="s">
        <v>159</v>
      </c>
      <c r="AT64" s="196" t="str">
        <f>+AT$6</f>
        <v>1Q15</v>
      </c>
      <c r="AU64" s="196" t="str">
        <f t="shared" ref="AU64:BI64" si="266">+AU$6</f>
        <v>2Q15</v>
      </c>
      <c r="AV64" s="196" t="str">
        <f t="shared" si="266"/>
        <v>3Q15</v>
      </c>
      <c r="AW64" s="196" t="str">
        <f t="shared" si="266"/>
        <v>4Q15</v>
      </c>
      <c r="AX64" s="196" t="str">
        <f t="shared" si="266"/>
        <v>1Q16</v>
      </c>
      <c r="AY64" s="196" t="str">
        <f t="shared" si="266"/>
        <v>2Q16</v>
      </c>
      <c r="AZ64" s="196" t="str">
        <f t="shared" si="266"/>
        <v>3Q16</v>
      </c>
      <c r="BA64" s="196" t="str">
        <f t="shared" si="266"/>
        <v>4Q16</v>
      </c>
      <c r="BB64" s="196" t="str">
        <f t="shared" si="266"/>
        <v>1Q17</v>
      </c>
      <c r="BC64" s="196" t="str">
        <f t="shared" si="266"/>
        <v>2Q17</v>
      </c>
      <c r="BD64" s="196" t="str">
        <f t="shared" si="266"/>
        <v>3Q17</v>
      </c>
      <c r="BE64" s="196" t="str">
        <f t="shared" si="266"/>
        <v>4Q17</v>
      </c>
      <c r="BF64" s="196" t="str">
        <f t="shared" si="266"/>
        <v>1Q18E</v>
      </c>
      <c r="BG64" s="196" t="str">
        <f t="shared" si="266"/>
        <v>2Q18E</v>
      </c>
      <c r="BH64" s="196" t="str">
        <f t="shared" si="266"/>
        <v>3Q18E</v>
      </c>
      <c r="BI64" s="197" t="str">
        <f t="shared" si="266"/>
        <v>4Q18E</v>
      </c>
    </row>
    <row r="65" spans="2:63">
      <c r="AV65" s="236"/>
      <c r="AW65" s="236"/>
      <c r="AX65" s="236"/>
      <c r="AY65" s="236"/>
      <c r="AZ65" s="236"/>
      <c r="BA65" s="236"/>
      <c r="BB65" s="236"/>
      <c r="BC65" s="236"/>
      <c r="BD65" s="236"/>
      <c r="BE65" s="236"/>
    </row>
    <row r="66" spans="2:63" s="236" customFormat="1">
      <c r="B66" s="236" t="s">
        <v>33</v>
      </c>
      <c r="C66" s="274"/>
      <c r="D66" s="295">
        <f>+AO66</f>
        <v>40811</v>
      </c>
      <c r="E66" s="295">
        <f>+AS66</f>
        <v>45160</v>
      </c>
      <c r="F66" s="295">
        <f>+AW66</f>
        <v>48290</v>
      </c>
      <c r="G66" s="295">
        <f>+BA66</f>
        <v>50688</v>
      </c>
      <c r="H66" s="295">
        <f>+BE66</f>
        <v>51811</v>
      </c>
      <c r="I66" s="295">
        <f ca="1">+BI66</f>
        <v>52012.113713360042</v>
      </c>
      <c r="J66" s="295">
        <f ca="1">+J86</f>
        <v>52237.993774854105</v>
      </c>
      <c r="K66" s="295">
        <f t="shared" ref="K66:P66" ca="1" si="267">+K86</f>
        <v>52438.325341941862</v>
      </c>
      <c r="L66" s="295">
        <f t="shared" ca="1" si="267"/>
        <v>52567.847491956694</v>
      </c>
      <c r="M66" s="295">
        <f t="shared" ca="1" si="267"/>
        <v>52586.562093193221</v>
      </c>
      <c r="N66" s="295">
        <f t="shared" ca="1" si="267"/>
        <v>52459.799107814775</v>
      </c>
      <c r="O66" s="295">
        <f t="shared" ca="1" si="267"/>
        <v>52158.158253469868</v>
      </c>
      <c r="P66" s="295">
        <f t="shared" ca="1" si="267"/>
        <v>51657.347066015682</v>
      </c>
      <c r="Q66" s="274"/>
      <c r="R66" s="274"/>
      <c r="S66" s="274"/>
      <c r="T66" s="274"/>
      <c r="U66" s="274"/>
      <c r="V66" s="274"/>
      <c r="W66" s="274"/>
      <c r="X66" s="274"/>
      <c r="Y66" s="274"/>
      <c r="Z66" s="274"/>
      <c r="AA66" s="274"/>
      <c r="AB66" s="274"/>
      <c r="AC66" s="274"/>
      <c r="AD66" s="274"/>
      <c r="AE66" s="274"/>
      <c r="AF66" s="274"/>
      <c r="AG66" s="274"/>
      <c r="AH66" s="274"/>
      <c r="AI66" s="274"/>
      <c r="AJ66" s="274"/>
      <c r="AK66" s="274"/>
      <c r="AO66" s="261">
        <v>40811</v>
      </c>
      <c r="AP66" s="261">
        <v>41846</v>
      </c>
      <c r="AQ66" s="261">
        <v>42987</v>
      </c>
      <c r="AR66" s="261">
        <v>44062</v>
      </c>
      <c r="AS66" s="261">
        <v>45160</v>
      </c>
      <c r="AT66" s="261">
        <v>45959</v>
      </c>
      <c r="AU66" s="261">
        <v>46697</v>
      </c>
      <c r="AV66" s="261">
        <v>47414</v>
      </c>
      <c r="AW66" s="261">
        <v>48290</v>
      </c>
      <c r="AX66" s="261">
        <v>48844</v>
      </c>
      <c r="AY66" s="261">
        <v>49432</v>
      </c>
      <c r="AZ66" s="261">
        <v>50014</v>
      </c>
      <c r="BA66" s="261">
        <v>50688</v>
      </c>
      <c r="BB66" s="261">
        <v>50839</v>
      </c>
      <c r="BC66" s="261">
        <v>51111</v>
      </c>
      <c r="BD66" s="261">
        <v>51412</v>
      </c>
      <c r="BE66" s="261">
        <v>51811</v>
      </c>
      <c r="BF66" s="295">
        <f t="shared" ref="BF66:BI66" ca="1" si="268">+BF86</f>
        <v>51706.70700321917</v>
      </c>
      <c r="BG66" s="295">
        <f t="shared" ca="1" si="268"/>
        <v>51772.921984800705</v>
      </c>
      <c r="BH66" s="295">
        <f t="shared" ca="1" si="268"/>
        <v>51822.593625690221</v>
      </c>
      <c r="BI66" s="295">
        <f t="shared" ca="1" si="268"/>
        <v>52012.113713360042</v>
      </c>
    </row>
    <row r="67" spans="2:63" s="236" customFormat="1">
      <c r="B67" s="236" t="s">
        <v>36</v>
      </c>
      <c r="C67" s="274"/>
      <c r="D67" s="295">
        <f>+AO67</f>
        <v>16326</v>
      </c>
      <c r="E67" s="295">
        <f>+AS67</f>
        <v>19943</v>
      </c>
      <c r="F67" s="295">
        <f>+AW67</f>
        <v>25284</v>
      </c>
      <c r="G67" s="295">
        <f>+BA67</f>
        <v>30649</v>
      </c>
      <c r="H67" s="295">
        <f>+BE67</f>
        <v>38534</v>
      </c>
      <c r="I67" s="295">
        <f>+BI67</f>
        <v>43534</v>
      </c>
      <c r="J67" s="262">
        <f>+J111</f>
        <v>48534</v>
      </c>
      <c r="K67" s="262">
        <f t="shared" ref="K67:P67" si="269">+K111</f>
        <v>53534</v>
      </c>
      <c r="L67" s="262">
        <f t="shared" si="269"/>
        <v>58534</v>
      </c>
      <c r="M67" s="262">
        <f t="shared" si="269"/>
        <v>63534</v>
      </c>
      <c r="N67" s="262">
        <f t="shared" si="269"/>
        <v>68534</v>
      </c>
      <c r="O67" s="262">
        <f t="shared" si="269"/>
        <v>73534</v>
      </c>
      <c r="P67" s="262">
        <f t="shared" si="269"/>
        <v>78534</v>
      </c>
      <c r="Q67" s="274"/>
      <c r="R67" s="274"/>
      <c r="S67" s="274"/>
      <c r="T67" s="274"/>
      <c r="U67" s="274"/>
      <c r="V67" s="274"/>
      <c r="W67" s="274"/>
      <c r="X67" s="274"/>
      <c r="Y67" s="274"/>
      <c r="Z67" s="274"/>
      <c r="AA67" s="274"/>
      <c r="AB67" s="274"/>
      <c r="AC67" s="274"/>
      <c r="AD67" s="274"/>
      <c r="AE67" s="274"/>
      <c r="AF67" s="274"/>
      <c r="AG67" s="274"/>
      <c r="AH67" s="274"/>
      <c r="AI67" s="274"/>
      <c r="AJ67" s="274"/>
      <c r="AK67" s="274"/>
      <c r="AO67" s="261">
        <v>16326</v>
      </c>
      <c r="AP67" s="261">
        <v>17025</v>
      </c>
      <c r="AQ67" s="261">
        <v>17203</v>
      </c>
      <c r="AR67" s="261">
        <v>18482</v>
      </c>
      <c r="AS67" s="261">
        <v>19943</v>
      </c>
      <c r="AT67" s="261">
        <v>20972</v>
      </c>
      <c r="AU67" s="261">
        <v>22462</v>
      </c>
      <c r="AV67" s="261">
        <v>24064</v>
      </c>
      <c r="AW67" s="261">
        <v>25284</v>
      </c>
      <c r="AX67" s="261">
        <v>26863</v>
      </c>
      <c r="AY67" s="261">
        <v>28061</v>
      </c>
      <c r="AZ67" s="261">
        <v>29355</v>
      </c>
      <c r="BA67" s="261">
        <v>30649</v>
      </c>
      <c r="BB67" s="261">
        <v>31439</v>
      </c>
      <c r="BC67" s="261">
        <v>33611</v>
      </c>
      <c r="BD67" s="261">
        <v>35909</v>
      </c>
      <c r="BE67" s="261">
        <v>38534</v>
      </c>
      <c r="BF67" s="262">
        <f t="shared" ref="BF67:BI67" si="270">+BF111</f>
        <v>39784</v>
      </c>
      <c r="BG67" s="262">
        <f t="shared" si="270"/>
        <v>41034</v>
      </c>
      <c r="BH67" s="262">
        <f t="shared" si="270"/>
        <v>42284</v>
      </c>
      <c r="BI67" s="262">
        <f t="shared" si="270"/>
        <v>43534</v>
      </c>
    </row>
    <row r="68" spans="2:63" s="236" customFormat="1">
      <c r="B68" s="236" t="s">
        <v>287</v>
      </c>
      <c r="C68" s="274"/>
      <c r="D68" s="295">
        <f>+AO68</f>
        <v>-1</v>
      </c>
      <c r="E68" s="295">
        <f>+AS68</f>
        <v>11</v>
      </c>
      <c r="F68" s="295">
        <f>+AW68</f>
        <v>85</v>
      </c>
      <c r="G68" s="295">
        <f>+BA68</f>
        <v>65</v>
      </c>
      <c r="H68" s="295">
        <f>+BE68</f>
        <v>87</v>
      </c>
      <c r="I68" s="295">
        <f>+BI68</f>
        <v>-67</v>
      </c>
      <c r="J68" s="262">
        <f>+J109</f>
        <v>-67</v>
      </c>
      <c r="K68" s="262">
        <f t="shared" ref="K68:P68" si="271">+K109</f>
        <v>-67</v>
      </c>
      <c r="L68" s="262">
        <f t="shared" si="271"/>
        <v>-67</v>
      </c>
      <c r="M68" s="262">
        <f t="shared" si="271"/>
        <v>-67</v>
      </c>
      <c r="N68" s="262">
        <f t="shared" si="271"/>
        <v>-67</v>
      </c>
      <c r="O68" s="262">
        <f t="shared" si="271"/>
        <v>-67</v>
      </c>
      <c r="P68" s="262">
        <f t="shared" si="271"/>
        <v>-67</v>
      </c>
      <c r="Q68" s="274"/>
      <c r="R68" s="274"/>
      <c r="S68" s="274"/>
      <c r="T68" s="274"/>
      <c r="U68" s="274"/>
      <c r="V68" s="274"/>
      <c r="W68" s="274"/>
      <c r="X68" s="274"/>
      <c r="Y68" s="274"/>
      <c r="Z68" s="274"/>
      <c r="AA68" s="274"/>
      <c r="AB68" s="274"/>
      <c r="AC68" s="274"/>
      <c r="AD68" s="274"/>
      <c r="AE68" s="274"/>
      <c r="AF68" s="274"/>
      <c r="AG68" s="274"/>
      <c r="AH68" s="274"/>
      <c r="AI68" s="274"/>
      <c r="AJ68" s="274"/>
      <c r="AK68" s="274"/>
      <c r="AO68" s="262">
        <f>+AO69-AO66-AO67</f>
        <v>-1</v>
      </c>
      <c r="AP68" s="262">
        <f t="shared" ref="AP68:AV68" si="272">+AP69-AP66-AP67</f>
        <v>0</v>
      </c>
      <c r="AQ68" s="262">
        <f t="shared" si="272"/>
        <v>9</v>
      </c>
      <c r="AR68" s="262">
        <f t="shared" si="272"/>
        <v>-22</v>
      </c>
      <c r="AS68" s="262">
        <f t="shared" si="272"/>
        <v>11</v>
      </c>
      <c r="AT68" s="262">
        <f t="shared" si="272"/>
        <v>14</v>
      </c>
      <c r="AU68" s="262">
        <f t="shared" si="272"/>
        <v>19</v>
      </c>
      <c r="AV68" s="262">
        <f t="shared" si="272"/>
        <v>83</v>
      </c>
      <c r="AW68" s="262">
        <f t="shared" ref="AW68:BB68" si="273">+AW69-AW66-AW67</f>
        <v>85</v>
      </c>
      <c r="AX68" s="262">
        <f t="shared" si="273"/>
        <v>64</v>
      </c>
      <c r="AY68" s="262">
        <f t="shared" si="273"/>
        <v>52</v>
      </c>
      <c r="AZ68" s="262">
        <f t="shared" si="273"/>
        <v>58</v>
      </c>
      <c r="BA68" s="262">
        <f t="shared" si="273"/>
        <v>65</v>
      </c>
      <c r="BB68" s="262">
        <f t="shared" si="273"/>
        <v>76</v>
      </c>
      <c r="BC68" s="262">
        <f t="shared" ref="BC68:BD68" si="274">+BC69-BC66-BC67</f>
        <v>72</v>
      </c>
      <c r="BD68" s="262">
        <f t="shared" si="274"/>
        <v>77</v>
      </c>
      <c r="BE68" s="262">
        <f t="shared" ref="BE68" si="275">+BE69-BE66-BE67</f>
        <v>87</v>
      </c>
      <c r="BF68" s="262">
        <f t="shared" ref="BF68:BI68" si="276">+BF109</f>
        <v>161</v>
      </c>
      <c r="BG68" s="262">
        <f t="shared" si="276"/>
        <v>-57</v>
      </c>
      <c r="BH68" s="262">
        <f t="shared" si="276"/>
        <v>-140</v>
      </c>
      <c r="BI68" s="262">
        <f t="shared" si="276"/>
        <v>-67</v>
      </c>
    </row>
    <row r="69" spans="2:63" s="236" customFormat="1" ht="15.75" thickBot="1">
      <c r="B69" s="347" t="s">
        <v>286</v>
      </c>
      <c r="C69" s="247"/>
      <c r="D69" s="348">
        <f t="shared" ref="D69:J69" si="277">SUM(D66:D68)</f>
        <v>57136</v>
      </c>
      <c r="E69" s="348">
        <f t="shared" si="277"/>
        <v>65114</v>
      </c>
      <c r="F69" s="348">
        <f t="shared" si="277"/>
        <v>73659</v>
      </c>
      <c r="G69" s="348">
        <f>SUM(G66:G68)</f>
        <v>81402</v>
      </c>
      <c r="H69" s="348">
        <f>SUM(H66:H68)</f>
        <v>90432</v>
      </c>
      <c r="I69" s="348">
        <f ca="1">SUM(I66:I68)</f>
        <v>95479.113713360042</v>
      </c>
      <c r="J69" s="348">
        <f t="shared" ca="1" si="277"/>
        <v>100704.99377485411</v>
      </c>
      <c r="K69" s="348">
        <f t="shared" ref="K69:P69" ca="1" si="278">SUM(K66:K68)</f>
        <v>105905.32534194186</v>
      </c>
      <c r="L69" s="348">
        <f t="shared" ca="1" si="278"/>
        <v>111034.84749195669</v>
      </c>
      <c r="M69" s="348">
        <f t="shared" ca="1" si="278"/>
        <v>116053.56209319322</v>
      </c>
      <c r="N69" s="348">
        <f t="shared" ca="1" si="278"/>
        <v>120926.79910781478</v>
      </c>
      <c r="O69" s="348">
        <f t="shared" ca="1" si="278"/>
        <v>125625.15825346987</v>
      </c>
      <c r="P69" s="348">
        <f t="shared" ca="1" si="278"/>
        <v>130124.34706601567</v>
      </c>
      <c r="Q69" s="247"/>
      <c r="R69" s="247"/>
      <c r="S69" s="247"/>
      <c r="T69" s="247"/>
      <c r="U69" s="247"/>
      <c r="V69" s="247"/>
      <c r="W69" s="247"/>
      <c r="X69" s="247"/>
      <c r="Y69" s="247"/>
      <c r="Z69" s="247"/>
      <c r="AA69" s="247"/>
      <c r="AB69" s="247"/>
      <c r="AC69" s="247"/>
      <c r="AD69" s="247"/>
      <c r="AE69" s="247"/>
      <c r="AF69" s="247"/>
      <c r="AG69" s="247"/>
      <c r="AH69" s="247"/>
      <c r="AI69" s="247"/>
      <c r="AJ69" s="247"/>
      <c r="AK69" s="247"/>
      <c r="AL69" s="347"/>
      <c r="AM69" s="347"/>
      <c r="AN69" s="347"/>
      <c r="AO69" s="349">
        <v>57136</v>
      </c>
      <c r="AP69" s="349">
        <v>58871</v>
      </c>
      <c r="AQ69" s="349">
        <v>60199</v>
      </c>
      <c r="AR69" s="349">
        <v>62522</v>
      </c>
      <c r="AS69" s="349">
        <v>65114</v>
      </c>
      <c r="AT69" s="349">
        <v>66945</v>
      </c>
      <c r="AU69" s="349">
        <v>69178</v>
      </c>
      <c r="AV69" s="349">
        <v>71561</v>
      </c>
      <c r="AW69" s="349">
        <v>73659</v>
      </c>
      <c r="AX69" s="349">
        <v>75771</v>
      </c>
      <c r="AY69" s="349">
        <v>77545</v>
      </c>
      <c r="AZ69" s="349">
        <v>79427</v>
      </c>
      <c r="BA69" s="349">
        <v>81402</v>
      </c>
      <c r="BB69" s="349">
        <v>82354</v>
      </c>
      <c r="BC69" s="349">
        <v>84794</v>
      </c>
      <c r="BD69" s="349">
        <v>87398</v>
      </c>
      <c r="BE69" s="349">
        <v>90432</v>
      </c>
      <c r="BF69" s="348">
        <f t="shared" ref="BF69:BI69" ca="1" si="279">SUM(BF66:BF68)</f>
        <v>91651.70700321917</v>
      </c>
      <c r="BG69" s="348">
        <f t="shared" ca="1" si="279"/>
        <v>92749.921984800705</v>
      </c>
      <c r="BH69" s="348">
        <f t="shared" ca="1" si="279"/>
        <v>93966.593625690221</v>
      </c>
      <c r="BI69" s="348">
        <f t="shared" ca="1" si="279"/>
        <v>95479.113713360042</v>
      </c>
    </row>
    <row r="70" spans="2:63" ht="15.75" thickTop="1"/>
    <row r="71" spans="2:63" s="236" customFormat="1">
      <c r="B71" s="236" t="s">
        <v>33</v>
      </c>
      <c r="C71" s="274"/>
      <c r="D71" s="295"/>
      <c r="E71" s="295">
        <f>SUM(AP71:AS71)</f>
        <v>2064</v>
      </c>
      <c r="F71" s="295">
        <f>SUM(AT71:AW71)</f>
        <v>1203</v>
      </c>
      <c r="G71" s="295">
        <f>SUM(AX71:BA71)</f>
        <v>759</v>
      </c>
      <c r="H71" s="295">
        <f>SUM(BB71:BE71)</f>
        <v>147</v>
      </c>
      <c r="I71" s="295">
        <f ca="1">SUM(BF71:BI71)</f>
        <v>201.11371336004231</v>
      </c>
      <c r="J71" s="295">
        <f ca="1">+J87</f>
        <v>225.88006149406283</v>
      </c>
      <c r="K71" s="295">
        <f t="shared" ref="K71:P71" ca="1" si="280">+K87</f>
        <v>200.33156708775641</v>
      </c>
      <c r="L71" s="295">
        <f t="shared" ca="1" si="280"/>
        <v>129.52215001483273</v>
      </c>
      <c r="M71" s="295">
        <f t="shared" ca="1" si="280"/>
        <v>18.714601236526505</v>
      </c>
      <c r="N71" s="295">
        <f t="shared" ca="1" si="280"/>
        <v>-126.76298537844559</v>
      </c>
      <c r="O71" s="295">
        <f t="shared" ca="1" si="280"/>
        <v>-301.64085434490698</v>
      </c>
      <c r="P71" s="295">
        <f t="shared" ca="1" si="280"/>
        <v>-500.81118745418644</v>
      </c>
      <c r="Q71" s="274"/>
      <c r="R71" s="274"/>
      <c r="S71" s="274"/>
      <c r="T71" s="274"/>
      <c r="U71" s="274"/>
      <c r="V71" s="274"/>
      <c r="W71" s="274"/>
      <c r="X71" s="274"/>
      <c r="Y71" s="274"/>
      <c r="Z71" s="274"/>
      <c r="AA71" s="274"/>
      <c r="AB71" s="274"/>
      <c r="AC71" s="274"/>
      <c r="AD71" s="274"/>
      <c r="AE71" s="274"/>
      <c r="AF71" s="274"/>
      <c r="AG71" s="274"/>
      <c r="AH71" s="274"/>
      <c r="AI71" s="274"/>
      <c r="AJ71" s="274"/>
      <c r="AK71" s="274"/>
      <c r="AO71" s="261">
        <v>333</v>
      </c>
      <c r="AP71" s="261">
        <v>366</v>
      </c>
      <c r="AQ71" s="261">
        <v>587</v>
      </c>
      <c r="AR71" s="261">
        <v>545</v>
      </c>
      <c r="AS71" s="261">
        <v>566</v>
      </c>
      <c r="AT71" s="261">
        <v>297</v>
      </c>
      <c r="AU71" s="261">
        <v>288</v>
      </c>
      <c r="AV71" s="261">
        <v>265</v>
      </c>
      <c r="AW71" s="261">
        <v>353</v>
      </c>
      <c r="AX71" s="261">
        <v>133</v>
      </c>
      <c r="AY71" s="261">
        <v>185</v>
      </c>
      <c r="AZ71" s="261">
        <v>191</v>
      </c>
      <c r="BA71" s="261">
        <v>250</v>
      </c>
      <c r="BB71" s="261">
        <v>-125</v>
      </c>
      <c r="BC71" s="261">
        <v>36</v>
      </c>
      <c r="BD71" s="261">
        <v>15</v>
      </c>
      <c r="BE71" s="261">
        <v>221</v>
      </c>
      <c r="BF71" s="262">
        <f t="shared" ref="BF71:BI71" ca="1" si="281">+BF87</f>
        <v>-104.29299678083044</v>
      </c>
      <c r="BG71" s="262">
        <f t="shared" ca="1" si="281"/>
        <v>66.21498158153554</v>
      </c>
      <c r="BH71" s="262">
        <f t="shared" ca="1" si="281"/>
        <v>49.671640889515402</v>
      </c>
      <c r="BI71" s="262">
        <f t="shared" ca="1" si="281"/>
        <v>189.52008766982181</v>
      </c>
    </row>
    <row r="72" spans="2:63" s="236" customFormat="1">
      <c r="B72" s="236" t="s">
        <v>36</v>
      </c>
      <c r="C72" s="274"/>
      <c r="D72" s="295"/>
      <c r="E72" s="295">
        <f>SUM(AP72:AS72)</f>
        <v>3440</v>
      </c>
      <c r="F72" s="295">
        <f>SUM(AT72:AW72)</f>
        <v>5315</v>
      </c>
      <c r="G72" s="295">
        <f>SUM(AX72:BA72)</f>
        <v>5330</v>
      </c>
      <c r="H72" s="295">
        <f>SUM(BB72:BE72)</f>
        <v>9639</v>
      </c>
      <c r="I72" s="295">
        <f>SUM(BF72:BI72)</f>
        <v>5000</v>
      </c>
      <c r="J72" s="262">
        <f>+J112</f>
        <v>5000</v>
      </c>
      <c r="K72" s="262">
        <f t="shared" ref="K72:P72" si="282">+K112</f>
        <v>5000</v>
      </c>
      <c r="L72" s="262">
        <f t="shared" si="282"/>
        <v>5000</v>
      </c>
      <c r="M72" s="262">
        <f t="shared" si="282"/>
        <v>5000</v>
      </c>
      <c r="N72" s="262">
        <f t="shared" si="282"/>
        <v>5000</v>
      </c>
      <c r="O72" s="262">
        <f t="shared" si="282"/>
        <v>5000</v>
      </c>
      <c r="P72" s="262">
        <f t="shared" si="282"/>
        <v>5000</v>
      </c>
      <c r="Q72" s="274"/>
      <c r="R72" s="274"/>
      <c r="S72" s="274"/>
      <c r="T72" s="274"/>
      <c r="U72" s="274"/>
      <c r="V72" s="274"/>
      <c r="W72" s="274"/>
      <c r="X72" s="274"/>
      <c r="Y72" s="274"/>
      <c r="Z72" s="274"/>
      <c r="AA72" s="274"/>
      <c r="AB72" s="274"/>
      <c r="AC72" s="274"/>
      <c r="AD72" s="274"/>
      <c r="AE72" s="274"/>
      <c r="AF72" s="274"/>
      <c r="AG72" s="274"/>
      <c r="AH72" s="274"/>
      <c r="AI72" s="274"/>
      <c r="AJ72" s="274"/>
      <c r="AK72" s="274"/>
      <c r="AO72" s="261">
        <v>399</v>
      </c>
      <c r="AP72" s="261">
        <v>693</v>
      </c>
      <c r="AQ72" s="261">
        <v>175</v>
      </c>
      <c r="AR72" s="261">
        <v>1276</v>
      </c>
      <c r="AS72" s="261">
        <v>1296</v>
      </c>
      <c r="AT72" s="261">
        <v>1024</v>
      </c>
      <c r="AU72" s="261">
        <v>1478</v>
      </c>
      <c r="AV72" s="261">
        <v>1602</v>
      </c>
      <c r="AW72" s="261">
        <v>1211</v>
      </c>
      <c r="AX72" s="261">
        <v>1578</v>
      </c>
      <c r="AY72" s="261">
        <v>1199</v>
      </c>
      <c r="AZ72" s="261">
        <v>1290</v>
      </c>
      <c r="BA72" s="261">
        <v>1263</v>
      </c>
      <c r="BB72" s="261">
        <v>2553</v>
      </c>
      <c r="BC72" s="261">
        <v>2170</v>
      </c>
      <c r="BD72" s="261">
        <v>2292</v>
      </c>
      <c r="BE72" s="261">
        <v>2624</v>
      </c>
      <c r="BF72" s="262">
        <f t="shared" ref="BF72:BI72" si="283">+BF112</f>
        <v>1250</v>
      </c>
      <c r="BG72" s="262">
        <f t="shared" si="283"/>
        <v>1250</v>
      </c>
      <c r="BH72" s="262">
        <f t="shared" si="283"/>
        <v>1250</v>
      </c>
      <c r="BI72" s="262">
        <f t="shared" si="283"/>
        <v>1250</v>
      </c>
    </row>
    <row r="73" spans="2:63" s="236" customFormat="1">
      <c r="B73" s="236" t="s">
        <v>288</v>
      </c>
      <c r="C73" s="274"/>
      <c r="D73" s="295"/>
      <c r="E73" s="295">
        <f>SUM(AP73:AS73)</f>
        <v>6</v>
      </c>
      <c r="F73" s="295">
        <f>SUM(AT73:AW73)</f>
        <v>13</v>
      </c>
      <c r="G73" s="295">
        <f>SUM(AX73:BA73)</f>
        <v>-33</v>
      </c>
      <c r="H73" s="295">
        <f>SUM(BB73:BE73)</f>
        <v>7</v>
      </c>
      <c r="I73" s="295">
        <f>SUM(BF73:BI73)</f>
        <v>-154</v>
      </c>
      <c r="J73" s="262">
        <f>+J110</f>
        <v>0</v>
      </c>
      <c r="K73" s="262">
        <f t="shared" ref="K73:P73" si="284">+K110</f>
        <v>0</v>
      </c>
      <c r="L73" s="262">
        <f t="shared" si="284"/>
        <v>0</v>
      </c>
      <c r="M73" s="262">
        <f t="shared" si="284"/>
        <v>0</v>
      </c>
      <c r="N73" s="262">
        <f t="shared" si="284"/>
        <v>0</v>
      </c>
      <c r="O73" s="262">
        <f t="shared" si="284"/>
        <v>0</v>
      </c>
      <c r="P73" s="262">
        <f t="shared" si="284"/>
        <v>0</v>
      </c>
      <c r="Q73" s="274"/>
      <c r="R73" s="274"/>
      <c r="S73" s="274"/>
      <c r="T73" s="274"/>
      <c r="U73" s="274"/>
      <c r="V73" s="274"/>
      <c r="W73" s="274"/>
      <c r="X73" s="274"/>
      <c r="Y73" s="274"/>
      <c r="Z73" s="274"/>
      <c r="AA73" s="274"/>
      <c r="AB73" s="274"/>
      <c r="AC73" s="274"/>
      <c r="AD73" s="274"/>
      <c r="AE73" s="274"/>
      <c r="AF73" s="274"/>
      <c r="AG73" s="274"/>
      <c r="AH73" s="274"/>
      <c r="AI73" s="274"/>
      <c r="AJ73" s="274"/>
      <c r="AK73" s="274"/>
      <c r="AO73" s="262">
        <f>+AO74-AO71-AO72</f>
        <v>0</v>
      </c>
      <c r="AP73" s="262">
        <f t="shared" ref="AP73:AV73" si="285">+AP74-AP71-AP72</f>
        <v>0</v>
      </c>
      <c r="AQ73" s="262">
        <f t="shared" si="285"/>
        <v>9</v>
      </c>
      <c r="AR73" s="262">
        <f t="shared" si="285"/>
        <v>-5</v>
      </c>
      <c r="AS73" s="262">
        <f t="shared" si="285"/>
        <v>2</v>
      </c>
      <c r="AT73" s="262">
        <f t="shared" si="285"/>
        <v>3</v>
      </c>
      <c r="AU73" s="262">
        <f t="shared" si="285"/>
        <v>3</v>
      </c>
      <c r="AV73" s="262">
        <f t="shared" si="285"/>
        <v>8</v>
      </c>
      <c r="AW73" s="262">
        <f t="shared" ref="AW73:BB73" si="286">+AW74-AW71-AW72</f>
        <v>-1</v>
      </c>
      <c r="AX73" s="262">
        <f t="shared" si="286"/>
        <v>-22</v>
      </c>
      <c r="AY73" s="262">
        <f t="shared" si="286"/>
        <v>-13</v>
      </c>
      <c r="AZ73" s="262">
        <f t="shared" si="286"/>
        <v>1</v>
      </c>
      <c r="BA73" s="262">
        <f t="shared" si="286"/>
        <v>1</v>
      </c>
      <c r="BB73" s="262">
        <f t="shared" si="286"/>
        <v>6</v>
      </c>
      <c r="BC73" s="262">
        <f t="shared" ref="BC73:BD73" si="287">+BC74-BC71-BC72</f>
        <v>-5</v>
      </c>
      <c r="BD73" s="262">
        <f t="shared" si="287"/>
        <v>2</v>
      </c>
      <c r="BE73" s="262">
        <f t="shared" ref="BE73" si="288">+BE74-BE71-BE72</f>
        <v>4</v>
      </c>
      <c r="BF73" s="262">
        <f t="shared" ref="BF73:BI73" si="289">+BF110</f>
        <v>74</v>
      </c>
      <c r="BG73" s="262">
        <f t="shared" si="289"/>
        <v>-218</v>
      </c>
      <c r="BH73" s="262">
        <f t="shared" si="289"/>
        <v>-83</v>
      </c>
      <c r="BI73" s="262">
        <f t="shared" si="289"/>
        <v>73</v>
      </c>
    </row>
    <row r="74" spans="2:63" s="236" customFormat="1" ht="15.75" thickBot="1">
      <c r="B74" s="347" t="s">
        <v>289</v>
      </c>
      <c r="C74" s="247"/>
      <c r="D74" s="348"/>
      <c r="E74" s="348">
        <f t="shared" ref="E74:J74" si="290">SUM(E71:E73)</f>
        <v>5510</v>
      </c>
      <c r="F74" s="348">
        <f t="shared" si="290"/>
        <v>6531</v>
      </c>
      <c r="G74" s="348">
        <f>SUM(G71:G73)</f>
        <v>6056</v>
      </c>
      <c r="H74" s="348">
        <f>SUM(H71:H73)</f>
        <v>9793</v>
      </c>
      <c r="I74" s="348">
        <f ca="1">SUM(I71:I73)</f>
        <v>5047.1137133600423</v>
      </c>
      <c r="J74" s="348">
        <f t="shared" ca="1" si="290"/>
        <v>5225.8800614940628</v>
      </c>
      <c r="K74" s="348">
        <f t="shared" ref="K74:P74" ca="1" si="291">SUM(K71:K73)</f>
        <v>5200.3315670877564</v>
      </c>
      <c r="L74" s="348">
        <f t="shared" ca="1" si="291"/>
        <v>5129.5221500148327</v>
      </c>
      <c r="M74" s="348">
        <f t="shared" ca="1" si="291"/>
        <v>5018.7146012365265</v>
      </c>
      <c r="N74" s="348">
        <f t="shared" ca="1" si="291"/>
        <v>4873.2370146215544</v>
      </c>
      <c r="O74" s="348">
        <f t="shared" ca="1" si="291"/>
        <v>4698.359145655093</v>
      </c>
      <c r="P74" s="348">
        <f t="shared" ca="1" si="291"/>
        <v>4499.1888125458136</v>
      </c>
      <c r="Q74" s="247"/>
      <c r="R74" s="247"/>
      <c r="S74" s="247"/>
      <c r="T74" s="247"/>
      <c r="U74" s="247"/>
      <c r="V74" s="247"/>
      <c r="W74" s="247"/>
      <c r="X74" s="247"/>
      <c r="Y74" s="247"/>
      <c r="Z74" s="247"/>
      <c r="AA74" s="247"/>
      <c r="AB74" s="247"/>
      <c r="AC74" s="247"/>
      <c r="AD74" s="247"/>
      <c r="AE74" s="247"/>
      <c r="AF74" s="247"/>
      <c r="AG74" s="247"/>
      <c r="AH74" s="247"/>
      <c r="AI74" s="247"/>
      <c r="AJ74" s="247"/>
      <c r="AK74" s="247"/>
      <c r="AL74" s="347"/>
      <c r="AM74" s="347"/>
      <c r="AN74" s="347"/>
      <c r="AO74" s="349">
        <v>732</v>
      </c>
      <c r="AP74" s="349">
        <v>1059</v>
      </c>
      <c r="AQ74" s="349">
        <v>771</v>
      </c>
      <c r="AR74" s="349">
        <v>1816</v>
      </c>
      <c r="AS74" s="349">
        <v>1864</v>
      </c>
      <c r="AT74" s="349">
        <v>1324</v>
      </c>
      <c r="AU74" s="349">
        <v>1769</v>
      </c>
      <c r="AV74" s="349">
        <v>1875</v>
      </c>
      <c r="AW74" s="349">
        <v>1563</v>
      </c>
      <c r="AX74" s="349">
        <v>1689</v>
      </c>
      <c r="AY74" s="349">
        <v>1371</v>
      </c>
      <c r="AZ74" s="349">
        <v>1482</v>
      </c>
      <c r="BA74" s="349">
        <v>1514</v>
      </c>
      <c r="BB74" s="349">
        <v>2434</v>
      </c>
      <c r="BC74" s="349">
        <v>2201</v>
      </c>
      <c r="BD74" s="349">
        <v>2309</v>
      </c>
      <c r="BE74" s="349">
        <v>2849</v>
      </c>
      <c r="BF74" s="348">
        <f t="shared" ref="BF74:BI74" ca="1" si="292">SUM(BF71:BF73)</f>
        <v>1219.7070032191696</v>
      </c>
      <c r="BG74" s="348">
        <f t="shared" ca="1" si="292"/>
        <v>1098.2149815815355</v>
      </c>
      <c r="BH74" s="348">
        <f t="shared" ca="1" si="292"/>
        <v>1216.6716408895154</v>
      </c>
      <c r="BI74" s="348">
        <f t="shared" ca="1" si="292"/>
        <v>1512.5200876698218</v>
      </c>
    </row>
    <row r="75" spans="2:63" s="236" customFormat="1" ht="16.5" thickTop="1" thickBot="1">
      <c r="B75" s="247"/>
      <c r="C75" s="247"/>
      <c r="D75" s="350"/>
      <c r="E75" s="350"/>
      <c r="F75" s="350"/>
      <c r="G75" s="350"/>
      <c r="H75" s="350"/>
      <c r="I75" s="350"/>
      <c r="J75" s="350"/>
      <c r="K75" s="350"/>
      <c r="L75" s="350"/>
      <c r="M75" s="350"/>
      <c r="N75" s="350"/>
      <c r="O75" s="350"/>
      <c r="P75" s="350"/>
      <c r="Q75" s="247"/>
      <c r="R75" s="247"/>
      <c r="S75" s="247"/>
      <c r="T75" s="247"/>
      <c r="U75" s="247"/>
      <c r="V75" s="247"/>
      <c r="W75" s="247"/>
      <c r="X75" s="247"/>
      <c r="Y75" s="247"/>
      <c r="Z75" s="247"/>
      <c r="AA75" s="247"/>
      <c r="AB75" s="247"/>
      <c r="AC75" s="247"/>
      <c r="AD75" s="247"/>
      <c r="AE75" s="247"/>
      <c r="AF75" s="247"/>
      <c r="AG75" s="247"/>
      <c r="AH75" s="247"/>
      <c r="AI75" s="247"/>
      <c r="AJ75" s="247"/>
      <c r="AK75" s="247"/>
      <c r="AL75" s="247"/>
      <c r="AM75" s="247"/>
      <c r="AN75" s="247"/>
      <c r="AO75" s="351"/>
      <c r="AP75" s="351"/>
      <c r="AQ75" s="351"/>
      <c r="AR75" s="351"/>
      <c r="AS75" s="351"/>
      <c r="AT75" s="351"/>
      <c r="AU75" s="351"/>
      <c r="AV75" s="351"/>
      <c r="AW75" s="351"/>
      <c r="AX75" s="351"/>
      <c r="AY75" s="351"/>
      <c r="AZ75" s="351"/>
      <c r="BA75" s="351"/>
      <c r="BB75" s="351"/>
      <c r="BC75" s="351"/>
      <c r="BD75" s="351"/>
      <c r="BE75" s="351"/>
      <c r="BF75" s="351"/>
      <c r="BG75" s="351"/>
      <c r="BH75" s="351"/>
      <c r="BI75" s="351"/>
    </row>
    <row r="76" spans="2:63" s="251" customFormat="1" ht="15.75" thickBot="1">
      <c r="B76" s="194"/>
      <c r="C76" s="276"/>
      <c r="D76" s="195">
        <f>+D$6</f>
        <v>2013</v>
      </c>
      <c r="E76" s="196">
        <f t="shared" ref="E76:P76" si="293">+E$6</f>
        <v>2014</v>
      </c>
      <c r="F76" s="196">
        <f t="shared" si="293"/>
        <v>2015</v>
      </c>
      <c r="G76" s="196">
        <f t="shared" si="293"/>
        <v>2016</v>
      </c>
      <c r="H76" s="196">
        <f t="shared" si="293"/>
        <v>2017</v>
      </c>
      <c r="I76" s="196" t="str">
        <f t="shared" si="293"/>
        <v>2018E</v>
      </c>
      <c r="J76" s="196" t="str">
        <f t="shared" si="293"/>
        <v>2019E</v>
      </c>
      <c r="K76" s="196" t="str">
        <f t="shared" si="293"/>
        <v>2020E</v>
      </c>
      <c r="L76" s="196" t="str">
        <f t="shared" si="293"/>
        <v>2021E</v>
      </c>
      <c r="M76" s="196" t="str">
        <f t="shared" si="293"/>
        <v>2022E</v>
      </c>
      <c r="N76" s="196" t="str">
        <f t="shared" si="293"/>
        <v>2023E</v>
      </c>
      <c r="O76" s="196" t="str">
        <f t="shared" si="293"/>
        <v>2024E</v>
      </c>
      <c r="P76" s="197" t="str">
        <f t="shared" si="293"/>
        <v>2025E</v>
      </c>
      <c r="Q76" s="241"/>
      <c r="R76" s="242"/>
      <c r="S76" s="242"/>
      <c r="T76" s="242"/>
      <c r="U76" s="242"/>
      <c r="V76" s="242"/>
      <c r="W76" s="242"/>
      <c r="X76" s="242"/>
      <c r="Y76" s="242"/>
      <c r="Z76" s="242"/>
      <c r="AA76" s="242"/>
      <c r="AB76" s="242"/>
      <c r="AC76" s="242"/>
      <c r="AD76" s="242"/>
      <c r="AE76" s="242"/>
      <c r="AF76" s="242"/>
      <c r="AG76" s="242"/>
      <c r="AH76" s="242"/>
      <c r="AI76" s="242"/>
      <c r="AJ76" s="242"/>
      <c r="AK76" s="242"/>
      <c r="AL76" s="242" t="s">
        <v>248</v>
      </c>
      <c r="AM76" s="242" t="s">
        <v>249</v>
      </c>
      <c r="AN76" s="242" t="s">
        <v>250</v>
      </c>
      <c r="AO76" s="242" t="s">
        <v>251</v>
      </c>
      <c r="AP76" s="242" t="s">
        <v>156</v>
      </c>
      <c r="AQ76" s="242" t="s">
        <v>157</v>
      </c>
      <c r="AR76" s="242" t="s">
        <v>158</v>
      </c>
      <c r="AS76" s="242" t="s">
        <v>159</v>
      </c>
      <c r="AT76" s="196" t="str">
        <f>+AT$6</f>
        <v>1Q15</v>
      </c>
      <c r="AU76" s="196" t="str">
        <f t="shared" ref="AU76:BI76" si="294">+AU$6</f>
        <v>2Q15</v>
      </c>
      <c r="AV76" s="196" t="str">
        <f t="shared" si="294"/>
        <v>3Q15</v>
      </c>
      <c r="AW76" s="196" t="str">
        <f t="shared" si="294"/>
        <v>4Q15</v>
      </c>
      <c r="AX76" s="196" t="str">
        <f t="shared" si="294"/>
        <v>1Q16</v>
      </c>
      <c r="AY76" s="196" t="str">
        <f t="shared" si="294"/>
        <v>2Q16</v>
      </c>
      <c r="AZ76" s="196" t="str">
        <f t="shared" si="294"/>
        <v>3Q16</v>
      </c>
      <c r="BA76" s="196" t="str">
        <f t="shared" si="294"/>
        <v>4Q16</v>
      </c>
      <c r="BB76" s="196" t="str">
        <f t="shared" si="294"/>
        <v>1Q17</v>
      </c>
      <c r="BC76" s="196" t="str">
        <f t="shared" si="294"/>
        <v>2Q17</v>
      </c>
      <c r="BD76" s="196" t="str">
        <f t="shared" si="294"/>
        <v>3Q17</v>
      </c>
      <c r="BE76" s="196" t="str">
        <f t="shared" si="294"/>
        <v>4Q17</v>
      </c>
      <c r="BF76" s="196" t="str">
        <f t="shared" si="294"/>
        <v>1Q18E</v>
      </c>
      <c r="BG76" s="196" t="str">
        <f t="shared" si="294"/>
        <v>2Q18E</v>
      </c>
      <c r="BH76" s="196" t="str">
        <f t="shared" si="294"/>
        <v>3Q18E</v>
      </c>
      <c r="BI76" s="197" t="str">
        <f t="shared" si="294"/>
        <v>4Q18E</v>
      </c>
    </row>
    <row r="77" spans="2:63">
      <c r="C77" s="274"/>
      <c r="D77" s="235"/>
      <c r="E77" s="235"/>
      <c r="F77" s="235"/>
      <c r="G77" s="235"/>
      <c r="H77" s="235"/>
      <c r="I77" s="235"/>
      <c r="J77" s="235"/>
      <c r="K77" s="235"/>
      <c r="L77" s="235"/>
      <c r="M77" s="235"/>
      <c r="N77" s="235"/>
      <c r="O77" s="235"/>
      <c r="P77" s="235"/>
      <c r="Q77" s="274"/>
      <c r="R77" s="274"/>
      <c r="S77" s="274"/>
      <c r="T77" s="274"/>
      <c r="U77" s="274"/>
      <c r="V77" s="274"/>
      <c r="W77" s="274"/>
      <c r="X77" s="274"/>
      <c r="Y77" s="274"/>
      <c r="Z77" s="274"/>
      <c r="AA77" s="274"/>
      <c r="AB77" s="274"/>
      <c r="AC77" s="274"/>
      <c r="AD77" s="274"/>
      <c r="AE77" s="274"/>
      <c r="AF77" s="274"/>
      <c r="AG77" s="274"/>
      <c r="AH77" s="274"/>
      <c r="AI77" s="274"/>
      <c r="AJ77" s="274"/>
      <c r="AK77" s="274"/>
    </row>
    <row r="78" spans="2:63" s="240" customFormat="1">
      <c r="B78" s="240" t="s">
        <v>179</v>
      </c>
      <c r="C78" s="247"/>
      <c r="E78" s="252">
        <f>SUM(AP78:AS78)</f>
        <v>29696.989650000003</v>
      </c>
      <c r="F78" s="252">
        <f>SUM(AT78:AW78)</f>
        <v>30153.755555000003</v>
      </c>
      <c r="G78" s="252">
        <f>SUM(AX78:BA78)</f>
        <v>30630.902635000002</v>
      </c>
      <c r="H78" s="252">
        <f>SUM(BB78:BE78)</f>
        <v>30313.566410000003</v>
      </c>
      <c r="I78" s="252">
        <f ca="1">SUM(BF78:BI78)</f>
        <v>30188.002164458208</v>
      </c>
      <c r="J78" s="339">
        <f ca="1">+'AT&amp;T Mobility'!J59-'Consumer Mobility'!J51</f>
        <v>29539.049760003127</v>
      </c>
      <c r="K78" s="339">
        <f ca="1">+'AT&amp;T Mobility'!K59-'Consumer Mobility'!K51</f>
        <v>28864.810278147273</v>
      </c>
      <c r="L78" s="339">
        <f ca="1">+'AT&amp;T Mobility'!L59-'Consumer Mobility'!L51</f>
        <v>28138.544771524823</v>
      </c>
      <c r="M78" s="339">
        <f ca="1">+'AT&amp;T Mobility'!M59-'Consumer Mobility'!M51</f>
        <v>27336.872352696846</v>
      </c>
      <c r="N78" s="339">
        <f ca="1">+'AT&amp;T Mobility'!N59-'Consumer Mobility'!N51</f>
        <v>26439.800872182241</v>
      </c>
      <c r="O78" s="339">
        <f ca="1">+'AT&amp;T Mobility'!O59-'Consumer Mobility'!O51</f>
        <v>25430.681079821377</v>
      </c>
      <c r="P78" s="339">
        <f ca="1">+'AT&amp;T Mobility'!P59-'Consumer Mobility'!P51</f>
        <v>24296.09591834704</v>
      </c>
      <c r="Q78" s="247"/>
      <c r="R78" s="247"/>
      <c r="S78" s="247"/>
      <c r="T78" s="247"/>
      <c r="U78" s="247"/>
      <c r="V78" s="247"/>
      <c r="W78" s="247"/>
      <c r="X78" s="247"/>
      <c r="Y78" s="247"/>
      <c r="Z78" s="247"/>
      <c r="AA78" s="247"/>
      <c r="AB78" s="247"/>
      <c r="AC78" s="247"/>
      <c r="AD78" s="247"/>
      <c r="AE78" s="247"/>
      <c r="AF78" s="247"/>
      <c r="AG78" s="247"/>
      <c r="AH78" s="247"/>
      <c r="AI78" s="247"/>
      <c r="AJ78" s="247"/>
      <c r="AK78" s="247"/>
      <c r="AN78" s="252"/>
      <c r="AO78" s="252">
        <f>+'AT&amp;T Mobility'!AO59-'Consumer Mobility'!AO51</f>
        <v>7661.2817500000001</v>
      </c>
      <c r="AP78" s="252">
        <f>+'AT&amp;T Mobility'!AP59-'Consumer Mobility'!AP51</f>
        <v>7628.3958949999997</v>
      </c>
      <c r="AQ78" s="252">
        <f>+'AT&amp;T Mobility'!AQ59-'Consumer Mobility'!AQ51</f>
        <v>7231.9257200000011</v>
      </c>
      <c r="AR78" s="252">
        <f>+'AT&amp;T Mobility'!AR59-'Consumer Mobility'!AR51</f>
        <v>7405.2286600000007</v>
      </c>
      <c r="AS78" s="252">
        <f>+'AT&amp;T Mobility'!AS59-'Consumer Mobility'!AS51</f>
        <v>7431.4393749999999</v>
      </c>
      <c r="AT78" s="421">
        <f>+'AT&amp;T Mobility'!AT59-'Consumer Mobility'!AT51</f>
        <v>7382.6933750000007</v>
      </c>
      <c r="AU78" s="421">
        <f>+'AT&amp;T Mobility'!AU59-'Consumer Mobility'!AU51</f>
        <v>7613.6401600000027</v>
      </c>
      <c r="AV78" s="421">
        <f>+'AT&amp;T Mobility'!AV59-'Consumer Mobility'!AV51</f>
        <v>7584.1168999999991</v>
      </c>
      <c r="AW78" s="421">
        <f>+'AT&amp;T Mobility'!AW59-'Consumer Mobility'!AW51</f>
        <v>7573.3051200000009</v>
      </c>
      <c r="AX78" s="421">
        <f>+'AT&amp;T Mobility'!AX59-'Consumer Mobility'!AX51</f>
        <v>7679.9293700000017</v>
      </c>
      <c r="AY78" s="421">
        <f>+'AT&amp;T Mobility'!AY59-'Consumer Mobility'!AY51</f>
        <v>7669.7730150000007</v>
      </c>
      <c r="AZ78" s="421">
        <f>+'AT&amp;T Mobility'!AZ59-'Consumer Mobility'!AZ51</f>
        <v>7654.7794149999991</v>
      </c>
      <c r="BA78" s="421">
        <f>+'AT&amp;T Mobility'!BA59-'Consumer Mobility'!BA51</f>
        <v>7626.4208350000008</v>
      </c>
      <c r="BB78" s="421">
        <f>+'AT&amp;T Mobility'!BB59-'Consumer Mobility'!BB51</f>
        <v>7554.4734600000011</v>
      </c>
      <c r="BC78" s="421">
        <f>+'AT&amp;T Mobility'!BC59-'Consumer Mobility'!BC51</f>
        <v>7609.8787499999999</v>
      </c>
      <c r="BD78" s="421">
        <f>+'AT&amp;T Mobility'!BD59-'Consumer Mobility'!BD51</f>
        <v>7626.8160000000007</v>
      </c>
      <c r="BE78" s="421">
        <f>+'AT&amp;T Mobility'!BE59-'Consumer Mobility'!BE51</f>
        <v>7522.3981999999996</v>
      </c>
      <c r="BF78" s="421">
        <f ca="1">+'AT&amp;T Mobility'!BF59-'Consumer Mobility'!BF51</f>
        <v>7544.160955024935</v>
      </c>
      <c r="BG78" s="421">
        <f ca="1">+'AT&amp;T Mobility'!BG59-'Consumer Mobility'!BG51</f>
        <v>7539.5450481392254</v>
      </c>
      <c r="BH78" s="421">
        <f ca="1">+'AT&amp;T Mobility'!BH59-'Consumer Mobility'!BH51</f>
        <v>7545.4420036465017</v>
      </c>
      <c r="BI78" s="421">
        <f ca="1">+'AT&amp;T Mobility'!BI59-'Consumer Mobility'!BI51</f>
        <v>7558.8541576475454</v>
      </c>
      <c r="BK78" s="236"/>
    </row>
    <row r="79" spans="2:63" s="248" customFormat="1">
      <c r="B79" s="282" t="s">
        <v>252</v>
      </c>
      <c r="C79" s="319"/>
      <c r="F79" s="248">
        <f>+F78/E78-1</f>
        <v>1.5380882385161332E-2</v>
      </c>
      <c r="G79" s="248">
        <f>+G78/F78-1</f>
        <v>1.582380274754458E-2</v>
      </c>
      <c r="H79" s="248">
        <f>+H78/G78-1</f>
        <v>-1.0360002406112567E-2</v>
      </c>
      <c r="I79" s="248">
        <f ca="1">+I78/H78-1</f>
        <v>-4.1421799020116001E-3</v>
      </c>
      <c r="J79" s="248">
        <f ca="1">+J78/I78-1</f>
        <v>-2.1497030539474493E-2</v>
      </c>
      <c r="K79" s="248">
        <f t="shared" ref="K79:P79" ca="1" si="295">+K78/J78-1</f>
        <v>-2.2825361253454912E-2</v>
      </c>
      <c r="L79" s="248">
        <f t="shared" ca="1" si="295"/>
        <v>-2.5160931238556783E-2</v>
      </c>
      <c r="M79" s="248">
        <f t="shared" ca="1" si="295"/>
        <v>-2.8490187582096982E-2</v>
      </c>
      <c r="N79" s="248">
        <f t="shared" ca="1" si="295"/>
        <v>-3.2815439489225495E-2</v>
      </c>
      <c r="O79" s="248">
        <f t="shared" ca="1" si="295"/>
        <v>-3.8166694115407518E-2</v>
      </c>
      <c r="P79" s="248">
        <f t="shared" ca="1" si="295"/>
        <v>-4.4614816170794658E-2</v>
      </c>
      <c r="Q79" s="319"/>
      <c r="R79" s="319"/>
      <c r="S79" s="319"/>
      <c r="T79" s="319"/>
      <c r="U79" s="319"/>
      <c r="V79" s="319"/>
      <c r="W79" s="319"/>
      <c r="X79" s="319"/>
      <c r="Y79" s="319"/>
      <c r="Z79" s="319"/>
      <c r="AA79" s="319"/>
      <c r="AB79" s="319"/>
      <c r="AC79" s="319"/>
      <c r="AD79" s="319"/>
      <c r="AE79" s="319"/>
      <c r="AF79" s="319"/>
      <c r="AG79" s="319"/>
      <c r="AH79" s="319"/>
      <c r="AI79" s="319"/>
      <c r="AJ79" s="319"/>
      <c r="AK79" s="319"/>
      <c r="AS79" s="283">
        <f t="shared" ref="AS79:BE79" si="296">+AS78/AO78-1</f>
        <v>-3.0000511990046608E-2</v>
      </c>
      <c r="AT79" s="283">
        <f t="shared" si="296"/>
        <v>-3.2208936633852936E-2</v>
      </c>
      <c r="AU79" s="283">
        <f t="shared" si="296"/>
        <v>5.2781852964054243E-2</v>
      </c>
      <c r="AV79" s="283">
        <f t="shared" si="296"/>
        <v>2.4157017725364716E-2</v>
      </c>
      <c r="AW79" s="283">
        <f t="shared" si="296"/>
        <v>1.9089941778607455E-2</v>
      </c>
      <c r="AX79" s="283">
        <f t="shared" si="296"/>
        <v>4.0261186521240333E-2</v>
      </c>
      <c r="AY79" s="283">
        <f t="shared" si="296"/>
        <v>7.3726698163258941E-3</v>
      </c>
      <c r="AZ79" s="283">
        <f t="shared" si="296"/>
        <v>9.3171711264101731E-3</v>
      </c>
      <c r="BA79" s="283">
        <f t="shared" si="296"/>
        <v>7.0135448339099238E-3</v>
      </c>
      <c r="BB79" s="283">
        <f t="shared" si="296"/>
        <v>-1.6335555179721739E-2</v>
      </c>
      <c r="BC79" s="283">
        <f t="shared" si="296"/>
        <v>-7.8091313631920567E-3</v>
      </c>
      <c r="BD79" s="283">
        <f t="shared" si="296"/>
        <v>-3.6530660759737099E-3</v>
      </c>
      <c r="BE79" s="283">
        <f t="shared" si="296"/>
        <v>-1.3639771165342651E-2</v>
      </c>
      <c r="BF79" s="283">
        <f t="shared" ref="BF79" ca="1" si="297">+BF78/BB78-1</f>
        <v>-1.3650858699377766E-3</v>
      </c>
      <c r="BG79" s="283">
        <f t="shared" ref="BG79" ca="1" si="298">+BG78/BC78-1</f>
        <v>-9.2424208284230813E-3</v>
      </c>
      <c r="BH79" s="283">
        <f t="shared" ref="BH79" ca="1" si="299">+BH78/BD78-1</f>
        <v>-1.0669458441569746E-2</v>
      </c>
      <c r="BI79" s="283">
        <f t="shared" ref="BI79" ca="1" si="300">+BI78/BE78-1</f>
        <v>4.8463211702280962E-3</v>
      </c>
    </row>
    <row r="80" spans="2:63">
      <c r="C80" s="274"/>
      <c r="D80" s="235"/>
      <c r="E80" s="235"/>
      <c r="F80" s="235"/>
      <c r="G80" s="235"/>
      <c r="H80" s="235"/>
      <c r="I80" s="235"/>
      <c r="J80" s="235"/>
      <c r="K80" s="235"/>
      <c r="L80" s="235"/>
      <c r="M80" s="235"/>
      <c r="N80" s="235"/>
      <c r="O80" s="235"/>
      <c r="P80" s="235"/>
      <c r="Q80" s="274"/>
      <c r="R80" s="274"/>
      <c r="S80" s="274"/>
      <c r="T80" s="274"/>
      <c r="U80" s="274"/>
      <c r="V80" s="274"/>
      <c r="W80" s="274"/>
      <c r="X80" s="274"/>
      <c r="Y80" s="274"/>
      <c r="Z80" s="274"/>
      <c r="AA80" s="274"/>
      <c r="AB80" s="274"/>
      <c r="AC80" s="274"/>
      <c r="AD80" s="274"/>
      <c r="AE80" s="274"/>
      <c r="AF80" s="274"/>
      <c r="AG80" s="274"/>
      <c r="AH80" s="274"/>
      <c r="AI80" s="274"/>
      <c r="AJ80" s="274"/>
      <c r="AK80" s="274"/>
    </row>
    <row r="81" spans="2:63">
      <c r="B81" s="301" t="s">
        <v>40</v>
      </c>
      <c r="C81" s="274"/>
      <c r="D81" s="235"/>
      <c r="E81" s="301">
        <f t="shared" ref="E81:J81" si="301">+E78/AVERAGE(D86:E86)/12*1000</f>
        <v>57.571719242535281</v>
      </c>
      <c r="F81" s="301">
        <f t="shared" si="301"/>
        <v>53.778768601747821</v>
      </c>
      <c r="G81" s="301">
        <f t="shared" si="301"/>
        <v>51.578638072770381</v>
      </c>
      <c r="H81" s="301">
        <f t="shared" si="301"/>
        <v>49.290832772352253</v>
      </c>
      <c r="I81" s="301">
        <f t="shared" ca="1" si="301"/>
        <v>48.46063187786028</v>
      </c>
      <c r="J81" s="301">
        <f t="shared" ca="1" si="301"/>
        <v>47.224651164576535</v>
      </c>
      <c r="K81" s="301">
        <f t="shared" ref="K81" ca="1" si="302">+K78/AVERAGE(J86:K86)/12*1000</f>
        <v>45.95883532794786</v>
      </c>
      <c r="L81" s="301">
        <f t="shared" ref="L81" ca="1" si="303">+L78/AVERAGE(K86:L86)/12*1000</f>
        <v>44.661731166406589</v>
      </c>
      <c r="M81" s="301">
        <f t="shared" ref="M81" ca="1" si="304">+M78/AVERAGE(L86:M86)/12*1000</f>
        <v>43.32814391798523</v>
      </c>
      <c r="N81" s="301">
        <f t="shared" ref="N81" ca="1" si="305">+N78/AVERAGE(M86:N86)/12*1000</f>
        <v>41.94941574668038</v>
      </c>
      <c r="O81" s="301">
        <f t="shared" ref="O81" ca="1" si="306">+O78/AVERAGE(N86:O86)/12*1000</f>
        <v>40.51356911892254</v>
      </c>
      <c r="P81" s="301">
        <f t="shared" ref="P81" ca="1" si="307">+P78/AVERAGE(O86:P86)/12*1000</f>
        <v>39.005245962661299</v>
      </c>
      <c r="Q81" s="274"/>
      <c r="R81" s="274"/>
      <c r="S81" s="274"/>
      <c r="T81" s="274"/>
      <c r="U81" s="274"/>
      <c r="V81" s="274"/>
      <c r="W81" s="274"/>
      <c r="X81" s="274"/>
      <c r="Y81" s="274"/>
      <c r="Z81" s="274"/>
      <c r="AA81" s="274"/>
      <c r="AB81" s="274"/>
      <c r="AC81" s="274"/>
      <c r="AD81" s="274"/>
      <c r="AE81" s="274"/>
      <c r="AF81" s="274"/>
      <c r="AG81" s="274"/>
      <c r="AH81" s="274"/>
      <c r="AI81" s="274"/>
      <c r="AJ81" s="274"/>
      <c r="AK81" s="274"/>
      <c r="AP81" s="301">
        <f t="shared" ref="AP81:BE81" si="308">+AP78/AVERAGE(AO86:AP86)/3*1000</f>
        <v>61.526516366833214</v>
      </c>
      <c r="AQ81" s="301">
        <f t="shared" si="308"/>
        <v>56.83264547208438</v>
      </c>
      <c r="AR81" s="301">
        <f t="shared" si="308"/>
        <v>56.713105339138501</v>
      </c>
      <c r="AS81" s="301">
        <f t="shared" si="308"/>
        <v>55.527705237123882</v>
      </c>
      <c r="AT81" s="301">
        <f t="shared" si="308"/>
        <v>54.015030710755539</v>
      </c>
      <c r="AU81" s="301">
        <f t="shared" si="308"/>
        <v>54.780695331836775</v>
      </c>
      <c r="AV81" s="301">
        <f t="shared" si="308"/>
        <v>53.724622343119641</v>
      </c>
      <c r="AW81" s="301">
        <f t="shared" si="308"/>
        <v>52.75505809579537</v>
      </c>
      <c r="AX81" s="301">
        <f t="shared" si="308"/>
        <v>52.710203567580187</v>
      </c>
      <c r="AY81" s="301">
        <f t="shared" si="308"/>
        <v>52.028796552566249</v>
      </c>
      <c r="AZ81" s="301">
        <f t="shared" si="308"/>
        <v>51.316154261274114</v>
      </c>
      <c r="BA81" s="301">
        <f t="shared" si="308"/>
        <v>50.488377159010419</v>
      </c>
      <c r="BB81" s="301">
        <f t="shared" si="308"/>
        <v>49.605677701498131</v>
      </c>
      <c r="BC81" s="301">
        <f t="shared" si="308"/>
        <v>49.762162824914171</v>
      </c>
      <c r="BD81" s="301">
        <f t="shared" si="308"/>
        <v>49.594178867181029</v>
      </c>
      <c r="BE81" s="301">
        <f t="shared" si="308"/>
        <v>48.583475904917826</v>
      </c>
      <c r="BF81" s="301">
        <f t="shared" ref="BF81" ca="1" si="309">+BF78/AVERAGE(BE86:BF86)/3*1000</f>
        <v>48.585317259074195</v>
      </c>
      <c r="BG81" s="301">
        <f t="shared" ref="BG81" ca="1" si="310">+BG78/AVERAGE(BF86:BG86)/3*1000</f>
        <v>48.573457545040739</v>
      </c>
      <c r="BH81" s="301">
        <f t="shared" ref="BH81" ca="1" si="311">+BH78/AVERAGE(BG86:BH86)/3*1000</f>
        <v>48.557069670960345</v>
      </c>
      <c r="BI81" s="301">
        <f t="shared" ref="BI81" ca="1" si="312">+BI78/AVERAGE(BH86:BI86)/3*1000</f>
        <v>48.531326704122201</v>
      </c>
    </row>
    <row r="82" spans="2:63" s="248" customFormat="1">
      <c r="B82" s="282" t="s">
        <v>252</v>
      </c>
      <c r="C82" s="319"/>
      <c r="F82" s="248">
        <f>+F81/E81-1</f>
        <v>-6.5882184702678481E-2</v>
      </c>
      <c r="G82" s="248">
        <f>+G81/F81-1</f>
        <v>-4.0910764344015416E-2</v>
      </c>
      <c r="H82" s="248">
        <f>+H81/G81-1</f>
        <v>-4.4355674866605632E-2</v>
      </c>
      <c r="I82" s="248">
        <f ca="1">+I81/H81-1</f>
        <v>-1.6842906637958843E-2</v>
      </c>
      <c r="J82" s="283">
        <f ca="1">+J81/I81-1</f>
        <v>-2.5504841051162908E-2</v>
      </c>
      <c r="K82" s="283">
        <f t="shared" ref="K82:P82" ca="1" si="313">+K81/J81-1</f>
        <v>-2.680413312567087E-2</v>
      </c>
      <c r="L82" s="283">
        <f t="shared" ca="1" si="313"/>
        <v>-2.8223173026155735E-2</v>
      </c>
      <c r="M82" s="283">
        <f t="shared" ca="1" si="313"/>
        <v>-2.9859730323764322E-2</v>
      </c>
      <c r="N82" s="283">
        <f t="shared" ca="1" si="313"/>
        <v>-3.1820614654405888E-2</v>
      </c>
      <c r="O82" s="283">
        <f t="shared" ca="1" si="313"/>
        <v>-3.4228048286261581E-2</v>
      </c>
      <c r="P82" s="283">
        <f t="shared" ca="1" si="313"/>
        <v>-3.7230073505342021E-2</v>
      </c>
      <c r="Q82" s="319"/>
      <c r="R82" s="319"/>
      <c r="S82" s="319"/>
      <c r="T82" s="319"/>
      <c r="U82" s="319"/>
      <c r="V82" s="319"/>
      <c r="W82" s="319"/>
      <c r="X82" s="319"/>
      <c r="Y82" s="319"/>
      <c r="Z82" s="319"/>
      <c r="AA82" s="319"/>
      <c r="AB82" s="319"/>
      <c r="AC82" s="319"/>
      <c r="AD82" s="319"/>
      <c r="AE82" s="319"/>
      <c r="AF82" s="319"/>
      <c r="AG82" s="319"/>
      <c r="AH82" s="319"/>
      <c r="AI82" s="319"/>
      <c r="AJ82" s="319"/>
      <c r="AK82" s="319"/>
      <c r="AU82" s="283">
        <f t="shared" ref="AU82:BE82" si="314">+AU81/AQ81-1</f>
        <v>-3.6105131534929225E-2</v>
      </c>
      <c r="AV82" s="283">
        <f t="shared" si="314"/>
        <v>-5.2694751559591801E-2</v>
      </c>
      <c r="AW82" s="283">
        <f t="shared" si="314"/>
        <v>-4.993268008264129E-2</v>
      </c>
      <c r="AX82" s="283">
        <f t="shared" si="314"/>
        <v>-2.4156741669972503E-2</v>
      </c>
      <c r="AY82" s="283">
        <f t="shared" si="314"/>
        <v>-5.0234827480753252E-2</v>
      </c>
      <c r="AZ82" s="283">
        <f t="shared" si="314"/>
        <v>-4.482987458643295E-2</v>
      </c>
      <c r="BA82" s="283">
        <f t="shared" si="314"/>
        <v>-4.2966134785957233E-2</v>
      </c>
      <c r="BB82" s="283">
        <f t="shared" si="314"/>
        <v>-5.8898005622416538E-2</v>
      </c>
      <c r="BC82" s="283">
        <f t="shared" si="314"/>
        <v>-4.3564984736136125E-2</v>
      </c>
      <c r="BD82" s="283">
        <f t="shared" si="314"/>
        <v>-3.3556205036833431E-2</v>
      </c>
      <c r="BE82" s="283">
        <f t="shared" si="314"/>
        <v>-3.7729500556003437E-2</v>
      </c>
      <c r="BF82" s="283">
        <f t="shared" ref="BF82" ca="1" si="315">+BF81/BB81-1</f>
        <v>-2.0569428535256562E-2</v>
      </c>
      <c r="BG82" s="283">
        <f t="shared" ref="BG82" ca="1" si="316">+BG81/BC81-1</f>
        <v>-2.3887733418176293E-2</v>
      </c>
      <c r="BH82" s="283">
        <f t="shared" ref="BH82" ca="1" si="317">+BH81/BD81-1</f>
        <v>-2.0911913855821362E-2</v>
      </c>
      <c r="BI82" s="283">
        <f t="shared" ref="BI82" ca="1" si="318">+BI81/BE81-1</f>
        <v>-1.0733937789401127E-3</v>
      </c>
    </row>
    <row r="83" spans="2:63" s="268" customFormat="1">
      <c r="B83" s="298" t="s">
        <v>342</v>
      </c>
      <c r="C83" s="333"/>
      <c r="J83" s="303"/>
      <c r="K83" s="303"/>
      <c r="L83" s="303"/>
      <c r="M83" s="303"/>
      <c r="N83" s="303"/>
      <c r="O83" s="303"/>
      <c r="P83" s="303"/>
      <c r="Q83" s="333"/>
      <c r="R83" s="333"/>
      <c r="S83" s="333"/>
      <c r="T83" s="333"/>
      <c r="U83" s="333"/>
      <c r="V83" s="333"/>
      <c r="W83" s="333"/>
      <c r="X83" s="333"/>
      <c r="Y83" s="333"/>
      <c r="Z83" s="333"/>
      <c r="AA83" s="333"/>
      <c r="AB83" s="333"/>
      <c r="AC83" s="333"/>
      <c r="AD83" s="333"/>
      <c r="AE83" s="333"/>
      <c r="AF83" s="333"/>
      <c r="AG83" s="333"/>
      <c r="AH83" s="333"/>
      <c r="AI83" s="333"/>
      <c r="AJ83" s="333"/>
      <c r="AK83" s="333"/>
      <c r="AQ83" s="303">
        <f t="shared" ref="AQ83:BE83" si="319">+AQ81-AP81</f>
        <v>-4.6938708947488337</v>
      </c>
      <c r="AR83" s="303">
        <f t="shared" si="319"/>
        <v>-0.11954013294587895</v>
      </c>
      <c r="AS83" s="303">
        <f t="shared" si="319"/>
        <v>-1.1854001020146185</v>
      </c>
      <c r="AT83" s="303">
        <f t="shared" si="319"/>
        <v>-1.5126745263683432</v>
      </c>
      <c r="AU83" s="303">
        <f t="shared" si="319"/>
        <v>0.76566462108123545</v>
      </c>
      <c r="AV83" s="303">
        <f t="shared" si="319"/>
        <v>-1.0560729887171334</v>
      </c>
      <c r="AW83" s="303">
        <f t="shared" si="319"/>
        <v>-0.96956424732427138</v>
      </c>
      <c r="AX83" s="303">
        <f t="shared" si="319"/>
        <v>-4.4854528215182654E-2</v>
      </c>
      <c r="AY83" s="303">
        <f t="shared" si="319"/>
        <v>-0.68140701501393863</v>
      </c>
      <c r="AZ83" s="303">
        <f t="shared" si="319"/>
        <v>-0.71264229129213419</v>
      </c>
      <c r="BA83" s="303">
        <f t="shared" si="319"/>
        <v>-0.8277771022636955</v>
      </c>
      <c r="BB83" s="303">
        <f t="shared" si="319"/>
        <v>-0.88269945751228818</v>
      </c>
      <c r="BC83" s="303">
        <f t="shared" si="319"/>
        <v>0.15648512341604004</v>
      </c>
      <c r="BD83" s="303">
        <f t="shared" si="319"/>
        <v>-0.16798395773314212</v>
      </c>
      <c r="BE83" s="303">
        <f t="shared" si="319"/>
        <v>-1.0107029622632027</v>
      </c>
      <c r="BF83" s="303">
        <f t="shared" ref="BF83" ca="1" si="320">+BF81-BE81</f>
        <v>1.8413541563688796E-3</v>
      </c>
      <c r="BG83" s="303">
        <f t="shared" ref="BG83" ca="1" si="321">+BG81-BF81</f>
        <v>-1.1859714033455759E-2</v>
      </c>
      <c r="BH83" s="303">
        <f t="shared" ref="BH83" ca="1" si="322">+BH81-BG81</f>
        <v>-1.6387874080393772E-2</v>
      </c>
      <c r="BI83" s="303">
        <f t="shared" ref="BI83" ca="1" si="323">+BI81-BH81</f>
        <v>-2.574296683814481E-2</v>
      </c>
    </row>
    <row r="84" spans="2:63" s="268" customFormat="1">
      <c r="B84" s="298" t="s">
        <v>343</v>
      </c>
      <c r="C84" s="333"/>
      <c r="F84" s="303">
        <f>+F81-E81</f>
        <v>-3.7929506407874598</v>
      </c>
      <c r="G84" s="303">
        <f>+G81-F81</f>
        <v>-2.2001305289774393</v>
      </c>
      <c r="H84" s="303">
        <f>+H81-G81</f>
        <v>-2.2878053004181282</v>
      </c>
      <c r="I84" s="303">
        <f ca="1">+I81-H81</f>
        <v>-0.83020089449197343</v>
      </c>
      <c r="J84" s="303">
        <f ca="1">+J81-I81</f>
        <v>-1.2359807132837446</v>
      </c>
      <c r="K84" s="303">
        <f t="shared" ref="K84:P84" ca="1" si="324">+K81-J81</f>
        <v>-1.2658158366286756</v>
      </c>
      <c r="L84" s="303">
        <f t="shared" ca="1" si="324"/>
        <v>-1.2971041615412702</v>
      </c>
      <c r="M84" s="303">
        <f t="shared" ca="1" si="324"/>
        <v>-1.3335872484213596</v>
      </c>
      <c r="N84" s="303">
        <f t="shared" ca="1" si="324"/>
        <v>-1.37872817130485</v>
      </c>
      <c r="O84" s="303">
        <f t="shared" ca="1" si="324"/>
        <v>-1.4358466277578401</v>
      </c>
      <c r="P84" s="303">
        <f t="shared" ca="1" si="324"/>
        <v>-1.5083231562612411</v>
      </c>
      <c r="Q84" s="333"/>
      <c r="R84" s="333"/>
      <c r="S84" s="333"/>
      <c r="T84" s="333"/>
      <c r="U84" s="333"/>
      <c r="V84" s="333"/>
      <c r="W84" s="333"/>
      <c r="X84" s="333"/>
      <c r="Y84" s="333"/>
      <c r="Z84" s="333"/>
      <c r="AA84" s="333"/>
      <c r="AB84" s="333"/>
      <c r="AC84" s="333"/>
      <c r="AD84" s="333"/>
      <c r="AE84" s="333"/>
      <c r="AF84" s="333"/>
      <c r="AG84" s="333"/>
      <c r="AH84" s="333"/>
      <c r="AI84" s="333"/>
      <c r="AJ84" s="333"/>
      <c r="AK84" s="333"/>
      <c r="AT84" s="303">
        <f t="shared" ref="AT84:BE84" si="325">+AT81-AP81</f>
        <v>-7.5114856560776744</v>
      </c>
      <c r="AU84" s="303">
        <f t="shared" si="325"/>
        <v>-2.0519501402476052</v>
      </c>
      <c r="AV84" s="303">
        <f t="shared" si="325"/>
        <v>-2.9884829960188597</v>
      </c>
      <c r="AW84" s="303">
        <f t="shared" si="325"/>
        <v>-2.7726471413285125</v>
      </c>
      <c r="AX84" s="303">
        <f t="shared" si="325"/>
        <v>-1.304827143175352</v>
      </c>
      <c r="AY84" s="303">
        <f t="shared" si="325"/>
        <v>-2.7518987792705261</v>
      </c>
      <c r="AZ84" s="303">
        <f t="shared" si="325"/>
        <v>-2.4084680818455269</v>
      </c>
      <c r="BA84" s="303">
        <f t="shared" si="325"/>
        <v>-2.266680936784951</v>
      </c>
      <c r="BB84" s="303">
        <f t="shared" si="325"/>
        <v>-3.1045258660820565</v>
      </c>
      <c r="BC84" s="303">
        <f t="shared" si="325"/>
        <v>-2.2666337276520778</v>
      </c>
      <c r="BD84" s="303">
        <f t="shared" si="325"/>
        <v>-1.7219753940930858</v>
      </c>
      <c r="BE84" s="303">
        <f t="shared" si="325"/>
        <v>-1.9049012540925929</v>
      </c>
      <c r="BF84" s="303">
        <f t="shared" ref="BF84" ca="1" si="326">+BF81-BB81</f>
        <v>-1.0203604424239359</v>
      </c>
      <c r="BG84" s="303">
        <f t="shared" ref="BG84" ca="1" si="327">+BG81-BC81</f>
        <v>-1.1887052798734317</v>
      </c>
      <c r="BH84" s="303">
        <f t="shared" ref="BH84" ca="1" si="328">+BH81-BD81</f>
        <v>-1.0371091962206833</v>
      </c>
      <c r="BI84" s="303">
        <f t="shared" ref="BI84" ca="1" si="329">+BI81-BE81</f>
        <v>-5.2149200795625461E-2</v>
      </c>
    </row>
    <row r="85" spans="2:63">
      <c r="C85" s="274"/>
      <c r="D85" s="235"/>
      <c r="E85" s="235"/>
      <c r="F85" s="235"/>
      <c r="G85" s="235"/>
      <c r="H85" s="235"/>
      <c r="I85" s="235"/>
      <c r="J85" s="235"/>
      <c r="K85" s="235"/>
      <c r="L85" s="235"/>
      <c r="M85" s="235"/>
      <c r="N85" s="235"/>
      <c r="O85" s="235"/>
      <c r="P85" s="235"/>
      <c r="Q85" s="274"/>
      <c r="R85" s="274"/>
      <c r="S85" s="274"/>
      <c r="T85" s="274"/>
      <c r="U85" s="274"/>
      <c r="V85" s="274"/>
      <c r="W85" s="274"/>
      <c r="X85" s="274"/>
      <c r="Y85" s="274"/>
      <c r="Z85" s="274"/>
      <c r="AA85" s="274"/>
      <c r="AB85" s="274"/>
      <c r="AC85" s="274"/>
      <c r="AD85" s="274"/>
      <c r="AE85" s="274"/>
      <c r="AF85" s="274"/>
      <c r="AG85" s="274"/>
      <c r="AH85" s="274"/>
      <c r="AI85" s="274"/>
      <c r="AJ85" s="274"/>
      <c r="AK85" s="274"/>
    </row>
    <row r="86" spans="2:63">
      <c r="B86" s="235" t="s">
        <v>2</v>
      </c>
      <c r="C86" s="274"/>
      <c r="D86" s="236">
        <f>+AO86</f>
        <v>40811</v>
      </c>
      <c r="E86" s="236">
        <f>+AS86</f>
        <v>45160</v>
      </c>
      <c r="F86" s="236">
        <f>+AW86</f>
        <v>48290</v>
      </c>
      <c r="G86" s="236">
        <f>+BA86</f>
        <v>50688</v>
      </c>
      <c r="H86" s="236">
        <f>+BE86</f>
        <v>51811</v>
      </c>
      <c r="I86" s="236">
        <f ca="1">+BI86</f>
        <v>52012.113713360042</v>
      </c>
      <c r="J86" s="236">
        <f ca="1">+'AT&amp;T Mobility'!J67-'Consumer Mobility'!J59</f>
        <v>52237.993774854105</v>
      </c>
      <c r="K86" s="236">
        <f ca="1">+'AT&amp;T Mobility'!K67-'Consumer Mobility'!K59</f>
        <v>52438.325341941847</v>
      </c>
      <c r="L86" s="236">
        <f ca="1">+'AT&amp;T Mobility'!L67-'Consumer Mobility'!L59</f>
        <v>52567.84749195668</v>
      </c>
      <c r="M86" s="236">
        <f ca="1">+'AT&amp;T Mobility'!M67-'Consumer Mobility'!M59</f>
        <v>52586.562093193206</v>
      </c>
      <c r="N86" s="236">
        <f ca="1">+'AT&amp;T Mobility'!N67-'Consumer Mobility'!N59</f>
        <v>52459.799107814761</v>
      </c>
      <c r="O86" s="236">
        <f ca="1">+'AT&amp;T Mobility'!O67-'Consumer Mobility'!O59</f>
        <v>52158.158253469854</v>
      </c>
      <c r="P86" s="236">
        <f ca="1">+'AT&amp;T Mobility'!P67-'Consumer Mobility'!P59</f>
        <v>51657.347066015667</v>
      </c>
      <c r="Q86" s="274"/>
      <c r="R86" s="274"/>
      <c r="S86" s="274"/>
      <c r="T86" s="274"/>
      <c r="U86" s="274"/>
      <c r="V86" s="274"/>
      <c r="W86" s="274"/>
      <c r="X86" s="274"/>
      <c r="Y86" s="274"/>
      <c r="Z86" s="274"/>
      <c r="AA86" s="274"/>
      <c r="AB86" s="274"/>
      <c r="AC86" s="274"/>
      <c r="AD86" s="274"/>
      <c r="AE86" s="274"/>
      <c r="AF86" s="274"/>
      <c r="AG86" s="274"/>
      <c r="AH86" s="274"/>
      <c r="AI86" s="274"/>
      <c r="AJ86" s="274"/>
      <c r="AK86" s="274"/>
      <c r="AO86" s="236">
        <f>+AO66</f>
        <v>40811</v>
      </c>
      <c r="AP86" s="236">
        <f t="shared" ref="AP86:AV86" si="330">+AP66</f>
        <v>41846</v>
      </c>
      <c r="AQ86" s="236">
        <f t="shared" si="330"/>
        <v>42987</v>
      </c>
      <c r="AR86" s="236">
        <f t="shared" si="330"/>
        <v>44062</v>
      </c>
      <c r="AS86" s="236">
        <f t="shared" si="330"/>
        <v>45160</v>
      </c>
      <c r="AT86" s="236">
        <f t="shared" si="330"/>
        <v>45959</v>
      </c>
      <c r="AU86" s="236">
        <f t="shared" si="330"/>
        <v>46697</v>
      </c>
      <c r="AV86" s="236">
        <f t="shared" si="330"/>
        <v>47414</v>
      </c>
      <c r="AW86" s="236">
        <f t="shared" ref="AW86:BB86" si="331">+AW66</f>
        <v>48290</v>
      </c>
      <c r="AX86" s="236">
        <f t="shared" si="331"/>
        <v>48844</v>
      </c>
      <c r="AY86" s="236">
        <f t="shared" si="331"/>
        <v>49432</v>
      </c>
      <c r="AZ86" s="236">
        <f t="shared" si="331"/>
        <v>50014</v>
      </c>
      <c r="BA86" s="236">
        <f t="shared" si="331"/>
        <v>50688</v>
      </c>
      <c r="BB86" s="236">
        <f t="shared" si="331"/>
        <v>50839</v>
      </c>
      <c r="BC86" s="236">
        <f t="shared" ref="BC86:BD86" si="332">+BC66</f>
        <v>51111</v>
      </c>
      <c r="BD86" s="236">
        <f t="shared" si="332"/>
        <v>51412</v>
      </c>
      <c r="BE86" s="236">
        <f t="shared" ref="BE86" si="333">+BE66</f>
        <v>51811</v>
      </c>
      <c r="BF86" s="425">
        <f ca="1">+'AT&amp;T Mobility'!BF67-'Consumer Mobility'!BF59</f>
        <v>51706.70700321917</v>
      </c>
      <c r="BG86" s="425">
        <f ca="1">+'AT&amp;T Mobility'!BG67-'Consumer Mobility'!BG59</f>
        <v>51772.921984800705</v>
      </c>
      <c r="BH86" s="425">
        <f ca="1">+'AT&amp;T Mobility'!BH67-'Consumer Mobility'!BH59</f>
        <v>51822.593625690221</v>
      </c>
      <c r="BI86" s="425">
        <f ca="1">+'AT&amp;T Mobility'!BI67-'Consumer Mobility'!BI59</f>
        <v>52012.113713360042</v>
      </c>
    </row>
    <row r="87" spans="2:63" s="252" customFormat="1">
      <c r="B87" s="296" t="s">
        <v>117</v>
      </c>
      <c r="C87" s="247"/>
      <c r="E87" s="252">
        <f>SUM(AP87:AS87)</f>
        <v>2064</v>
      </c>
      <c r="F87" s="252">
        <f>SUM(AT87:AW87)</f>
        <v>1203</v>
      </c>
      <c r="G87" s="252">
        <f>SUM(AX87:BA87)</f>
        <v>759</v>
      </c>
      <c r="H87" s="252">
        <f>SUM(BB87:BE87)</f>
        <v>147</v>
      </c>
      <c r="I87" s="252">
        <f ca="1">SUM(BF87:BI87)</f>
        <v>201.11371336004231</v>
      </c>
      <c r="J87" s="252">
        <f ca="1">+J86-I86</f>
        <v>225.88006149406283</v>
      </c>
      <c r="K87" s="252">
        <f t="shared" ref="K87:P87" ca="1" si="334">+K86-J86</f>
        <v>200.33156708774186</v>
      </c>
      <c r="L87" s="252">
        <f t="shared" ca="1" si="334"/>
        <v>129.52215001483273</v>
      </c>
      <c r="M87" s="252">
        <f t="shared" ca="1" si="334"/>
        <v>18.714601236526505</v>
      </c>
      <c r="N87" s="252">
        <f t="shared" ca="1" si="334"/>
        <v>-126.76298537844559</v>
      </c>
      <c r="O87" s="252">
        <f t="shared" ca="1" si="334"/>
        <v>-301.64085434490698</v>
      </c>
      <c r="P87" s="252">
        <f t="shared" ca="1" si="334"/>
        <v>-500.81118745418644</v>
      </c>
      <c r="Q87" s="247"/>
      <c r="R87" s="247"/>
      <c r="S87" s="247"/>
      <c r="T87" s="247"/>
      <c r="U87" s="247"/>
      <c r="V87" s="247"/>
      <c r="W87" s="247"/>
      <c r="X87" s="247"/>
      <c r="Y87" s="247"/>
      <c r="Z87" s="247"/>
      <c r="AA87" s="247"/>
      <c r="AB87" s="247"/>
      <c r="AC87" s="247"/>
      <c r="AD87" s="247"/>
      <c r="AE87" s="247"/>
      <c r="AF87" s="247"/>
      <c r="AG87" s="247"/>
      <c r="AH87" s="247"/>
      <c r="AI87" s="247"/>
      <c r="AJ87" s="247"/>
      <c r="AK87" s="247"/>
      <c r="AO87" s="252">
        <f>+AO71</f>
        <v>333</v>
      </c>
      <c r="AP87" s="252">
        <f>+AP71</f>
        <v>366</v>
      </c>
      <c r="AQ87" s="252">
        <f t="shared" ref="AQ87:AV87" si="335">+AQ71</f>
        <v>587</v>
      </c>
      <c r="AR87" s="252">
        <f t="shared" si="335"/>
        <v>545</v>
      </c>
      <c r="AS87" s="252">
        <f t="shared" si="335"/>
        <v>566</v>
      </c>
      <c r="AT87" s="252">
        <f t="shared" si="335"/>
        <v>297</v>
      </c>
      <c r="AU87" s="252">
        <f t="shared" si="335"/>
        <v>288</v>
      </c>
      <c r="AV87" s="252">
        <f t="shared" si="335"/>
        <v>265</v>
      </c>
      <c r="AW87" s="252">
        <f t="shared" ref="AW87:BB87" si="336">+AW71</f>
        <v>353</v>
      </c>
      <c r="AX87" s="252">
        <f t="shared" si="336"/>
        <v>133</v>
      </c>
      <c r="AY87" s="252">
        <f t="shared" si="336"/>
        <v>185</v>
      </c>
      <c r="AZ87" s="252">
        <f t="shared" si="336"/>
        <v>191</v>
      </c>
      <c r="BA87" s="252">
        <f t="shared" si="336"/>
        <v>250</v>
      </c>
      <c r="BB87" s="252">
        <f t="shared" si="336"/>
        <v>-125</v>
      </c>
      <c r="BC87" s="252">
        <f t="shared" ref="BC87:BD87" si="337">+BC71</f>
        <v>36</v>
      </c>
      <c r="BD87" s="252">
        <f t="shared" si="337"/>
        <v>15</v>
      </c>
      <c r="BE87" s="252">
        <f t="shared" ref="BE87" si="338">+BE71</f>
        <v>221</v>
      </c>
      <c r="BF87" s="252">
        <f t="shared" ref="BF87" ca="1" si="339">+BF86-BE86</f>
        <v>-104.29299678083044</v>
      </c>
      <c r="BG87" s="252">
        <f t="shared" ref="BG87" ca="1" si="340">+BG86-BF86</f>
        <v>66.21498158153554</v>
      </c>
      <c r="BH87" s="252">
        <f t="shared" ref="BH87" ca="1" si="341">+BH86-BG86</f>
        <v>49.671640889515402</v>
      </c>
      <c r="BI87" s="252">
        <f t="shared" ref="BI87" ca="1" si="342">+BI86-BH86</f>
        <v>189.52008766982181</v>
      </c>
      <c r="BK87" s="236"/>
    </row>
    <row r="88" spans="2:63">
      <c r="C88" s="274"/>
      <c r="D88" s="235"/>
      <c r="E88" s="235"/>
      <c r="F88" s="235"/>
      <c r="G88" s="235"/>
      <c r="H88" s="235"/>
      <c r="I88" s="235"/>
      <c r="J88" s="235"/>
      <c r="K88" s="235"/>
      <c r="L88" s="235"/>
      <c r="M88" s="235"/>
      <c r="N88" s="235"/>
      <c r="O88" s="235"/>
      <c r="P88" s="235"/>
      <c r="Q88" s="274"/>
      <c r="R88" s="274"/>
      <c r="S88" s="274"/>
      <c r="T88" s="274"/>
      <c r="U88" s="274"/>
      <c r="V88" s="274"/>
      <c r="W88" s="274"/>
      <c r="X88" s="274"/>
      <c r="Y88" s="274"/>
      <c r="Z88" s="274"/>
      <c r="AA88" s="274"/>
      <c r="AB88" s="274"/>
      <c r="AC88" s="274"/>
      <c r="AD88" s="274"/>
      <c r="AE88" s="274"/>
      <c r="AF88" s="274"/>
      <c r="AG88" s="274"/>
      <c r="AH88" s="274"/>
      <c r="AI88" s="274"/>
      <c r="AJ88" s="274"/>
      <c r="AK88" s="274"/>
    </row>
    <row r="89" spans="2:63" s="252" customFormat="1">
      <c r="B89" s="247" t="s">
        <v>37</v>
      </c>
      <c r="C89" s="247"/>
      <c r="E89" s="252">
        <f>SUM(AP89:AS89)</f>
        <v>6700.9252500000002</v>
      </c>
      <c r="F89" s="252">
        <f>SUM(AT89:AW89)</f>
        <v>6759.2251500000002</v>
      </c>
      <c r="G89" s="252">
        <f>SUM(AX89:BA89)</f>
        <v>6710.2451999999994</v>
      </c>
      <c r="H89" s="252">
        <f>SUM(BB89:BE89)</f>
        <v>6485.3169000000016</v>
      </c>
      <c r="I89" s="252">
        <f>SUM(BF89:BI89)</f>
        <v>6643.0289412499997</v>
      </c>
      <c r="J89" s="252">
        <f>+'AT&amp;T Mobility'!J78-'Consumer Mobility'!J62</f>
        <v>6691.8603412499997</v>
      </c>
      <c r="K89" s="252">
        <f>+'AT&amp;T Mobility'!K78-'Consumer Mobility'!K62</f>
        <v>6690.6917412499997</v>
      </c>
      <c r="L89" s="252">
        <f>+'AT&amp;T Mobility'!L78-'Consumer Mobility'!L62</f>
        <v>6639.5231412499998</v>
      </c>
      <c r="M89" s="252">
        <f>+'AT&amp;T Mobility'!M78-'Consumer Mobility'!M62</f>
        <v>6538.3545412499998</v>
      </c>
      <c r="N89" s="252">
        <f>+'AT&amp;T Mobility'!N78-'Consumer Mobility'!N62</f>
        <v>6387.1859412499998</v>
      </c>
      <c r="O89" s="252">
        <f>+'AT&amp;T Mobility'!O78-'Consumer Mobility'!O62</f>
        <v>6186.0173412499998</v>
      </c>
      <c r="P89" s="252">
        <f>+'AT&amp;T Mobility'!P78-'Consumer Mobility'!P62</f>
        <v>5934.8487412499999</v>
      </c>
      <c r="Q89" s="247"/>
      <c r="R89" s="247"/>
      <c r="S89" s="247"/>
      <c r="T89" s="247"/>
      <c r="U89" s="247"/>
      <c r="V89" s="247"/>
      <c r="W89" s="247"/>
      <c r="X89" s="247"/>
      <c r="Y89" s="247"/>
      <c r="Z89" s="247"/>
      <c r="AA89" s="247"/>
      <c r="AB89" s="247"/>
      <c r="AC89" s="247"/>
      <c r="AD89" s="247"/>
      <c r="AE89" s="247"/>
      <c r="AF89" s="247"/>
      <c r="AG89" s="247"/>
      <c r="AH89" s="247"/>
      <c r="AI89" s="247"/>
      <c r="AJ89" s="247"/>
      <c r="AK89" s="247"/>
      <c r="AP89" s="252">
        <f t="shared" ref="AP89:AV89" si="343">+AP87+AP94</f>
        <v>1519.0651499999999</v>
      </c>
      <c r="AQ89" s="252">
        <f t="shared" si="343"/>
        <v>1528.6463000000001</v>
      </c>
      <c r="AR89" s="252">
        <f t="shared" si="343"/>
        <v>1641.8173999999999</v>
      </c>
      <c r="AS89" s="252">
        <f t="shared" si="343"/>
        <v>2011.3964000000001</v>
      </c>
      <c r="AT89" s="252">
        <f t="shared" si="343"/>
        <v>1527.1064999999999</v>
      </c>
      <c r="AU89" s="252">
        <f t="shared" si="343"/>
        <v>1552.7544</v>
      </c>
      <c r="AV89" s="252">
        <f t="shared" si="343"/>
        <v>1747.2482500000001</v>
      </c>
      <c r="AW89" s="252">
        <f t="shared" ref="AW89:BB89" si="344">+AW87+AW94</f>
        <v>1932.116</v>
      </c>
      <c r="AX89" s="252">
        <f t="shared" si="344"/>
        <v>1619.1502</v>
      </c>
      <c r="AY89" s="252">
        <f t="shared" si="344"/>
        <v>1526.4674</v>
      </c>
      <c r="AZ89" s="252">
        <f t="shared" si="344"/>
        <v>1637.9393</v>
      </c>
      <c r="BA89" s="252">
        <f t="shared" si="344"/>
        <v>1926.6883000000003</v>
      </c>
      <c r="BB89" s="252">
        <f t="shared" si="344"/>
        <v>1504.5083500000001</v>
      </c>
      <c r="BC89" s="252">
        <f t="shared" ref="BC89:BD89" si="345">+BC87+BC94</f>
        <v>1519.3725000000002</v>
      </c>
      <c r="BD89" s="252">
        <f t="shared" si="345"/>
        <v>1568.22345</v>
      </c>
      <c r="BE89" s="252">
        <f t="shared" ref="BE89" si="346">+BE87+BE94</f>
        <v>1893.2126000000003</v>
      </c>
      <c r="BF89" s="421">
        <f>+'AT&amp;T Mobility'!BF78-'Consumer Mobility'!BF62</f>
        <v>1525.801774</v>
      </c>
      <c r="BG89" s="421">
        <f>+'AT&amp;T Mobility'!BG78-'Consumer Mobility'!BG62</f>
        <v>1548.3543812499997</v>
      </c>
      <c r="BH89" s="421">
        <f>+'AT&amp;T Mobility'!BH78-'Consumer Mobility'!BH62</f>
        <v>1618.753516</v>
      </c>
      <c r="BI89" s="421">
        <f>+'AT&amp;T Mobility'!BI78-'Consumer Mobility'!BI62</f>
        <v>1950.1192700000004</v>
      </c>
      <c r="BK89" s="236"/>
    </row>
    <row r="90" spans="2:63" s="248" customFormat="1">
      <c r="B90" s="282" t="s">
        <v>252</v>
      </c>
      <c r="C90" s="319"/>
      <c r="F90" s="248">
        <f>+F89/E89-1</f>
        <v>8.7002761297776399E-3</v>
      </c>
      <c r="G90" s="248">
        <f>+G89/F89-1</f>
        <v>-7.2463853345676732E-3</v>
      </c>
      <c r="H90" s="248">
        <f>+H89/G89-1</f>
        <v>-3.3520131276275511E-2</v>
      </c>
      <c r="I90" s="248">
        <f>+I89/H89-1</f>
        <v>2.4318324560207438E-2</v>
      </c>
      <c r="J90" s="283">
        <f>+J89/I89-1</f>
        <v>7.3507733342512704E-3</v>
      </c>
      <c r="K90" s="283">
        <f t="shared" ref="K90:P90" si="347">+K89/J89-1</f>
        <v>-1.7463006404905279E-4</v>
      </c>
      <c r="L90" s="283">
        <f t="shared" si="347"/>
        <v>-7.6477294095812498E-3</v>
      </c>
      <c r="M90" s="283">
        <f t="shared" si="347"/>
        <v>-1.5237329224965013E-2</v>
      </c>
      <c r="N90" s="283">
        <f t="shared" si="347"/>
        <v>-2.3120281876164439E-2</v>
      </c>
      <c r="O90" s="283">
        <f t="shared" si="347"/>
        <v>-3.1495654244352633E-2</v>
      </c>
      <c r="P90" s="283">
        <f t="shared" si="347"/>
        <v>-4.0602634319361064E-2</v>
      </c>
      <c r="Q90" s="319"/>
      <c r="R90" s="319"/>
      <c r="S90" s="319"/>
      <c r="T90" s="319"/>
      <c r="U90" s="319"/>
      <c r="V90" s="319"/>
      <c r="W90" s="319"/>
      <c r="X90" s="319"/>
      <c r="Y90" s="319"/>
      <c r="Z90" s="319"/>
      <c r="AA90" s="319"/>
      <c r="AB90" s="319"/>
      <c r="AC90" s="319"/>
      <c r="AD90" s="319"/>
      <c r="AE90" s="319"/>
      <c r="AF90" s="319"/>
      <c r="AG90" s="319"/>
      <c r="AH90" s="319"/>
      <c r="AI90" s="319"/>
      <c r="AJ90" s="319"/>
      <c r="AK90" s="319"/>
      <c r="AU90" s="283">
        <f t="shared" ref="AU90:BE90" si="348">+AU89/AQ89-1</f>
        <v>1.5770881727185548E-2</v>
      </c>
      <c r="AV90" s="283">
        <f t="shared" si="348"/>
        <v>6.4215941431732926E-2</v>
      </c>
      <c r="AW90" s="283">
        <f t="shared" si="348"/>
        <v>-3.9415602016589113E-2</v>
      </c>
      <c r="AX90" s="283">
        <f t="shared" si="348"/>
        <v>6.0273268432817328E-2</v>
      </c>
      <c r="AY90" s="283">
        <f t="shared" si="348"/>
        <v>-1.6929270978076172E-2</v>
      </c>
      <c r="AZ90" s="283">
        <f t="shared" si="348"/>
        <v>-6.256062926375805E-2</v>
      </c>
      <c r="BA90" s="283">
        <f t="shared" si="348"/>
        <v>-2.8091998617059133E-3</v>
      </c>
      <c r="BB90" s="283">
        <f t="shared" si="348"/>
        <v>-7.0803715430477032E-2</v>
      </c>
      <c r="BC90" s="283">
        <f t="shared" si="348"/>
        <v>-4.6479210758119116E-3</v>
      </c>
      <c r="BD90" s="283">
        <f t="shared" si="348"/>
        <v>-4.2563146265554574E-2</v>
      </c>
      <c r="BE90" s="283">
        <f t="shared" si="348"/>
        <v>-1.7374735705822264E-2</v>
      </c>
      <c r="BF90" s="283">
        <f t="shared" ref="BF90" si="349">+BF89/BB89-1</f>
        <v>1.4153077980590734E-2</v>
      </c>
      <c r="BG90" s="283">
        <f t="shared" ref="BG90" si="350">+BG89/BC89-1</f>
        <v>1.9074901809792877E-2</v>
      </c>
      <c r="BH90" s="283">
        <f t="shared" ref="BH90" si="351">+BH89/BD89-1</f>
        <v>3.222121566923386E-2</v>
      </c>
      <c r="BI90" s="283">
        <f t="shared" ref="BI90" si="352">+BI89/BE89-1</f>
        <v>3.0058256531781069E-2</v>
      </c>
    </row>
    <row r="91" spans="2:63" s="278" customFormat="1">
      <c r="B91" s="298" t="s">
        <v>342</v>
      </c>
      <c r="C91" s="333"/>
      <c r="J91" s="278">
        <f>+J89-I89</f>
        <v>48.831400000000031</v>
      </c>
      <c r="K91" s="278">
        <f t="shared" ref="K91:P91" si="353">+K89-J89</f>
        <v>-1.1685999999999694</v>
      </c>
      <c r="L91" s="278">
        <f t="shared" si="353"/>
        <v>-51.168599999999969</v>
      </c>
      <c r="M91" s="278">
        <f t="shared" si="353"/>
        <v>-101.16859999999997</v>
      </c>
      <c r="N91" s="278">
        <f t="shared" si="353"/>
        <v>-151.16859999999997</v>
      </c>
      <c r="O91" s="278">
        <f t="shared" si="353"/>
        <v>-201.16859999999997</v>
      </c>
      <c r="P91" s="278">
        <f t="shared" si="353"/>
        <v>-251.16859999999997</v>
      </c>
      <c r="Q91" s="333"/>
      <c r="R91" s="333"/>
      <c r="S91" s="333"/>
      <c r="T91" s="333"/>
      <c r="U91" s="333"/>
      <c r="V91" s="333"/>
      <c r="W91" s="333"/>
      <c r="X91" s="333"/>
      <c r="Y91" s="333"/>
      <c r="Z91" s="333"/>
      <c r="AA91" s="333"/>
      <c r="AB91" s="333"/>
      <c r="AC91" s="333"/>
      <c r="AD91" s="333"/>
      <c r="AE91" s="333"/>
      <c r="AF91" s="333"/>
      <c r="AG91" s="333"/>
      <c r="AH91" s="333"/>
      <c r="AI91" s="333"/>
      <c r="AJ91" s="333"/>
      <c r="AK91" s="333"/>
      <c r="AQ91" s="278">
        <f t="shared" ref="AQ91:BE91" si="354">+AQ89-AP89</f>
        <v>9.581150000000207</v>
      </c>
      <c r="AR91" s="278">
        <f t="shared" si="354"/>
        <v>113.1710999999998</v>
      </c>
      <c r="AS91" s="278">
        <f t="shared" si="354"/>
        <v>369.57900000000018</v>
      </c>
      <c r="AT91" s="278">
        <f t="shared" si="354"/>
        <v>-484.28990000000022</v>
      </c>
      <c r="AU91" s="278">
        <f t="shared" si="354"/>
        <v>25.647900000000163</v>
      </c>
      <c r="AV91" s="278">
        <f t="shared" si="354"/>
        <v>194.49385000000007</v>
      </c>
      <c r="AW91" s="278">
        <f t="shared" si="354"/>
        <v>184.86774999999989</v>
      </c>
      <c r="AX91" s="278">
        <f t="shared" si="354"/>
        <v>-312.96579999999994</v>
      </c>
      <c r="AY91" s="278">
        <f t="shared" si="354"/>
        <v>-92.682800000000043</v>
      </c>
      <c r="AZ91" s="278">
        <f t="shared" si="354"/>
        <v>111.47190000000001</v>
      </c>
      <c r="BA91" s="278">
        <f t="shared" si="354"/>
        <v>288.74900000000025</v>
      </c>
      <c r="BB91" s="278">
        <f t="shared" si="354"/>
        <v>-422.17995000000019</v>
      </c>
      <c r="BC91" s="278">
        <f t="shared" si="354"/>
        <v>14.864150000000109</v>
      </c>
      <c r="BD91" s="278">
        <f t="shared" si="354"/>
        <v>48.850949999999784</v>
      </c>
      <c r="BE91" s="278">
        <f t="shared" si="354"/>
        <v>324.98915000000034</v>
      </c>
      <c r="BF91" s="278">
        <f t="shared" ref="BF91" si="355">+BF89-BE89</f>
        <v>-367.41082600000027</v>
      </c>
      <c r="BG91" s="278">
        <f t="shared" ref="BG91" si="356">+BG89-BF89</f>
        <v>22.55260724999971</v>
      </c>
      <c r="BH91" s="278">
        <f t="shared" ref="BH91" si="357">+BH89-BG89</f>
        <v>70.399134750000258</v>
      </c>
      <c r="BI91" s="278">
        <f t="shared" ref="BI91" si="358">+BI89-BH89</f>
        <v>331.36575400000038</v>
      </c>
    </row>
    <row r="92" spans="2:63" s="278" customFormat="1">
      <c r="B92" s="298" t="s">
        <v>343</v>
      </c>
      <c r="C92" s="333"/>
      <c r="F92" s="278">
        <f>+F89-E89</f>
        <v>58.29989999999998</v>
      </c>
      <c r="G92" s="278">
        <f>+G89-F89</f>
        <v>-48.979950000000827</v>
      </c>
      <c r="H92" s="278">
        <f>+H89-G89</f>
        <v>-224.92829999999776</v>
      </c>
      <c r="I92" s="278">
        <f>+I89-H89</f>
        <v>157.71204124999804</v>
      </c>
      <c r="J92" s="278">
        <f>+J89-I89</f>
        <v>48.831400000000031</v>
      </c>
      <c r="K92" s="278">
        <f t="shared" ref="K92:P92" si="359">+K89-J89</f>
        <v>-1.1685999999999694</v>
      </c>
      <c r="L92" s="278">
        <f t="shared" si="359"/>
        <v>-51.168599999999969</v>
      </c>
      <c r="M92" s="278">
        <f t="shared" si="359"/>
        <v>-101.16859999999997</v>
      </c>
      <c r="N92" s="278">
        <f t="shared" si="359"/>
        <v>-151.16859999999997</v>
      </c>
      <c r="O92" s="278">
        <f t="shared" si="359"/>
        <v>-201.16859999999997</v>
      </c>
      <c r="P92" s="278">
        <f t="shared" si="359"/>
        <v>-251.16859999999997</v>
      </c>
      <c r="Q92" s="333"/>
      <c r="R92" s="333"/>
      <c r="S92" s="333"/>
      <c r="T92" s="333"/>
      <c r="U92" s="333"/>
      <c r="V92" s="333"/>
      <c r="W92" s="333"/>
      <c r="X92" s="333"/>
      <c r="Y92" s="333"/>
      <c r="Z92" s="333"/>
      <c r="AA92" s="333"/>
      <c r="AB92" s="333"/>
      <c r="AC92" s="333"/>
      <c r="AD92" s="333"/>
      <c r="AE92" s="333"/>
      <c r="AF92" s="333"/>
      <c r="AG92" s="333"/>
      <c r="AH92" s="333"/>
      <c r="AI92" s="333"/>
      <c r="AJ92" s="333"/>
      <c r="AK92" s="333"/>
      <c r="AT92" s="278">
        <f t="shared" ref="AT92:BE92" si="360">+AT89-AP89</f>
        <v>8.0413499999999658</v>
      </c>
      <c r="AU92" s="278">
        <f t="shared" si="360"/>
        <v>24.108099999999922</v>
      </c>
      <c r="AV92" s="278">
        <f t="shared" si="360"/>
        <v>105.43085000000019</v>
      </c>
      <c r="AW92" s="278">
        <f t="shared" si="360"/>
        <v>-79.2804000000001</v>
      </c>
      <c r="AX92" s="278">
        <f t="shared" si="360"/>
        <v>92.043700000000172</v>
      </c>
      <c r="AY92" s="278">
        <f t="shared" si="360"/>
        <v>-26.287000000000035</v>
      </c>
      <c r="AZ92" s="278">
        <f t="shared" si="360"/>
        <v>-109.3089500000001</v>
      </c>
      <c r="BA92" s="278">
        <f t="shared" si="360"/>
        <v>-5.4276999999997315</v>
      </c>
      <c r="BB92" s="278">
        <f t="shared" si="360"/>
        <v>-114.64184999999998</v>
      </c>
      <c r="BC92" s="278">
        <f t="shared" si="360"/>
        <v>-7.094899999999825</v>
      </c>
      <c r="BD92" s="278">
        <f t="shared" si="360"/>
        <v>-69.715850000000046</v>
      </c>
      <c r="BE92" s="278">
        <f t="shared" si="360"/>
        <v>-33.475699999999961</v>
      </c>
      <c r="BF92" s="278">
        <f t="shared" ref="BF92" si="361">+BF89-BB89</f>
        <v>21.293423999999959</v>
      </c>
      <c r="BG92" s="278">
        <f t="shared" ref="BG92" si="362">+BG89-BC89</f>
        <v>28.98188124999956</v>
      </c>
      <c r="BH92" s="278">
        <f t="shared" ref="BH92" si="363">+BH89-BD89</f>
        <v>50.530066000000033</v>
      </c>
      <c r="BI92" s="278">
        <f t="shared" ref="BI92" si="364">+BI89-BE89</f>
        <v>56.906670000000076</v>
      </c>
    </row>
    <row r="93" spans="2:63">
      <c r="B93" s="282"/>
      <c r="C93" s="274"/>
      <c r="D93" s="235"/>
      <c r="E93" s="235"/>
      <c r="F93" s="235"/>
      <c r="G93" s="235"/>
      <c r="H93" s="235"/>
      <c r="I93" s="235"/>
      <c r="J93" s="235"/>
      <c r="K93" s="235"/>
      <c r="L93" s="235"/>
      <c r="M93" s="235"/>
      <c r="N93" s="235"/>
      <c r="O93" s="235"/>
      <c r="P93" s="235"/>
      <c r="Q93" s="274"/>
      <c r="R93" s="274"/>
      <c r="S93" s="274"/>
      <c r="T93" s="274"/>
      <c r="U93" s="274"/>
      <c r="V93" s="274"/>
      <c r="W93" s="274"/>
      <c r="X93" s="274"/>
      <c r="Y93" s="274"/>
      <c r="Z93" s="274"/>
      <c r="AA93" s="274"/>
      <c r="AB93" s="274"/>
      <c r="AC93" s="274"/>
      <c r="AD93" s="274"/>
      <c r="AE93" s="274"/>
      <c r="AF93" s="274"/>
      <c r="AG93" s="274"/>
      <c r="AH93" s="274"/>
      <c r="AI93" s="274"/>
      <c r="AJ93" s="274"/>
      <c r="AK93" s="274"/>
    </row>
    <row r="94" spans="2:63" s="252" customFormat="1">
      <c r="B94" s="247" t="s">
        <v>38</v>
      </c>
      <c r="C94" s="247"/>
      <c r="E94" s="252">
        <f>SUM(AP94:AS94)</f>
        <v>4636.9252500000002</v>
      </c>
      <c r="F94" s="252">
        <f>SUM(AT94:AW94)</f>
        <v>5556.2251500000002</v>
      </c>
      <c r="G94" s="252">
        <f>SUM(AX94:BA94)</f>
        <v>5951.2451999999994</v>
      </c>
      <c r="H94" s="252">
        <f>SUM(BB94:BE94)</f>
        <v>6338.3169000000016</v>
      </c>
      <c r="I94" s="252">
        <f ca="1">SUM(BF94:BI94)</f>
        <v>6441.9152278899637</v>
      </c>
      <c r="J94" s="312">
        <f ca="1">+'AT&amp;T Mobility'!J83-'Consumer Mobility'!J67</f>
        <v>6465.9802797559278</v>
      </c>
      <c r="K94" s="312">
        <f ca="1">+'AT&amp;T Mobility'!K83-'Consumer Mobility'!K67</f>
        <v>6490.3601741622515</v>
      </c>
      <c r="L94" s="312">
        <f ca="1">+'AT&amp;T Mobility'!L83-'Consumer Mobility'!L67</f>
        <v>6510.0009912351652</v>
      </c>
      <c r="M94" s="312">
        <f ca="1">+'AT&amp;T Mobility'!M83-'Consumer Mobility'!M67</f>
        <v>6519.6399400134678</v>
      </c>
      <c r="N94" s="312">
        <f ca="1">+'AT&amp;T Mobility'!N83-'Consumer Mobility'!N67</f>
        <v>6513.9489266284399</v>
      </c>
      <c r="O94" s="312">
        <f ca="1">+'AT&amp;T Mobility'!O83-'Consumer Mobility'!O67</f>
        <v>6487.658195594915</v>
      </c>
      <c r="P94" s="312">
        <f ca="1">+'AT&amp;T Mobility'!P83-'Consumer Mobility'!P67</f>
        <v>6435.6599287041799</v>
      </c>
      <c r="Q94" s="247"/>
      <c r="R94" s="247"/>
      <c r="S94" s="247"/>
      <c r="T94" s="247"/>
      <c r="U94" s="247"/>
      <c r="V94" s="247"/>
      <c r="W94" s="247"/>
      <c r="X94" s="247"/>
      <c r="Y94" s="247"/>
      <c r="Z94" s="247"/>
      <c r="AA94" s="247"/>
      <c r="AB94" s="247"/>
      <c r="AC94" s="247"/>
      <c r="AD94" s="247"/>
      <c r="AE94" s="247"/>
      <c r="AF94" s="247"/>
      <c r="AG94" s="247"/>
      <c r="AH94" s="247"/>
      <c r="AI94" s="247"/>
      <c r="AJ94" s="247"/>
      <c r="AK94" s="247"/>
      <c r="AP94" s="312">
        <f t="shared" ref="AP94:BE94" si="365">AVERAGE(AO86:AP86)*AP95*3</f>
        <v>1153.0651499999999</v>
      </c>
      <c r="AQ94" s="312">
        <f t="shared" si="365"/>
        <v>941.64630000000011</v>
      </c>
      <c r="AR94" s="312">
        <f t="shared" si="365"/>
        <v>1096.8173999999999</v>
      </c>
      <c r="AS94" s="312">
        <f t="shared" si="365"/>
        <v>1445.3964000000001</v>
      </c>
      <c r="AT94" s="312">
        <f t="shared" si="365"/>
        <v>1230.1064999999999</v>
      </c>
      <c r="AU94" s="312">
        <f t="shared" si="365"/>
        <v>1264.7544</v>
      </c>
      <c r="AV94" s="312">
        <f t="shared" si="365"/>
        <v>1482.2482500000001</v>
      </c>
      <c r="AW94" s="312">
        <f t="shared" si="365"/>
        <v>1579.116</v>
      </c>
      <c r="AX94" s="312">
        <f t="shared" si="365"/>
        <v>1486.1502</v>
      </c>
      <c r="AY94" s="312">
        <f t="shared" si="365"/>
        <v>1341.4674</v>
      </c>
      <c r="AZ94" s="312">
        <f t="shared" si="365"/>
        <v>1446.9393</v>
      </c>
      <c r="BA94" s="312">
        <f t="shared" si="365"/>
        <v>1676.6883000000003</v>
      </c>
      <c r="BB94" s="312">
        <f t="shared" si="365"/>
        <v>1629.5083500000001</v>
      </c>
      <c r="BC94" s="312">
        <f t="shared" si="365"/>
        <v>1483.3725000000002</v>
      </c>
      <c r="BD94" s="312">
        <f t="shared" si="365"/>
        <v>1553.22345</v>
      </c>
      <c r="BE94" s="312">
        <f t="shared" si="365"/>
        <v>1672.2126000000003</v>
      </c>
      <c r="BF94" s="421">
        <f ca="1">+'AT&amp;T Mobility'!BF83-'Consumer Mobility'!BF67</f>
        <v>1630.0947707808302</v>
      </c>
      <c r="BG94" s="421">
        <f ca="1">+'AT&amp;T Mobility'!BG83-'Consumer Mobility'!BG67</f>
        <v>1482.1393996684769</v>
      </c>
      <c r="BH94" s="421">
        <f ca="1">+'AT&amp;T Mobility'!BH83-'Consumer Mobility'!BH67</f>
        <v>1569.0818751104787</v>
      </c>
      <c r="BI94" s="421">
        <f ca="1">+'AT&amp;T Mobility'!BI83-'Consumer Mobility'!BI67</f>
        <v>1760.5991823301772</v>
      </c>
      <c r="BK94" s="236"/>
    </row>
    <row r="95" spans="2:63" s="273" customFormat="1">
      <c r="B95" s="275" t="s">
        <v>301</v>
      </c>
      <c r="C95" s="334"/>
      <c r="E95" s="310">
        <f>E94/AVERAGE(D86:E86)/12</f>
        <v>8.9893205266892325E-3</v>
      </c>
      <c r="F95" s="310">
        <f>F94/AVERAGE(E86:F86)/12</f>
        <v>9.9094438202247202E-3</v>
      </c>
      <c r="G95" s="310">
        <f>G94/AVERAGE(F86:G86)/12</f>
        <v>1.0021158237184019E-2</v>
      </c>
      <c r="H95" s="310">
        <f>H94/AVERAGE(G86:H86)/12</f>
        <v>1.0306306890798938E-2</v>
      </c>
      <c r="I95" s="310">
        <f ca="1">I94/AVERAGE(H86:I86)/12</f>
        <v>1.0341170665964164E-2</v>
      </c>
      <c r="J95" s="314">
        <f ca="1">+J94/AVERAGE(I86:J86)/12</f>
        <v>1.0337287950337653E-2</v>
      </c>
      <c r="K95" s="314">
        <f t="shared" ref="K95:P95" ca="1" si="366">+K94/AVERAGE(J86:K86)/12</f>
        <v>1.0334015418394082E-2</v>
      </c>
      <c r="L95" s="314">
        <f t="shared" ca="1" si="366"/>
        <v>1.033272745710047E-2</v>
      </c>
      <c r="M95" s="314">
        <f t="shared" ca="1" si="366"/>
        <v>1.0333438806377588E-2</v>
      </c>
      <c r="N95" s="314">
        <f t="shared" ca="1" si="366"/>
        <v>1.0335038187192875E-2</v>
      </c>
      <c r="O95" s="314">
        <f t="shared" ca="1" si="366"/>
        <v>1.0335475794068865E-2</v>
      </c>
      <c r="P95" s="314">
        <f t="shared" ca="1" si="366"/>
        <v>1.0331886213109258E-2</v>
      </c>
      <c r="Q95" s="334"/>
      <c r="R95" s="334"/>
      <c r="S95" s="334"/>
      <c r="T95" s="334"/>
      <c r="U95" s="334"/>
      <c r="V95" s="334"/>
      <c r="W95" s="334"/>
      <c r="X95" s="334"/>
      <c r="Y95" s="334"/>
      <c r="Z95" s="334"/>
      <c r="AA95" s="334"/>
      <c r="AB95" s="334"/>
      <c r="AC95" s="334"/>
      <c r="AD95" s="334"/>
      <c r="AE95" s="334"/>
      <c r="AF95" s="334"/>
      <c r="AG95" s="334"/>
      <c r="AH95" s="334"/>
      <c r="AI95" s="334"/>
      <c r="AJ95" s="334"/>
      <c r="AK95" s="334"/>
      <c r="AO95" s="313">
        <v>9.4000000000000004E-3</v>
      </c>
      <c r="AP95" s="313">
        <v>9.2999999999999992E-3</v>
      </c>
      <c r="AQ95" s="313">
        <v>7.4000000000000003E-3</v>
      </c>
      <c r="AR95" s="313">
        <v>8.3999999999999995E-3</v>
      </c>
      <c r="AS95" s="313">
        <v>1.0800000000000001E-2</v>
      </c>
      <c r="AT95" s="313">
        <v>8.9999999999999993E-3</v>
      </c>
      <c r="AU95" s="313">
        <v>9.1000000000000004E-3</v>
      </c>
      <c r="AV95" s="313">
        <v>1.0500000000000001E-2</v>
      </c>
      <c r="AW95" s="313">
        <v>1.0999999999999999E-2</v>
      </c>
      <c r="AX95" s="313">
        <v>1.0200000000000001E-2</v>
      </c>
      <c r="AY95" s="313">
        <v>9.1000000000000004E-3</v>
      </c>
      <c r="AZ95" s="313">
        <v>9.7000000000000003E-3</v>
      </c>
      <c r="BA95" s="313">
        <v>1.11E-2</v>
      </c>
      <c r="BB95" s="313">
        <v>1.0699999999999999E-2</v>
      </c>
      <c r="BC95" s="313">
        <v>9.7000000000000003E-3</v>
      </c>
      <c r="BD95" s="313">
        <v>1.01E-2</v>
      </c>
      <c r="BE95" s="313">
        <v>1.0800000000000001E-2</v>
      </c>
      <c r="BF95" s="314">
        <f t="shared" ref="BF95" ca="1" si="367">+BF94/AVERAGE(BE86:BF86)/3</f>
        <v>1.0498009264766898E-2</v>
      </c>
      <c r="BG95" s="314">
        <f t="shared" ref="BG95" ca="1" si="368">+BG94/AVERAGE(BF86:BG86)/3</f>
        <v>9.5486710067999199E-3</v>
      </c>
      <c r="BH95" s="314">
        <f t="shared" ref="BH95" ca="1" si="369">+BH94/AVERAGE(BG86:BH86)/3</f>
        <v>1.0097489039390947E-2</v>
      </c>
      <c r="BI95" s="314">
        <f t="shared" ref="BI95" ca="1" si="370">+BI94/AVERAGE(BH86:BI86)/3</f>
        <v>1.1303858009514507E-2</v>
      </c>
    </row>
    <row r="96" spans="2:63" s="278" customFormat="1">
      <c r="B96" s="298" t="s">
        <v>341</v>
      </c>
      <c r="C96" s="333"/>
      <c r="J96" s="311">
        <f ca="1">+(J95-I95)*10000</f>
        <v>-3.8827156265113655E-2</v>
      </c>
      <c r="K96" s="311">
        <f t="shared" ref="K96:P96" ca="1" si="371">+(K95-J95)*10000</f>
        <v>-3.2725319435711331E-2</v>
      </c>
      <c r="L96" s="311">
        <f t="shared" ca="1" si="371"/>
        <v>-1.287961293611542E-2</v>
      </c>
      <c r="M96" s="311">
        <f t="shared" ca="1" si="371"/>
        <v>7.1134927711810625E-3</v>
      </c>
      <c r="N96" s="311">
        <f t="shared" ca="1" si="371"/>
        <v>1.5993808152869882E-2</v>
      </c>
      <c r="O96" s="311">
        <f t="shared" ca="1" si="371"/>
        <v>4.3760687598939918E-3</v>
      </c>
      <c r="P96" s="311">
        <f t="shared" ca="1" si="371"/>
        <v>-3.5895809596068334E-2</v>
      </c>
      <c r="Q96" s="333"/>
      <c r="R96" s="333"/>
      <c r="S96" s="333"/>
      <c r="T96" s="333"/>
      <c r="U96" s="333"/>
      <c r="V96" s="333"/>
      <c r="W96" s="333"/>
      <c r="X96" s="333"/>
      <c r="Y96" s="333"/>
      <c r="Z96" s="333"/>
      <c r="AA96" s="333"/>
      <c r="AB96" s="333"/>
      <c r="AC96" s="333"/>
      <c r="AD96" s="333"/>
      <c r="AE96" s="333"/>
      <c r="AF96" s="333"/>
      <c r="AG96" s="333"/>
      <c r="AH96" s="333"/>
      <c r="AI96" s="333"/>
      <c r="AJ96" s="333"/>
      <c r="AK96" s="333"/>
      <c r="AP96" s="311">
        <f t="shared" ref="AP96:BE96" si="372">+(AP95-AO95)*10000</f>
        <v>-1.0000000000000113</v>
      </c>
      <c r="AQ96" s="311">
        <f t="shared" si="372"/>
        <v>-18.999999999999989</v>
      </c>
      <c r="AR96" s="311">
        <f t="shared" si="372"/>
        <v>9.9999999999999911</v>
      </c>
      <c r="AS96" s="311">
        <f t="shared" si="372"/>
        <v>24.000000000000011</v>
      </c>
      <c r="AT96" s="311">
        <f t="shared" si="372"/>
        <v>-18.000000000000014</v>
      </c>
      <c r="AU96" s="311">
        <f t="shared" si="372"/>
        <v>1.0000000000000113</v>
      </c>
      <c r="AV96" s="311">
        <f t="shared" si="372"/>
        <v>14.000000000000002</v>
      </c>
      <c r="AW96" s="311">
        <f t="shared" si="372"/>
        <v>4.9999999999999867</v>
      </c>
      <c r="AX96" s="311">
        <f t="shared" si="372"/>
        <v>-7.9999999999999867</v>
      </c>
      <c r="AY96" s="311">
        <f t="shared" si="372"/>
        <v>-11.000000000000004</v>
      </c>
      <c r="AZ96" s="311">
        <f t="shared" si="372"/>
        <v>5.9999999999999982</v>
      </c>
      <c r="BA96" s="311">
        <f t="shared" si="372"/>
        <v>14.000000000000002</v>
      </c>
      <c r="BB96" s="311">
        <f t="shared" si="372"/>
        <v>-4.0000000000000107</v>
      </c>
      <c r="BC96" s="311">
        <f t="shared" si="372"/>
        <v>-9.9999999999999911</v>
      </c>
      <c r="BD96" s="311">
        <f t="shared" si="372"/>
        <v>3.9999999999999933</v>
      </c>
      <c r="BE96" s="311">
        <f t="shared" si="372"/>
        <v>7.0000000000000098</v>
      </c>
      <c r="BF96" s="311">
        <f t="shared" ref="BF96" ca="1" si="373">+(BF95-BE95)*10000</f>
        <v>-3.0199073523310207</v>
      </c>
      <c r="BG96" s="311">
        <f t="shared" ref="BG96" ca="1" si="374">+(BG95-BF95)*10000</f>
        <v>-9.4933825796697864</v>
      </c>
      <c r="BH96" s="311">
        <f t="shared" ref="BH96" ca="1" si="375">+(BH95-BG95)*10000</f>
        <v>5.4881803259102666</v>
      </c>
      <c r="BI96" s="311">
        <f t="shared" ref="BI96" ca="1" si="376">+(BI95-BH95)*10000</f>
        <v>12.063689701235607</v>
      </c>
    </row>
    <row r="97" spans="2:61" s="278" customFormat="1">
      <c r="B97" s="298" t="s">
        <v>340</v>
      </c>
      <c r="C97" s="333"/>
      <c r="F97" s="311">
        <f>+(F95-E95)*10000</f>
        <v>9.2012329353548772</v>
      </c>
      <c r="G97" s="311">
        <f>+(G95-F95)*10000</f>
        <v>1.1171441695929929</v>
      </c>
      <c r="H97" s="311">
        <f>+(H95-G95)*10000</f>
        <v>2.851486536149181</v>
      </c>
      <c r="I97" s="311">
        <f ca="1">+(I95-H95)*10000</f>
        <v>0.34863775165226707</v>
      </c>
      <c r="J97" s="311">
        <f ca="1">+(J95-I95)*10000</f>
        <v>-3.8827156265113655E-2</v>
      </c>
      <c r="K97" s="311">
        <f t="shared" ref="K97:P97" ca="1" si="377">+(K95-J95)*10000</f>
        <v>-3.2725319435711331E-2</v>
      </c>
      <c r="L97" s="311">
        <f t="shared" ca="1" si="377"/>
        <v>-1.287961293611542E-2</v>
      </c>
      <c r="M97" s="311">
        <f t="shared" ca="1" si="377"/>
        <v>7.1134927711810625E-3</v>
      </c>
      <c r="N97" s="311">
        <f t="shared" ca="1" si="377"/>
        <v>1.5993808152869882E-2</v>
      </c>
      <c r="O97" s="311">
        <f t="shared" ca="1" si="377"/>
        <v>4.3760687598939918E-3</v>
      </c>
      <c r="P97" s="311">
        <f t="shared" ca="1" si="377"/>
        <v>-3.5895809596068334E-2</v>
      </c>
      <c r="Q97" s="333"/>
      <c r="R97" s="333"/>
      <c r="S97" s="333"/>
      <c r="T97" s="333"/>
      <c r="U97" s="333"/>
      <c r="V97" s="333"/>
      <c r="W97" s="333"/>
      <c r="X97" s="333"/>
      <c r="Y97" s="333"/>
      <c r="Z97" s="333"/>
      <c r="AA97" s="333"/>
      <c r="AB97" s="333"/>
      <c r="AC97" s="333"/>
      <c r="AD97" s="333"/>
      <c r="AE97" s="333"/>
      <c r="AF97" s="333"/>
      <c r="AG97" s="333"/>
      <c r="AH97" s="333"/>
      <c r="AI97" s="333"/>
      <c r="AJ97" s="333"/>
      <c r="AK97" s="333"/>
      <c r="AP97" s="336"/>
      <c r="AQ97" s="336"/>
      <c r="AR97" s="311"/>
      <c r="AS97" s="311">
        <f t="shared" ref="AS97:BE97" si="378">+(AS95-AO95)*10000</f>
        <v>14.000000000000002</v>
      </c>
      <c r="AT97" s="311">
        <f t="shared" si="378"/>
        <v>-2.9999999999999991</v>
      </c>
      <c r="AU97" s="311">
        <f t="shared" si="378"/>
        <v>17</v>
      </c>
      <c r="AV97" s="311">
        <f t="shared" si="378"/>
        <v>21.000000000000011</v>
      </c>
      <c r="AW97" s="311">
        <f t="shared" si="378"/>
        <v>1.999999999999988</v>
      </c>
      <c r="AX97" s="311">
        <f t="shared" si="378"/>
        <v>12.000000000000014</v>
      </c>
      <c r="AY97" s="311">
        <f t="shared" si="378"/>
        <v>0</v>
      </c>
      <c r="AZ97" s="311">
        <f t="shared" si="378"/>
        <v>-8.0000000000000036</v>
      </c>
      <c r="BA97" s="311">
        <f t="shared" si="378"/>
        <v>1.0000000000000113</v>
      </c>
      <c r="BB97" s="311">
        <f t="shared" si="378"/>
        <v>4.9999999999999867</v>
      </c>
      <c r="BC97" s="311">
        <f t="shared" si="378"/>
        <v>5.9999999999999982</v>
      </c>
      <c r="BD97" s="311">
        <f t="shared" si="378"/>
        <v>3.9999999999999933</v>
      </c>
      <c r="BE97" s="311">
        <f t="shared" si="378"/>
        <v>-2.9999999999999991</v>
      </c>
      <c r="BF97" s="311">
        <f t="shared" ref="BF97" ca="1" si="379">+(BF95-BB95)*10000</f>
        <v>-2.0199073523310096</v>
      </c>
      <c r="BG97" s="311">
        <f t="shared" ref="BG97" ca="1" si="380">+(BG95-BC95)*10000</f>
        <v>-1.513289932000804</v>
      </c>
      <c r="BH97" s="311">
        <f t="shared" ref="BH97" ca="1" si="381">+(BH95-BD95)*10000</f>
        <v>-2.5109606090530784E-2</v>
      </c>
      <c r="BI97" s="311">
        <f t="shared" ref="BI97" ca="1" si="382">+(BI95-BE95)*10000</f>
        <v>5.0385800951450666</v>
      </c>
    </row>
    <row r="98" spans="2:61" ht="15.75" thickBot="1"/>
    <row r="99" spans="2:61" s="251" customFormat="1" ht="15.75" thickBot="1">
      <c r="B99" s="194"/>
      <c r="C99" s="276"/>
      <c r="D99" s="195">
        <f>+D$6</f>
        <v>2013</v>
      </c>
      <c r="E99" s="196">
        <f t="shared" ref="E99:P99" si="383">+E$6</f>
        <v>2014</v>
      </c>
      <c r="F99" s="196">
        <f t="shared" si="383"/>
        <v>2015</v>
      </c>
      <c r="G99" s="196">
        <f t="shared" si="383"/>
        <v>2016</v>
      </c>
      <c r="H99" s="196">
        <f t="shared" si="383"/>
        <v>2017</v>
      </c>
      <c r="I99" s="196" t="str">
        <f t="shared" si="383"/>
        <v>2018E</v>
      </c>
      <c r="J99" s="196" t="str">
        <f t="shared" si="383"/>
        <v>2019E</v>
      </c>
      <c r="K99" s="196" t="str">
        <f t="shared" si="383"/>
        <v>2020E</v>
      </c>
      <c r="L99" s="196" t="str">
        <f t="shared" si="383"/>
        <v>2021E</v>
      </c>
      <c r="M99" s="196" t="str">
        <f t="shared" si="383"/>
        <v>2022E</v>
      </c>
      <c r="N99" s="196" t="str">
        <f t="shared" si="383"/>
        <v>2023E</v>
      </c>
      <c r="O99" s="196" t="str">
        <f t="shared" si="383"/>
        <v>2024E</v>
      </c>
      <c r="P99" s="197" t="str">
        <f t="shared" si="383"/>
        <v>2025E</v>
      </c>
      <c r="Q99" s="241"/>
      <c r="R99" s="242"/>
      <c r="S99" s="242"/>
      <c r="T99" s="242"/>
      <c r="U99" s="242"/>
      <c r="V99" s="242"/>
      <c r="W99" s="242"/>
      <c r="X99" s="242"/>
      <c r="Y99" s="242"/>
      <c r="Z99" s="242"/>
      <c r="AA99" s="242"/>
      <c r="AB99" s="242"/>
      <c r="AC99" s="242"/>
      <c r="AD99" s="242"/>
      <c r="AE99" s="242"/>
      <c r="AF99" s="242"/>
      <c r="AG99" s="242"/>
      <c r="AH99" s="242"/>
      <c r="AI99" s="242"/>
      <c r="AJ99" s="242"/>
      <c r="AK99" s="242"/>
      <c r="AL99" s="242" t="s">
        <v>248</v>
      </c>
      <c r="AM99" s="242" t="s">
        <v>249</v>
      </c>
      <c r="AN99" s="242" t="s">
        <v>250</v>
      </c>
      <c r="AO99" s="242" t="s">
        <v>251</v>
      </c>
      <c r="AP99" s="242" t="s">
        <v>156</v>
      </c>
      <c r="AQ99" s="242" t="s">
        <v>157</v>
      </c>
      <c r="AR99" s="242" t="s">
        <v>158</v>
      </c>
      <c r="AS99" s="242" t="s">
        <v>159</v>
      </c>
      <c r="AT99" s="196" t="str">
        <f>+AT$6</f>
        <v>1Q15</v>
      </c>
      <c r="AU99" s="196" t="str">
        <f t="shared" ref="AU99:BI99" si="384">+AU$6</f>
        <v>2Q15</v>
      </c>
      <c r="AV99" s="196" t="str">
        <f t="shared" si="384"/>
        <v>3Q15</v>
      </c>
      <c r="AW99" s="196" t="str">
        <f t="shared" si="384"/>
        <v>4Q15</v>
      </c>
      <c r="AX99" s="196" t="str">
        <f t="shared" si="384"/>
        <v>1Q16</v>
      </c>
      <c r="AY99" s="196" t="str">
        <f t="shared" si="384"/>
        <v>2Q16</v>
      </c>
      <c r="AZ99" s="196" t="str">
        <f t="shared" si="384"/>
        <v>3Q16</v>
      </c>
      <c r="BA99" s="196" t="str">
        <f t="shared" si="384"/>
        <v>4Q16</v>
      </c>
      <c r="BB99" s="196" t="str">
        <f t="shared" si="384"/>
        <v>1Q17</v>
      </c>
      <c r="BC99" s="196" t="str">
        <f t="shared" si="384"/>
        <v>2Q17</v>
      </c>
      <c r="BD99" s="196" t="str">
        <f t="shared" si="384"/>
        <v>3Q17</v>
      </c>
      <c r="BE99" s="196" t="str">
        <f t="shared" si="384"/>
        <v>4Q17</v>
      </c>
      <c r="BF99" s="196" t="str">
        <f t="shared" si="384"/>
        <v>1Q18E</v>
      </c>
      <c r="BG99" s="196" t="str">
        <f t="shared" si="384"/>
        <v>2Q18E</v>
      </c>
      <c r="BH99" s="196" t="str">
        <f t="shared" si="384"/>
        <v>3Q18E</v>
      </c>
      <c r="BI99" s="197" t="str">
        <f t="shared" si="384"/>
        <v>4Q18E</v>
      </c>
    </row>
    <row r="100" spans="2:61">
      <c r="B100" s="275"/>
      <c r="D100" s="235"/>
      <c r="E100" s="235"/>
      <c r="F100" s="235"/>
      <c r="G100" s="235"/>
      <c r="H100" s="235"/>
      <c r="I100" s="235"/>
      <c r="J100" s="235"/>
      <c r="K100" s="235"/>
      <c r="L100" s="235"/>
      <c r="M100" s="235"/>
      <c r="N100" s="235"/>
      <c r="O100" s="235"/>
      <c r="P100" s="235"/>
    </row>
    <row r="101" spans="2:61" s="240" customFormat="1">
      <c r="B101" s="240" t="s">
        <v>317</v>
      </c>
      <c r="C101" s="247"/>
      <c r="E101" s="252">
        <f>SUM(AP101:AS101)</f>
        <v>485.01034999999865</v>
      </c>
      <c r="F101" s="252">
        <f>SUM(AT101:AW101)</f>
        <v>533.24444499999663</v>
      </c>
      <c r="G101" s="252">
        <f>SUM(AX101:BA101)</f>
        <v>1219.0973649999978</v>
      </c>
      <c r="H101" s="252">
        <f>SUM(BB101:BE101)</f>
        <v>1588.4335899999987</v>
      </c>
      <c r="I101" s="252">
        <f ca="1">SUM(BF101:BI101)</f>
        <v>1336.5467273853374</v>
      </c>
      <c r="J101" s="339">
        <f ca="1">+'AT&amp;T Mobility'!J8-'Consumer Mobility'!J8-'Consumer Mobility'!J9-'Consumer Mobility'!J10-'Business Solutions'!J78</f>
        <v>1418.7835961476339</v>
      </c>
      <c r="K101" s="339">
        <f ca="1">+'AT&amp;T Mobility'!K8-'Consumer Mobility'!K8-'Consumer Mobility'!K9-'Consumer Mobility'!K10-'Business Solutions'!K78</f>
        <v>1818.6215535948977</v>
      </c>
      <c r="L101" s="339">
        <f ca="1">+'AT&amp;T Mobility'!L8-'Consumer Mobility'!L8-'Consumer Mobility'!L9-'Consumer Mobility'!L10-'Business Solutions'!L78</f>
        <v>2220.5577852585993</v>
      </c>
      <c r="M101" s="339">
        <f ca="1">+'AT&amp;T Mobility'!M8-'Consumer Mobility'!M8-'Consumer Mobility'!M9-'Consumer Mobility'!M10-'Business Solutions'!M78</f>
        <v>2624.3390168969345</v>
      </c>
      <c r="N101" s="339">
        <f ca="1">+'AT&amp;T Mobility'!N8-'Consumer Mobility'!N8-'Consumer Mobility'!N9-'Consumer Mobility'!N10-'Business Solutions'!N78</f>
        <v>3029.7327302563026</v>
      </c>
      <c r="O101" s="339">
        <f ca="1">+'AT&amp;T Mobility'!O8-'Consumer Mobility'!O8-'Consumer Mobility'!O9-'Consumer Mobility'!O10-'Business Solutions'!O78</f>
        <v>3436.5262217449563</v>
      </c>
      <c r="P101" s="339">
        <f ca="1">+'AT&amp;T Mobility'!P8-'Consumer Mobility'!P8-'Consumer Mobility'!P9-'Consumer Mobility'!P10-'Business Solutions'!P78</f>
        <v>3844.5256050292628</v>
      </c>
      <c r="Q101" s="247"/>
      <c r="R101" s="247"/>
      <c r="S101" s="247"/>
      <c r="T101" s="247"/>
      <c r="U101" s="247"/>
      <c r="V101" s="247"/>
      <c r="W101" s="247"/>
      <c r="X101" s="247"/>
      <c r="Y101" s="247"/>
      <c r="Z101" s="247"/>
      <c r="AA101" s="247"/>
      <c r="AB101" s="247"/>
      <c r="AC101" s="247"/>
      <c r="AD101" s="247"/>
      <c r="AE101" s="247"/>
      <c r="AF101" s="247"/>
      <c r="AG101" s="247"/>
      <c r="AH101" s="247"/>
      <c r="AI101" s="247"/>
      <c r="AJ101" s="247"/>
      <c r="AK101" s="247"/>
      <c r="AN101" s="252"/>
      <c r="AO101" s="252">
        <f t="shared" ref="AO101:AW101" si="385">+AO8-AO78</f>
        <v>81.718249999999898</v>
      </c>
      <c r="AP101" s="252">
        <f t="shared" si="385"/>
        <v>69.604105000000345</v>
      </c>
      <c r="AQ101" s="252">
        <f t="shared" si="385"/>
        <v>121.07427999999891</v>
      </c>
      <c r="AR101" s="252">
        <f t="shared" si="385"/>
        <v>136.77133999999933</v>
      </c>
      <c r="AS101" s="252">
        <f t="shared" si="385"/>
        <v>157.56062500000007</v>
      </c>
      <c r="AT101" s="252">
        <f t="shared" si="385"/>
        <v>132.30662499999926</v>
      </c>
      <c r="AU101" s="252">
        <f t="shared" si="385"/>
        <v>142.35983999999735</v>
      </c>
      <c r="AV101" s="252">
        <f t="shared" si="385"/>
        <v>147.88310000000092</v>
      </c>
      <c r="AW101" s="252">
        <f t="shared" si="385"/>
        <v>110.6948799999991</v>
      </c>
      <c r="AX101" s="252">
        <f t="shared" ref="AX101:BC101" si="386">+AX8-AX78</f>
        <v>175.07062999999835</v>
      </c>
      <c r="AY101" s="252">
        <f t="shared" si="386"/>
        <v>293.22698499999933</v>
      </c>
      <c r="AZ101" s="252">
        <f t="shared" si="386"/>
        <v>394.22058500000094</v>
      </c>
      <c r="BA101" s="252">
        <f t="shared" si="386"/>
        <v>356.57916499999919</v>
      </c>
      <c r="BB101" s="252">
        <f t="shared" si="386"/>
        <v>374.52653999999893</v>
      </c>
      <c r="BC101" s="252">
        <f t="shared" si="386"/>
        <v>396.12125000000015</v>
      </c>
      <c r="BD101" s="252">
        <f t="shared" ref="BD101:BE101" si="387">+BD8-BD78</f>
        <v>407.18399999999929</v>
      </c>
      <c r="BE101" s="252">
        <f t="shared" si="387"/>
        <v>410.60180000000037</v>
      </c>
      <c r="BF101" s="421">
        <f ca="1">+'AT&amp;T Mobility'!BF8-'Consumer Mobility'!BF8-'Consumer Mobility'!BF9-'Consumer Mobility'!BF10-'Business Solutions'!BF78</f>
        <v>302.46831417241719</v>
      </c>
      <c r="BG101" s="421">
        <f ca="1">+'AT&amp;T Mobility'!BG8-'Consumer Mobility'!BG8-'Consumer Mobility'!BG9-'Consumer Mobility'!BG10-'Business Solutions'!BG78</f>
        <v>320.57974393396125</v>
      </c>
      <c r="BH101" s="421">
        <f ca="1">+'AT&amp;T Mobility'!BH8-'Consumer Mobility'!BH8-'Consumer Mobility'!BH9-'Consumer Mobility'!BH10-'Business Solutions'!BH78</f>
        <v>339.65743503515296</v>
      </c>
      <c r="BI101" s="421">
        <f ca="1">+'AT&amp;T Mobility'!BI8-'Consumer Mobility'!BI8-'Consumer Mobility'!BI9-'Consumer Mobility'!BI10-'Business Solutions'!BI78</f>
        <v>373.84123424380596</v>
      </c>
    </row>
    <row r="102" spans="2:61" s="248" customFormat="1">
      <c r="B102" s="282" t="s">
        <v>252</v>
      </c>
      <c r="C102" s="319"/>
      <c r="F102" s="248">
        <f>+F101/E101-1</f>
        <v>9.9449619992641569E-2</v>
      </c>
      <c r="G102" s="248">
        <f>+G101/F101-1</f>
        <v>1.286188588424968</v>
      </c>
      <c r="H102" s="248">
        <f>+H101/G101-1</f>
        <v>0.30295875916358961</v>
      </c>
      <c r="I102" s="248">
        <f ca="1">+I101/H101-1</f>
        <v>-0.15857563337895764</v>
      </c>
      <c r="J102" s="248">
        <f ca="1">+J101/I101-1</f>
        <v>6.1529363004894755E-2</v>
      </c>
      <c r="K102" s="248">
        <f t="shared" ref="K102:P102" ca="1" si="388">+K101/J101-1</f>
        <v>0.28181743750979904</v>
      </c>
      <c r="L102" s="248">
        <f t="shared" ca="1" si="388"/>
        <v>0.22101147480034422</v>
      </c>
      <c r="M102" s="248">
        <f t="shared" ca="1" si="388"/>
        <v>0.18183775009994263</v>
      </c>
      <c r="N102" s="248">
        <f t="shared" ca="1" si="388"/>
        <v>0.15447459750787562</v>
      </c>
      <c r="O102" s="248">
        <f t="shared" ca="1" si="388"/>
        <v>0.13426712113125583</v>
      </c>
      <c r="P102" s="248">
        <f t="shared" ca="1" si="388"/>
        <v>0.11872436203240655</v>
      </c>
      <c r="Q102" s="319"/>
      <c r="R102" s="319"/>
      <c r="S102" s="319"/>
      <c r="T102" s="319"/>
      <c r="U102" s="319"/>
      <c r="V102" s="319"/>
      <c r="W102" s="319"/>
      <c r="X102" s="319"/>
      <c r="Y102" s="319"/>
      <c r="Z102" s="319"/>
      <c r="AA102" s="319"/>
      <c r="AB102" s="319"/>
      <c r="AC102" s="319"/>
      <c r="AD102" s="319"/>
      <c r="AE102" s="319"/>
      <c r="AF102" s="319"/>
      <c r="AG102" s="319"/>
      <c r="AH102" s="319"/>
      <c r="AI102" s="319"/>
      <c r="AJ102" s="319"/>
      <c r="AK102" s="319"/>
      <c r="AS102" s="283">
        <f t="shared" ref="AS102:BE102" si="389">+AS101/AO101-1</f>
        <v>0.92809592716437606</v>
      </c>
      <c r="AT102" s="283">
        <f t="shared" si="389"/>
        <v>0.90084514411899419</v>
      </c>
      <c r="AU102" s="283">
        <f t="shared" si="389"/>
        <v>0.17580579459154033</v>
      </c>
      <c r="AV102" s="283">
        <f t="shared" si="389"/>
        <v>8.1243336506037434E-2</v>
      </c>
      <c r="AW102" s="283">
        <f t="shared" si="389"/>
        <v>-0.29744579269091465</v>
      </c>
      <c r="AX102" s="283">
        <f t="shared" si="389"/>
        <v>0.32321892422242149</v>
      </c>
      <c r="AY102" s="283">
        <f t="shared" si="389"/>
        <v>1.059759163820392</v>
      </c>
      <c r="AZ102" s="283">
        <f t="shared" si="389"/>
        <v>1.6657581900839142</v>
      </c>
      <c r="BA102" s="283">
        <f t="shared" si="389"/>
        <v>2.2212796562948718</v>
      </c>
      <c r="BB102" s="283">
        <f t="shared" si="389"/>
        <v>1.1392882404090421</v>
      </c>
      <c r="BC102" s="283">
        <f t="shared" si="389"/>
        <v>0.35090312373535837</v>
      </c>
      <c r="BD102" s="283">
        <f t="shared" si="389"/>
        <v>3.2883658269641902E-2</v>
      </c>
      <c r="BE102" s="283">
        <f t="shared" si="389"/>
        <v>0.1515025001530903</v>
      </c>
      <c r="BF102" s="283">
        <f t="shared" ref="BF102" ca="1" si="390">+BF101/BB101-1</f>
        <v>-0.19239818312363643</v>
      </c>
      <c r="BG102" s="283">
        <f t="shared" ref="BG102" ca="1" si="391">+BG101/BC101-1</f>
        <v>-0.19070298820383624</v>
      </c>
      <c r="BH102" s="283">
        <f t="shared" ref="BH102" ca="1" si="392">+BH101/BD101-1</f>
        <v>-0.16583796260375272</v>
      </c>
      <c r="BI102" s="283">
        <f t="shared" ref="BI102" ca="1" si="393">+BI101/BE101-1</f>
        <v>-8.9528506100544081E-2</v>
      </c>
    </row>
    <row r="103" spans="2:61">
      <c r="C103" s="274"/>
      <c r="D103" s="235"/>
      <c r="E103" s="235"/>
      <c r="F103" s="235"/>
      <c r="G103" s="235"/>
      <c r="H103" s="235"/>
      <c r="I103" s="235"/>
      <c r="J103" s="235"/>
      <c r="K103" s="235"/>
      <c r="L103" s="235"/>
      <c r="M103" s="235"/>
      <c r="N103" s="235"/>
      <c r="O103" s="235"/>
      <c r="P103" s="235"/>
      <c r="Q103" s="274"/>
      <c r="R103" s="274"/>
      <c r="S103" s="274"/>
      <c r="T103" s="274"/>
      <c r="U103" s="274"/>
      <c r="V103" s="274"/>
      <c r="W103" s="274"/>
      <c r="X103" s="274"/>
      <c r="Y103" s="274"/>
      <c r="Z103" s="274"/>
      <c r="AA103" s="274"/>
      <c r="AB103" s="274"/>
      <c r="AC103" s="274"/>
      <c r="AD103" s="274"/>
      <c r="AE103" s="274"/>
      <c r="AF103" s="274"/>
      <c r="AG103" s="274"/>
      <c r="AH103" s="274"/>
      <c r="AI103" s="274"/>
      <c r="AJ103" s="274"/>
      <c r="AK103" s="274"/>
    </row>
    <row r="104" spans="2:61" s="240" customFormat="1">
      <c r="B104" s="301" t="s">
        <v>41</v>
      </c>
      <c r="C104" s="247"/>
      <c r="E104" s="301">
        <f t="shared" ref="E104:J104" si="394">+E101/AVERAGE(D113:E113)/12*1000</f>
        <v>2.2281501235792911</v>
      </c>
      <c r="F104" s="301">
        <f t="shared" si="394"/>
        <v>1.9609044892585683</v>
      </c>
      <c r="G104" s="301">
        <f t="shared" si="394"/>
        <v>3.6228963173629491</v>
      </c>
      <c r="H104" s="301">
        <f t="shared" si="394"/>
        <v>3.8182581909088698</v>
      </c>
      <c r="I104" s="301">
        <f t="shared" ca="1" si="394"/>
        <v>2.7136461833344243</v>
      </c>
      <c r="J104" s="322">
        <f t="shared" ca="1" si="394"/>
        <v>2.5721053439562329</v>
      </c>
      <c r="K104" s="322">
        <f t="shared" ref="K104" ca="1" si="395">+K101/AVERAGE(J113:K113)/12*1000</f>
        <v>2.9735278932036051</v>
      </c>
      <c r="L104" s="322">
        <f t="shared" ref="L104" ca="1" si="396">+L101/AVERAGE(K113:L113)/12*1000</f>
        <v>3.3063498508921914</v>
      </c>
      <c r="M104" s="322">
        <f t="shared" ref="M104" ca="1" si="397">+M101/AVERAGE(L113:M113)/12*1000</f>
        <v>3.5871031553913517</v>
      </c>
      <c r="N104" s="322">
        <f t="shared" ref="N104" ca="1" si="398">+N101/AVERAGE(M113:N113)/12*1000</f>
        <v>3.8273337808504033</v>
      </c>
      <c r="O104" s="322">
        <f t="shared" ref="O104" ca="1" si="399">+O101/AVERAGE(N113:O113)/12*1000</f>
        <v>4.0353570694183638</v>
      </c>
      <c r="P104" s="322">
        <f t="shared" ref="P104" ca="1" si="400">+P101/AVERAGE(O113:P113)/12*1000</f>
        <v>4.2173198066586615</v>
      </c>
      <c r="Q104" s="247"/>
      <c r="R104" s="247"/>
      <c r="S104" s="247"/>
      <c r="T104" s="247"/>
      <c r="U104" s="247"/>
      <c r="V104" s="247"/>
      <c r="W104" s="247"/>
      <c r="X104" s="247"/>
      <c r="Y104" s="247"/>
      <c r="Z104" s="247"/>
      <c r="AA104" s="247"/>
      <c r="AB104" s="247"/>
      <c r="AC104" s="247"/>
      <c r="AD104" s="247"/>
      <c r="AE104" s="247"/>
      <c r="AF104" s="247"/>
      <c r="AG104" s="247"/>
      <c r="AH104" s="247"/>
      <c r="AI104" s="247"/>
      <c r="AJ104" s="247"/>
      <c r="AK104" s="247"/>
      <c r="AP104" s="322">
        <f t="shared" ref="AP104:BE104" si="401">+AP101/AVERAGE(AO113:AP113)/3*1000</f>
        <v>1.3913864067966084</v>
      </c>
      <c r="AQ104" s="322">
        <f t="shared" si="401"/>
        <v>2.3575718277496844</v>
      </c>
      <c r="AR104" s="322">
        <f t="shared" si="401"/>
        <v>2.5560914255812088</v>
      </c>
      <c r="AS104" s="322">
        <f t="shared" si="401"/>
        <v>2.7344305895420087</v>
      </c>
      <c r="AT104" s="322">
        <f t="shared" si="401"/>
        <v>2.1544801335287294</v>
      </c>
      <c r="AU104" s="322">
        <f t="shared" si="401"/>
        <v>2.1834163848436337</v>
      </c>
      <c r="AV104" s="322">
        <f t="shared" si="401"/>
        <v>2.1143676188842315</v>
      </c>
      <c r="AW104" s="322">
        <f t="shared" si="401"/>
        <v>1.4903584026711783</v>
      </c>
      <c r="AX104" s="322">
        <f t="shared" si="401"/>
        <v>2.2317912141145064</v>
      </c>
      <c r="AY104" s="322">
        <f t="shared" si="401"/>
        <v>3.5516834423449537</v>
      </c>
      <c r="AZ104" s="322">
        <f t="shared" si="401"/>
        <v>4.5686076440797896</v>
      </c>
      <c r="BA104" s="322">
        <f t="shared" si="401"/>
        <v>3.9536222218526254</v>
      </c>
      <c r="BB104" s="322">
        <f t="shared" si="401"/>
        <v>4.0123472978836121</v>
      </c>
      <c r="BC104" s="322">
        <f t="shared" si="401"/>
        <v>4.0504437763939602</v>
      </c>
      <c r="BD104" s="322">
        <f t="shared" si="401"/>
        <v>3.8963671073217574</v>
      </c>
      <c r="BE104" s="322">
        <f t="shared" si="401"/>
        <v>3.6690194396415023</v>
      </c>
      <c r="BF104" s="322">
        <f t="shared" ref="BF104" ca="1" si="402">+BF101/AVERAGE(BE113:BF113)/3*1000</f>
        <v>2.5665751442304745</v>
      </c>
      <c r="BG104" s="322">
        <f t="shared" ref="BG104" ca="1" si="403">+BG101/AVERAGE(BF113:BG113)/3*1000</f>
        <v>2.6410596536085058</v>
      </c>
      <c r="BH104" s="322">
        <f t="shared" ref="BH104" ca="1" si="404">+BH101/AVERAGE(BG113:BH113)/3*1000</f>
        <v>2.724200743776366</v>
      </c>
      <c r="BI104" s="322">
        <f t="shared" ref="BI104" ca="1" si="405">+BI101/AVERAGE(BH113:BI113)/3*1000</f>
        <v>2.911161994321648</v>
      </c>
    </row>
    <row r="105" spans="2:61" s="248" customFormat="1">
      <c r="B105" s="282" t="s">
        <v>252</v>
      </c>
      <c r="C105" s="319"/>
      <c r="F105" s="248">
        <f>+F104/E104-1</f>
        <v>-0.11994058725783729</v>
      </c>
      <c r="G105" s="248">
        <f>+G104/F104-1</f>
        <v>0.84756388554793483</v>
      </c>
      <c r="H105" s="248">
        <f>+H104/G104-1</f>
        <v>5.3924224275929911E-2</v>
      </c>
      <c r="I105" s="248">
        <f ca="1">+I104/H104-1</f>
        <v>-0.2892973582049756</v>
      </c>
      <c r="J105" s="248">
        <f ca="1">+J104/I104-1</f>
        <v>-5.2158914543631307E-2</v>
      </c>
      <c r="K105" s="248">
        <f t="shared" ref="K105:P105" ca="1" si="406">+K104/J104-1</f>
        <v>0.15606769380212548</v>
      </c>
      <c r="L105" s="248">
        <f t="shared" ca="1" si="406"/>
        <v>0.11192831197221831</v>
      </c>
      <c r="M105" s="248">
        <f t="shared" ca="1" si="406"/>
        <v>8.4913368869117489E-2</v>
      </c>
      <c r="N105" s="248">
        <f t="shared" ca="1" si="406"/>
        <v>6.6970648752598505E-2</v>
      </c>
      <c r="O105" s="248">
        <f t="shared" ca="1" si="406"/>
        <v>5.4352011211768358E-2</v>
      </c>
      <c r="P105" s="248">
        <f t="shared" ca="1" si="406"/>
        <v>4.5092103154709129E-2</v>
      </c>
      <c r="Q105" s="319"/>
      <c r="R105" s="319"/>
      <c r="S105" s="319"/>
      <c r="T105" s="319"/>
      <c r="U105" s="319"/>
      <c r="V105" s="319"/>
      <c r="W105" s="319"/>
      <c r="X105" s="319"/>
      <c r="Y105" s="319"/>
      <c r="Z105" s="319"/>
      <c r="AA105" s="319"/>
      <c r="AB105" s="319"/>
      <c r="AC105" s="319"/>
      <c r="AD105" s="319"/>
      <c r="AE105" s="319"/>
      <c r="AF105" s="319"/>
      <c r="AG105" s="319"/>
      <c r="AH105" s="319"/>
      <c r="AI105" s="319"/>
      <c r="AJ105" s="319"/>
      <c r="AK105" s="319"/>
      <c r="AP105" s="283"/>
      <c r="AQ105" s="283"/>
      <c r="AR105" s="283"/>
      <c r="AS105" s="283"/>
      <c r="AT105" s="283">
        <f t="shared" ref="AT105:BE105" si="407">+AT104/AP104-1</f>
        <v>0.5484412690856979</v>
      </c>
      <c r="AU105" s="283">
        <f t="shared" si="407"/>
        <v>-7.3870683750188459E-2</v>
      </c>
      <c r="AV105" s="283">
        <f t="shared" si="407"/>
        <v>-0.17281220940543518</v>
      </c>
      <c r="AW105" s="283">
        <f t="shared" si="407"/>
        <v>-0.45496572179555694</v>
      </c>
      <c r="AX105" s="283">
        <f t="shared" si="407"/>
        <v>3.5883867937622993E-2</v>
      </c>
      <c r="AY105" s="283">
        <f t="shared" si="407"/>
        <v>0.62666336434921877</v>
      </c>
      <c r="AZ105" s="283">
        <f t="shared" si="407"/>
        <v>1.1607442354280284</v>
      </c>
      <c r="BA105" s="283">
        <f t="shared" si="407"/>
        <v>1.652799631797643</v>
      </c>
      <c r="BB105" s="283">
        <f t="shared" si="407"/>
        <v>0.79781481014368349</v>
      </c>
      <c r="BC105" s="283">
        <f t="shared" si="407"/>
        <v>0.14042927590407839</v>
      </c>
      <c r="BD105" s="283">
        <f t="shared" si="407"/>
        <v>-0.14714341635993888</v>
      </c>
      <c r="BE105" s="283">
        <f t="shared" si="407"/>
        <v>-7.1985325415780621E-2</v>
      </c>
      <c r="BF105" s="283">
        <f t="shared" ref="BF105" ca="1" si="408">+BF104/BB104-1</f>
        <v>-0.3603307606038334</v>
      </c>
      <c r="BG105" s="283">
        <f t="shared" ref="BG105" ca="1" si="409">+BG104/BC104-1</f>
        <v>-0.34795795240989735</v>
      </c>
      <c r="BH105" s="283">
        <f t="shared" ref="BH105" ca="1" si="410">+BH104/BD104-1</f>
        <v>-0.30083570958771966</v>
      </c>
      <c r="BI105" s="283">
        <f t="shared" ref="BI105" ca="1" si="411">+BI104/BE104-1</f>
        <v>-0.20655585444210789</v>
      </c>
    </row>
    <row r="106" spans="2:61" s="331" customFormat="1">
      <c r="B106" s="316" t="s">
        <v>342</v>
      </c>
      <c r="C106" s="332"/>
      <c r="Q106" s="332"/>
      <c r="R106" s="332"/>
      <c r="S106" s="332"/>
      <c r="T106" s="332"/>
      <c r="U106" s="332"/>
      <c r="V106" s="332"/>
      <c r="W106" s="332"/>
      <c r="X106" s="332"/>
      <c r="Y106" s="332"/>
      <c r="Z106" s="332"/>
      <c r="AA106" s="332"/>
      <c r="AB106" s="332"/>
      <c r="AC106" s="332"/>
      <c r="AD106" s="332"/>
      <c r="AE106" s="332"/>
      <c r="AF106" s="332"/>
      <c r="AG106" s="332"/>
      <c r="AH106" s="332"/>
      <c r="AI106" s="332"/>
      <c r="AJ106" s="332"/>
      <c r="AK106" s="332"/>
      <c r="AP106" s="303"/>
      <c r="AQ106" s="303">
        <f t="shared" ref="AQ106:BE106" si="412">+AQ104-AP104</f>
        <v>0.96618542095307602</v>
      </c>
      <c r="AR106" s="303">
        <f t="shared" si="412"/>
        <v>0.1985195978315244</v>
      </c>
      <c r="AS106" s="303">
        <f t="shared" si="412"/>
        <v>0.17833916396079985</v>
      </c>
      <c r="AT106" s="303">
        <f t="shared" si="412"/>
        <v>-0.57995045601327933</v>
      </c>
      <c r="AU106" s="303">
        <f t="shared" si="412"/>
        <v>2.8936251314904293E-2</v>
      </c>
      <c r="AV106" s="303">
        <f t="shared" si="412"/>
        <v>-6.9048765959402125E-2</v>
      </c>
      <c r="AW106" s="303">
        <f t="shared" si="412"/>
        <v>-0.62400921621305327</v>
      </c>
      <c r="AX106" s="303">
        <f t="shared" si="412"/>
        <v>0.74143281144332818</v>
      </c>
      <c r="AY106" s="303">
        <f t="shared" si="412"/>
        <v>1.3198922282304473</v>
      </c>
      <c r="AZ106" s="303">
        <f t="shared" si="412"/>
        <v>1.0169242017348359</v>
      </c>
      <c r="BA106" s="303">
        <f t="shared" si="412"/>
        <v>-0.61498542222716424</v>
      </c>
      <c r="BB106" s="303">
        <f t="shared" si="412"/>
        <v>5.8725076030986756E-2</v>
      </c>
      <c r="BC106" s="303">
        <f t="shared" si="412"/>
        <v>3.8096478510348142E-2</v>
      </c>
      <c r="BD106" s="303">
        <f t="shared" si="412"/>
        <v>-0.15407666907220285</v>
      </c>
      <c r="BE106" s="303">
        <f t="shared" si="412"/>
        <v>-0.22734766768025505</v>
      </c>
      <c r="BF106" s="303">
        <f t="shared" ref="BF106" ca="1" si="413">+BF104-BE104</f>
        <v>-1.1024442954110278</v>
      </c>
      <c r="BG106" s="303">
        <f t="shared" ref="BG106" ca="1" si="414">+BG104-BF104</f>
        <v>7.4484509378031305E-2</v>
      </c>
      <c r="BH106" s="303">
        <f t="shared" ref="BH106" ca="1" si="415">+BH104-BG104</f>
        <v>8.3141090167860199E-2</v>
      </c>
      <c r="BI106" s="303">
        <f t="shared" ref="BI106" ca="1" si="416">+BI104-BH104</f>
        <v>0.18696125054528201</v>
      </c>
    </row>
    <row r="107" spans="2:61" s="331" customFormat="1">
      <c r="B107" s="316" t="s">
        <v>343</v>
      </c>
      <c r="C107" s="332"/>
      <c r="F107" s="303">
        <f>+F104-E104</f>
        <v>-0.26724563432072279</v>
      </c>
      <c r="G107" s="303">
        <f>+G104-F104</f>
        <v>1.6619918281043808</v>
      </c>
      <c r="H107" s="303">
        <f>+H104-G104</f>
        <v>0.19536187354592061</v>
      </c>
      <c r="I107" s="303">
        <f ca="1">+I104-H104</f>
        <v>-1.1046120075744454</v>
      </c>
      <c r="J107" s="303">
        <f ca="1">+J104-I104</f>
        <v>-0.1415408393781914</v>
      </c>
      <c r="K107" s="303">
        <f t="shared" ref="K107:P107" ca="1" si="417">+K104-J104</f>
        <v>0.4014225492473722</v>
      </c>
      <c r="L107" s="303">
        <f t="shared" ca="1" si="417"/>
        <v>0.33282195768858625</v>
      </c>
      <c r="M107" s="303">
        <f t="shared" ca="1" si="417"/>
        <v>0.28075330449916036</v>
      </c>
      <c r="N107" s="303">
        <f t="shared" ca="1" si="417"/>
        <v>0.24023062545905161</v>
      </c>
      <c r="O107" s="303">
        <f t="shared" ca="1" si="417"/>
        <v>0.20802328856796048</v>
      </c>
      <c r="P107" s="303">
        <f t="shared" ca="1" si="417"/>
        <v>0.18196273724029766</v>
      </c>
      <c r="Q107" s="332"/>
      <c r="R107" s="332"/>
      <c r="S107" s="332"/>
      <c r="T107" s="332"/>
      <c r="U107" s="332"/>
      <c r="V107" s="332"/>
      <c r="W107" s="332"/>
      <c r="X107" s="332"/>
      <c r="Y107" s="332"/>
      <c r="Z107" s="332"/>
      <c r="AA107" s="332"/>
      <c r="AB107" s="332"/>
      <c r="AC107" s="332"/>
      <c r="AD107" s="332"/>
      <c r="AE107" s="332"/>
      <c r="AF107" s="332"/>
      <c r="AG107" s="332"/>
      <c r="AH107" s="332"/>
      <c r="AI107" s="332"/>
      <c r="AJ107" s="332"/>
      <c r="AK107" s="332"/>
      <c r="AP107" s="303"/>
      <c r="AQ107" s="303"/>
      <c r="AR107" s="303"/>
      <c r="AS107" s="303"/>
      <c r="AT107" s="303">
        <f t="shared" ref="AT107:BE107" si="418">+AT104-AP104</f>
        <v>0.76309372673212095</v>
      </c>
      <c r="AU107" s="303">
        <f t="shared" si="418"/>
        <v>-0.17415544290605078</v>
      </c>
      <c r="AV107" s="303">
        <f t="shared" si="418"/>
        <v>-0.44172380669697731</v>
      </c>
      <c r="AW107" s="303">
        <f t="shared" si="418"/>
        <v>-1.2440721868708304</v>
      </c>
      <c r="AX107" s="303">
        <f t="shared" si="418"/>
        <v>7.731108058577707E-2</v>
      </c>
      <c r="AY107" s="303">
        <f t="shared" si="418"/>
        <v>1.36826705750132</v>
      </c>
      <c r="AZ107" s="303">
        <f t="shared" si="418"/>
        <v>2.4542400251955581</v>
      </c>
      <c r="BA107" s="303">
        <f t="shared" si="418"/>
        <v>2.4632638191814471</v>
      </c>
      <c r="BB107" s="303">
        <f t="shared" si="418"/>
        <v>1.7805560837691057</v>
      </c>
      <c r="BC107" s="303">
        <f t="shared" si="418"/>
        <v>0.49876033404900655</v>
      </c>
      <c r="BD107" s="303">
        <f t="shared" si="418"/>
        <v>-0.67224053675803219</v>
      </c>
      <c r="BE107" s="303">
        <f t="shared" si="418"/>
        <v>-0.28460278221112301</v>
      </c>
      <c r="BF107" s="303">
        <f t="shared" ref="BF107" ca="1" si="419">+BF104-BB104</f>
        <v>-1.4457721536531376</v>
      </c>
      <c r="BG107" s="303">
        <f t="shared" ref="BG107" ca="1" si="420">+BG104-BC104</f>
        <v>-1.4093841227854544</v>
      </c>
      <c r="BH107" s="303">
        <f t="shared" ref="BH107" ca="1" si="421">+BH104-BD104</f>
        <v>-1.1721663635453914</v>
      </c>
      <c r="BI107" s="303">
        <f t="shared" ref="BI107" ca="1" si="422">+BI104-BE104</f>
        <v>-0.75785744531985433</v>
      </c>
    </row>
    <row r="108" spans="2:61">
      <c r="C108" s="274"/>
      <c r="D108" s="235"/>
      <c r="E108" s="235"/>
      <c r="F108" s="235"/>
      <c r="G108" s="235"/>
      <c r="H108" s="235"/>
      <c r="I108" s="235"/>
      <c r="J108" s="235"/>
      <c r="K108" s="235"/>
      <c r="L108" s="235"/>
      <c r="M108" s="235"/>
      <c r="N108" s="235"/>
      <c r="O108" s="235"/>
      <c r="P108" s="235"/>
      <c r="Q108" s="274"/>
      <c r="R108" s="274"/>
      <c r="S108" s="274"/>
      <c r="T108" s="274"/>
      <c r="U108" s="274"/>
      <c r="V108" s="274"/>
      <c r="W108" s="274"/>
      <c r="X108" s="274"/>
      <c r="Y108" s="274"/>
      <c r="Z108" s="274"/>
      <c r="AA108" s="274"/>
      <c r="AB108" s="274"/>
      <c r="AC108" s="274"/>
      <c r="AD108" s="274"/>
      <c r="AE108" s="274"/>
      <c r="AF108" s="274"/>
      <c r="AG108" s="274"/>
      <c r="AH108" s="274"/>
      <c r="AI108" s="274"/>
      <c r="AJ108" s="274"/>
      <c r="AK108" s="274"/>
    </row>
    <row r="109" spans="2:61">
      <c r="B109" s="235" t="s">
        <v>319</v>
      </c>
      <c r="C109" s="274"/>
      <c r="D109" s="236">
        <f>+AO109</f>
        <v>-1</v>
      </c>
      <c r="E109" s="236">
        <f>+AS109</f>
        <v>11</v>
      </c>
      <c r="F109" s="236">
        <f>+AW109</f>
        <v>85</v>
      </c>
      <c r="G109" s="236">
        <f>+BA109</f>
        <v>65</v>
      </c>
      <c r="H109" s="236">
        <f>+BE109</f>
        <v>87</v>
      </c>
      <c r="I109" s="236">
        <f>+BI109</f>
        <v>-67</v>
      </c>
      <c r="J109" s="274">
        <f>+I109+J110</f>
        <v>-67</v>
      </c>
      <c r="K109" s="274">
        <f t="shared" ref="K109:P109" si="423">+J109+K110</f>
        <v>-67</v>
      </c>
      <c r="L109" s="274">
        <f t="shared" si="423"/>
        <v>-67</v>
      </c>
      <c r="M109" s="274">
        <f t="shared" si="423"/>
        <v>-67</v>
      </c>
      <c r="N109" s="274">
        <f t="shared" si="423"/>
        <v>-67</v>
      </c>
      <c r="O109" s="274">
        <f t="shared" si="423"/>
        <v>-67</v>
      </c>
      <c r="P109" s="274">
        <f t="shared" si="423"/>
        <v>-67</v>
      </c>
      <c r="Q109" s="274"/>
      <c r="R109" s="274"/>
      <c r="S109" s="274"/>
      <c r="T109" s="274"/>
      <c r="U109" s="274"/>
      <c r="V109" s="274"/>
      <c r="W109" s="274"/>
      <c r="X109" s="274"/>
      <c r="Y109" s="274"/>
      <c r="Z109" s="274"/>
      <c r="AA109" s="274"/>
      <c r="AB109" s="274"/>
      <c r="AC109" s="274"/>
      <c r="AD109" s="274"/>
      <c r="AE109" s="274"/>
      <c r="AF109" s="274"/>
      <c r="AG109" s="274"/>
      <c r="AH109" s="274"/>
      <c r="AI109" s="274"/>
      <c r="AJ109" s="274"/>
      <c r="AK109" s="274"/>
      <c r="AO109" s="236">
        <f>+AO68</f>
        <v>-1</v>
      </c>
      <c r="AP109" s="236">
        <f t="shared" ref="AP109:AV109" si="424">+AP68</f>
        <v>0</v>
      </c>
      <c r="AQ109" s="236">
        <f t="shared" si="424"/>
        <v>9</v>
      </c>
      <c r="AR109" s="236">
        <f t="shared" si="424"/>
        <v>-22</v>
      </c>
      <c r="AS109" s="236">
        <f t="shared" si="424"/>
        <v>11</v>
      </c>
      <c r="AT109" s="236">
        <f t="shared" si="424"/>
        <v>14</v>
      </c>
      <c r="AU109" s="236">
        <f t="shared" si="424"/>
        <v>19</v>
      </c>
      <c r="AV109" s="236">
        <f t="shared" si="424"/>
        <v>83</v>
      </c>
      <c r="AW109" s="236">
        <f t="shared" ref="AW109:BB109" si="425">+AW68</f>
        <v>85</v>
      </c>
      <c r="AX109" s="236">
        <f t="shared" si="425"/>
        <v>64</v>
      </c>
      <c r="AY109" s="236">
        <f t="shared" si="425"/>
        <v>52</v>
      </c>
      <c r="AZ109" s="236">
        <f t="shared" si="425"/>
        <v>58</v>
      </c>
      <c r="BA109" s="236">
        <f t="shared" si="425"/>
        <v>65</v>
      </c>
      <c r="BB109" s="236">
        <f t="shared" si="425"/>
        <v>76</v>
      </c>
      <c r="BC109" s="236">
        <f t="shared" ref="BC109:BD109" si="426">+BC68</f>
        <v>72</v>
      </c>
      <c r="BD109" s="236">
        <f t="shared" si="426"/>
        <v>77</v>
      </c>
      <c r="BE109" s="236">
        <f t="shared" ref="BE109" si="427">+BE68</f>
        <v>87</v>
      </c>
      <c r="BF109" s="274">
        <f t="shared" ref="BF109" si="428">+BE109+BF110</f>
        <v>161</v>
      </c>
      <c r="BG109" s="274">
        <f t="shared" ref="BG109" si="429">+BF109+BG110</f>
        <v>-57</v>
      </c>
      <c r="BH109" s="274">
        <f t="shared" ref="BH109" si="430">+BG109+BH110</f>
        <v>-140</v>
      </c>
      <c r="BI109" s="274">
        <f t="shared" ref="BI109" si="431">+BH109+BI110</f>
        <v>-67</v>
      </c>
    </row>
    <row r="110" spans="2:61" s="239" customFormat="1">
      <c r="B110" s="307" t="s">
        <v>117</v>
      </c>
      <c r="C110" s="308"/>
      <c r="D110" s="252"/>
      <c r="E110" s="239">
        <f>SUM(AP110:AS110)</f>
        <v>6</v>
      </c>
      <c r="F110" s="239">
        <f>SUM(AT110:AW110)</f>
        <v>13</v>
      </c>
      <c r="G110" s="239">
        <f>SUM(AX110:BA110)</f>
        <v>-33</v>
      </c>
      <c r="H110" s="239">
        <f>SUM(BB110:BE110)</f>
        <v>7</v>
      </c>
      <c r="I110" s="239">
        <f>SUM(BF110:BI110)</f>
        <v>-154</v>
      </c>
      <c r="J110" s="239">
        <f>+'AT&amp;T Mobility'!J112-'Consumer Mobility'!J96</f>
        <v>0</v>
      </c>
      <c r="K110" s="239">
        <f>+'AT&amp;T Mobility'!K112-'Consumer Mobility'!K96</f>
        <v>0</v>
      </c>
      <c r="L110" s="239">
        <f>+'AT&amp;T Mobility'!L112-'Consumer Mobility'!L96</f>
        <v>0</v>
      </c>
      <c r="M110" s="239">
        <f>+'AT&amp;T Mobility'!M112-'Consumer Mobility'!M96</f>
        <v>0</v>
      </c>
      <c r="N110" s="239">
        <f>+'AT&amp;T Mobility'!N112-'Consumer Mobility'!N96</f>
        <v>0</v>
      </c>
      <c r="O110" s="239">
        <f>+'AT&amp;T Mobility'!O112-'Consumer Mobility'!O96</f>
        <v>0</v>
      </c>
      <c r="P110" s="239">
        <f>+'AT&amp;T Mobility'!P112-'Consumer Mobility'!P96</f>
        <v>0</v>
      </c>
      <c r="Q110" s="308"/>
      <c r="R110" s="308"/>
      <c r="S110" s="308"/>
      <c r="T110" s="308"/>
      <c r="U110" s="308"/>
      <c r="V110" s="308"/>
      <c r="W110" s="308"/>
      <c r="X110" s="308"/>
      <c r="Y110" s="308"/>
      <c r="Z110" s="308"/>
      <c r="AA110" s="308"/>
      <c r="AB110" s="308"/>
      <c r="AC110" s="308"/>
      <c r="AD110" s="308"/>
      <c r="AE110" s="308"/>
      <c r="AF110" s="308"/>
      <c r="AG110" s="308"/>
      <c r="AH110" s="308"/>
      <c r="AI110" s="308"/>
      <c r="AJ110" s="308"/>
      <c r="AK110" s="308"/>
      <c r="AO110" s="239">
        <f>+AO73</f>
        <v>0</v>
      </c>
      <c r="AP110" s="239">
        <f t="shared" ref="AP110:AV110" si="432">+AP73</f>
        <v>0</v>
      </c>
      <c r="AQ110" s="239">
        <f t="shared" si="432"/>
        <v>9</v>
      </c>
      <c r="AR110" s="239">
        <f t="shared" si="432"/>
        <v>-5</v>
      </c>
      <c r="AS110" s="239">
        <f t="shared" si="432"/>
        <v>2</v>
      </c>
      <c r="AT110" s="239">
        <f t="shared" si="432"/>
        <v>3</v>
      </c>
      <c r="AU110" s="239">
        <f t="shared" si="432"/>
        <v>3</v>
      </c>
      <c r="AV110" s="239">
        <f t="shared" si="432"/>
        <v>8</v>
      </c>
      <c r="AW110" s="239">
        <f t="shared" ref="AW110:BB110" si="433">+AW73</f>
        <v>-1</v>
      </c>
      <c r="AX110" s="239">
        <f t="shared" si="433"/>
        <v>-22</v>
      </c>
      <c r="AY110" s="239">
        <f t="shared" si="433"/>
        <v>-13</v>
      </c>
      <c r="AZ110" s="239">
        <f t="shared" si="433"/>
        <v>1</v>
      </c>
      <c r="BA110" s="239">
        <f t="shared" si="433"/>
        <v>1</v>
      </c>
      <c r="BB110" s="239">
        <f t="shared" si="433"/>
        <v>6</v>
      </c>
      <c r="BC110" s="239">
        <f t="shared" ref="BC110:BD110" si="434">+BC73</f>
        <v>-5</v>
      </c>
      <c r="BD110" s="239">
        <f t="shared" si="434"/>
        <v>2</v>
      </c>
      <c r="BE110" s="239">
        <f t="shared" ref="BE110" si="435">+BE73</f>
        <v>4</v>
      </c>
      <c r="BF110" s="424">
        <f>+'AT&amp;T Mobility'!BF112-'Consumer Mobility'!BF96</f>
        <v>74</v>
      </c>
      <c r="BG110" s="424">
        <f>+'AT&amp;T Mobility'!BG112-'Consumer Mobility'!BG96</f>
        <v>-218</v>
      </c>
      <c r="BH110" s="424">
        <f>+'AT&amp;T Mobility'!BH112-'Consumer Mobility'!BH96</f>
        <v>-83</v>
      </c>
      <c r="BI110" s="424">
        <f>+'AT&amp;T Mobility'!BI112-'Consumer Mobility'!BI96</f>
        <v>73</v>
      </c>
    </row>
    <row r="111" spans="2:61">
      <c r="B111" s="235" t="s">
        <v>36</v>
      </c>
      <c r="D111" s="236">
        <f>+AO111</f>
        <v>16326</v>
      </c>
      <c r="E111" s="236">
        <f>+AS111</f>
        <v>19943</v>
      </c>
      <c r="F111" s="236">
        <f>+AW111</f>
        <v>25284</v>
      </c>
      <c r="G111" s="236">
        <f>+BA111</f>
        <v>30649</v>
      </c>
      <c r="H111" s="236">
        <f>+BE111</f>
        <v>38534</v>
      </c>
      <c r="I111" s="236">
        <f>+BI111</f>
        <v>43534</v>
      </c>
      <c r="J111" s="274">
        <f>+I111+J112</f>
        <v>48534</v>
      </c>
      <c r="K111" s="274">
        <f t="shared" ref="K111:P111" si="436">+J111+K112</f>
        <v>53534</v>
      </c>
      <c r="L111" s="274">
        <f t="shared" si="436"/>
        <v>58534</v>
      </c>
      <c r="M111" s="274">
        <f t="shared" si="436"/>
        <v>63534</v>
      </c>
      <c r="N111" s="274">
        <f t="shared" si="436"/>
        <v>68534</v>
      </c>
      <c r="O111" s="274">
        <f t="shared" si="436"/>
        <v>73534</v>
      </c>
      <c r="P111" s="274">
        <f t="shared" si="436"/>
        <v>78534</v>
      </c>
      <c r="AO111" s="236">
        <f>+AO67</f>
        <v>16326</v>
      </c>
      <c r="AP111" s="236">
        <f t="shared" ref="AP111:AV111" si="437">+AP67</f>
        <v>17025</v>
      </c>
      <c r="AQ111" s="236">
        <f t="shared" si="437"/>
        <v>17203</v>
      </c>
      <c r="AR111" s="236">
        <f t="shared" si="437"/>
        <v>18482</v>
      </c>
      <c r="AS111" s="236">
        <f t="shared" si="437"/>
        <v>19943</v>
      </c>
      <c r="AT111" s="236">
        <f t="shared" si="437"/>
        <v>20972</v>
      </c>
      <c r="AU111" s="236">
        <f t="shared" si="437"/>
        <v>22462</v>
      </c>
      <c r="AV111" s="236">
        <f t="shared" si="437"/>
        <v>24064</v>
      </c>
      <c r="AW111" s="236">
        <f t="shared" ref="AW111:BB111" si="438">+AW67</f>
        <v>25284</v>
      </c>
      <c r="AX111" s="236">
        <f t="shared" si="438"/>
        <v>26863</v>
      </c>
      <c r="AY111" s="236">
        <f t="shared" si="438"/>
        <v>28061</v>
      </c>
      <c r="AZ111" s="236">
        <f t="shared" si="438"/>
        <v>29355</v>
      </c>
      <c r="BA111" s="236">
        <f t="shared" si="438"/>
        <v>30649</v>
      </c>
      <c r="BB111" s="236">
        <f t="shared" si="438"/>
        <v>31439</v>
      </c>
      <c r="BC111" s="236">
        <f t="shared" ref="BC111:BD111" si="439">+BC67</f>
        <v>33611</v>
      </c>
      <c r="BD111" s="236">
        <f t="shared" si="439"/>
        <v>35909</v>
      </c>
      <c r="BE111" s="236">
        <f t="shared" ref="BE111" si="440">+BE67</f>
        <v>38534</v>
      </c>
      <c r="BF111" s="274">
        <f t="shared" ref="BF111" si="441">+BE111+BF112</f>
        <v>39784</v>
      </c>
      <c r="BG111" s="274">
        <f t="shared" ref="BG111" si="442">+BF111+BG112</f>
        <v>41034</v>
      </c>
      <c r="BH111" s="274">
        <f t="shared" ref="BH111" si="443">+BG111+BH112</f>
        <v>42284</v>
      </c>
      <c r="BI111" s="274">
        <f t="shared" ref="BI111" si="444">+BH111+BI112</f>
        <v>43534</v>
      </c>
    </row>
    <row r="112" spans="2:61">
      <c r="B112" s="307" t="s">
        <v>117</v>
      </c>
      <c r="D112" s="252"/>
      <c r="E112" s="239">
        <f>SUM(AP112:AS112)</f>
        <v>3440</v>
      </c>
      <c r="F112" s="239">
        <f>SUM(AT112:AW112)</f>
        <v>5315</v>
      </c>
      <c r="G112" s="239">
        <f>SUM(AX112:BA112)</f>
        <v>5330</v>
      </c>
      <c r="H112" s="239">
        <f>SUM(BB112:BE112)</f>
        <v>9639</v>
      </c>
      <c r="I112" s="239">
        <f>SUM(BF112:BI112)</f>
        <v>5000</v>
      </c>
      <c r="J112" s="239">
        <f>+'AT&amp;T Mobility'!J114-'Consumer Mobility'!J98</f>
        <v>5000</v>
      </c>
      <c r="K112" s="239">
        <f>+'AT&amp;T Mobility'!K114-'Consumer Mobility'!K98</f>
        <v>5000</v>
      </c>
      <c r="L112" s="239">
        <f>+'AT&amp;T Mobility'!L114-'Consumer Mobility'!L98</f>
        <v>5000</v>
      </c>
      <c r="M112" s="239">
        <f>+'AT&amp;T Mobility'!M114-'Consumer Mobility'!M98</f>
        <v>5000</v>
      </c>
      <c r="N112" s="239">
        <f>+'AT&amp;T Mobility'!N114-'Consumer Mobility'!N98</f>
        <v>5000</v>
      </c>
      <c r="O112" s="239">
        <f>+'AT&amp;T Mobility'!O114-'Consumer Mobility'!O98</f>
        <v>5000</v>
      </c>
      <c r="P112" s="239">
        <f>+'AT&amp;T Mobility'!P114-'Consumer Mobility'!P98</f>
        <v>5000</v>
      </c>
      <c r="AO112" s="236">
        <f>+AO72</f>
        <v>399</v>
      </c>
      <c r="AP112" s="236">
        <f t="shared" ref="AP112:AV112" si="445">+AP72</f>
        <v>693</v>
      </c>
      <c r="AQ112" s="236">
        <f t="shared" si="445"/>
        <v>175</v>
      </c>
      <c r="AR112" s="236">
        <f t="shared" si="445"/>
        <v>1276</v>
      </c>
      <c r="AS112" s="236">
        <f t="shared" si="445"/>
        <v>1296</v>
      </c>
      <c r="AT112" s="236">
        <f t="shared" si="445"/>
        <v>1024</v>
      </c>
      <c r="AU112" s="236">
        <f t="shared" si="445"/>
        <v>1478</v>
      </c>
      <c r="AV112" s="236">
        <f t="shared" si="445"/>
        <v>1602</v>
      </c>
      <c r="AW112" s="236">
        <f t="shared" ref="AW112:BB112" si="446">+AW72</f>
        <v>1211</v>
      </c>
      <c r="AX112" s="236">
        <f t="shared" si="446"/>
        <v>1578</v>
      </c>
      <c r="AY112" s="236">
        <f t="shared" si="446"/>
        <v>1199</v>
      </c>
      <c r="AZ112" s="236">
        <f t="shared" si="446"/>
        <v>1290</v>
      </c>
      <c r="BA112" s="236">
        <f t="shared" si="446"/>
        <v>1263</v>
      </c>
      <c r="BB112" s="236">
        <f t="shared" si="446"/>
        <v>2553</v>
      </c>
      <c r="BC112" s="236">
        <f t="shared" ref="BC112:BD112" si="447">+BC72</f>
        <v>2170</v>
      </c>
      <c r="BD112" s="236">
        <f t="shared" si="447"/>
        <v>2292</v>
      </c>
      <c r="BE112" s="236">
        <f t="shared" ref="BE112" si="448">+BE72</f>
        <v>2624</v>
      </c>
      <c r="BF112" s="425">
        <f>+'AT&amp;T Mobility'!BF114-'Consumer Mobility'!BF98</f>
        <v>1250</v>
      </c>
      <c r="BG112" s="425">
        <f>+'AT&amp;T Mobility'!BG114-'Consumer Mobility'!BG98</f>
        <v>1250</v>
      </c>
      <c r="BH112" s="425">
        <f>+'AT&amp;T Mobility'!BH114-'Consumer Mobility'!BH98</f>
        <v>1250</v>
      </c>
      <c r="BI112" s="425">
        <f>+'AT&amp;T Mobility'!BI114-'Consumer Mobility'!BI98</f>
        <v>1250</v>
      </c>
    </row>
    <row r="113" spans="2:61">
      <c r="B113" s="235" t="s">
        <v>320</v>
      </c>
      <c r="D113" s="274">
        <f t="shared" ref="D113:J113" si="449">D109+D111</f>
        <v>16325</v>
      </c>
      <c r="E113" s="274">
        <f t="shared" si="449"/>
        <v>19954</v>
      </c>
      <c r="F113" s="274">
        <f t="shared" si="449"/>
        <v>25369</v>
      </c>
      <c r="G113" s="274">
        <f t="shared" ref="G113:I114" si="450">G109+G111</f>
        <v>30714</v>
      </c>
      <c r="H113" s="274">
        <f t="shared" si="450"/>
        <v>38621</v>
      </c>
      <c r="I113" s="274">
        <f t="shared" si="450"/>
        <v>43467</v>
      </c>
      <c r="J113" s="274">
        <f t="shared" si="449"/>
        <v>48467</v>
      </c>
      <c r="K113" s="274">
        <f t="shared" ref="K113:P113" si="451">K109+K111</f>
        <v>53467</v>
      </c>
      <c r="L113" s="274">
        <f t="shared" si="451"/>
        <v>58467</v>
      </c>
      <c r="M113" s="274">
        <f t="shared" si="451"/>
        <v>63467</v>
      </c>
      <c r="N113" s="274">
        <f t="shared" si="451"/>
        <v>68467</v>
      </c>
      <c r="O113" s="274">
        <f t="shared" si="451"/>
        <v>73467</v>
      </c>
      <c r="P113" s="274">
        <f t="shared" si="451"/>
        <v>78467</v>
      </c>
      <c r="AO113" s="274">
        <f>AO109+AO111</f>
        <v>16325</v>
      </c>
      <c r="AP113" s="274">
        <f t="shared" ref="AP113:AV114" si="452">AP109+AP111</f>
        <v>17025</v>
      </c>
      <c r="AQ113" s="274">
        <f t="shared" si="452"/>
        <v>17212</v>
      </c>
      <c r="AR113" s="274">
        <f t="shared" si="452"/>
        <v>18460</v>
      </c>
      <c r="AS113" s="274">
        <f t="shared" si="452"/>
        <v>19954</v>
      </c>
      <c r="AT113" s="274">
        <f t="shared" si="452"/>
        <v>20986</v>
      </c>
      <c r="AU113" s="274">
        <f t="shared" si="452"/>
        <v>22481</v>
      </c>
      <c r="AV113" s="274">
        <f t="shared" si="452"/>
        <v>24147</v>
      </c>
      <c r="AW113" s="274">
        <f t="shared" ref="AW113:AW114" si="453">AW109+AW111</f>
        <v>25369</v>
      </c>
      <c r="AX113" s="274">
        <f t="shared" ref="AX113:AZ114" si="454">AX109+AX111</f>
        <v>26927</v>
      </c>
      <c r="AY113" s="274">
        <f t="shared" si="454"/>
        <v>28113</v>
      </c>
      <c r="AZ113" s="274">
        <f t="shared" si="454"/>
        <v>29413</v>
      </c>
      <c r="BA113" s="274">
        <f t="shared" ref="BA113:BB113" si="455">BA109+BA111</f>
        <v>30714</v>
      </c>
      <c r="BB113" s="274">
        <f t="shared" si="455"/>
        <v>31515</v>
      </c>
      <c r="BC113" s="274">
        <f t="shared" ref="BC113:BD113" si="456">BC109+BC111</f>
        <v>33683</v>
      </c>
      <c r="BD113" s="274">
        <f t="shared" si="456"/>
        <v>35986</v>
      </c>
      <c r="BE113" s="274">
        <f t="shared" ref="BE113" si="457">BE109+BE111</f>
        <v>38621</v>
      </c>
      <c r="BF113" s="274">
        <f t="shared" ref="BF113:BI113" si="458">BF109+BF111</f>
        <v>39945</v>
      </c>
      <c r="BG113" s="274">
        <f t="shared" si="458"/>
        <v>40977</v>
      </c>
      <c r="BH113" s="274">
        <f t="shared" si="458"/>
        <v>42144</v>
      </c>
      <c r="BI113" s="274">
        <f t="shared" si="458"/>
        <v>43467</v>
      </c>
    </row>
    <row r="114" spans="2:61">
      <c r="B114" s="296" t="s">
        <v>117</v>
      </c>
      <c r="D114" s="247"/>
      <c r="E114" s="247">
        <f t="shared" ref="E114:J114" si="459">E110+E112</f>
        <v>3446</v>
      </c>
      <c r="F114" s="247">
        <f t="shared" si="459"/>
        <v>5328</v>
      </c>
      <c r="G114" s="247">
        <f t="shared" si="450"/>
        <v>5297</v>
      </c>
      <c r="H114" s="247">
        <f t="shared" si="450"/>
        <v>9646</v>
      </c>
      <c r="I114" s="247">
        <f t="shared" si="450"/>
        <v>4846</v>
      </c>
      <c r="J114" s="247">
        <f t="shared" si="459"/>
        <v>5000</v>
      </c>
      <c r="K114" s="247">
        <f t="shared" ref="K114:P114" si="460">K110+K112</f>
        <v>5000</v>
      </c>
      <c r="L114" s="247">
        <f t="shared" si="460"/>
        <v>5000</v>
      </c>
      <c r="M114" s="247">
        <f t="shared" si="460"/>
        <v>5000</v>
      </c>
      <c r="N114" s="247">
        <f t="shared" si="460"/>
        <v>5000</v>
      </c>
      <c r="O114" s="247">
        <f t="shared" si="460"/>
        <v>5000</v>
      </c>
      <c r="P114" s="247">
        <f t="shared" si="460"/>
        <v>5000</v>
      </c>
      <c r="AO114" s="247">
        <f>AO110+AO112</f>
        <v>399</v>
      </c>
      <c r="AP114" s="247">
        <f t="shared" si="452"/>
        <v>693</v>
      </c>
      <c r="AQ114" s="247">
        <f t="shared" si="452"/>
        <v>184</v>
      </c>
      <c r="AR114" s="247">
        <f t="shared" si="452"/>
        <v>1271</v>
      </c>
      <c r="AS114" s="247">
        <f t="shared" si="452"/>
        <v>1298</v>
      </c>
      <c r="AT114" s="247">
        <f t="shared" si="452"/>
        <v>1027</v>
      </c>
      <c r="AU114" s="247">
        <f t="shared" si="452"/>
        <v>1481</v>
      </c>
      <c r="AV114" s="247">
        <f t="shared" si="452"/>
        <v>1610</v>
      </c>
      <c r="AW114" s="247">
        <f t="shared" si="453"/>
        <v>1210</v>
      </c>
      <c r="AX114" s="247">
        <f t="shared" si="454"/>
        <v>1556</v>
      </c>
      <c r="AY114" s="247">
        <f t="shared" si="454"/>
        <v>1186</v>
      </c>
      <c r="AZ114" s="247">
        <f t="shared" si="454"/>
        <v>1291</v>
      </c>
      <c r="BA114" s="247">
        <f t="shared" ref="BA114:BB114" si="461">BA110+BA112</f>
        <v>1264</v>
      </c>
      <c r="BB114" s="247">
        <f t="shared" si="461"/>
        <v>2559</v>
      </c>
      <c r="BC114" s="247">
        <f t="shared" ref="BC114:BD114" si="462">BC110+BC112</f>
        <v>2165</v>
      </c>
      <c r="BD114" s="247">
        <f t="shared" si="462"/>
        <v>2294</v>
      </c>
      <c r="BE114" s="247">
        <f t="shared" ref="BE114" si="463">BE110+BE112</f>
        <v>2628</v>
      </c>
      <c r="BF114" s="247">
        <f t="shared" ref="BF114:BI114" si="464">BF110+BF112</f>
        <v>1324</v>
      </c>
      <c r="BG114" s="247">
        <f t="shared" si="464"/>
        <v>1032</v>
      </c>
      <c r="BH114" s="247">
        <f t="shared" si="464"/>
        <v>1167</v>
      </c>
      <c r="BI114" s="247">
        <f t="shared" si="464"/>
        <v>1323</v>
      </c>
    </row>
  </sheetData>
  <pageMargins left="0" right="0" top="0" bottom="0" header="0" footer="0"/>
  <pageSetup scale="97"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0" tint="-0.34998626667073579"/>
    <pageSetUpPr fitToPage="1"/>
  </sheetPr>
  <dimension ref="A1:BL65"/>
  <sheetViews>
    <sheetView showGridLines="0" zoomScale="70" zoomScaleNormal="70" workbookViewId="0">
      <pane xSplit="2" ySplit="6" topLeftCell="C7" activePane="bottomRight" state="frozen"/>
      <selection activeCell="C7" sqref="C7"/>
      <selection pane="topRight" activeCell="C7" sqref="C7"/>
      <selection pane="bottomLeft" activeCell="C7" sqref="C7"/>
      <selection pane="bottomRight" activeCell="C7" sqref="C7"/>
    </sheetView>
  </sheetViews>
  <sheetFormatPr defaultRowHeight="15" outlineLevelCol="1"/>
  <cols>
    <col min="1" max="1" width="1.6640625" style="235" customWidth="1"/>
    <col min="2" max="2" width="48.33203125" style="235" customWidth="1"/>
    <col min="3" max="3" width="1.6640625" style="266" customWidth="1"/>
    <col min="4" max="4" width="8.88671875" style="300" hidden="1" customWidth="1" outlineLevel="1"/>
    <col min="5" max="5" width="8.88671875" style="300" hidden="1" customWidth="1" outlineLevel="1" collapsed="1"/>
    <col min="6" max="6" width="0" style="300" hidden="1" customWidth="1" outlineLevel="1" collapsed="1"/>
    <col min="7" max="7" width="8.88671875" style="300" collapsed="1"/>
    <col min="8" max="8" width="8.88671875" style="300"/>
    <col min="9" max="10" width="8.88671875" style="300" customWidth="1"/>
    <col min="11" max="16" width="8.88671875" style="300" hidden="1" customWidth="1" outlineLevel="1"/>
    <col min="17" max="17" width="1.6640625" style="266" customWidth="1" collapsed="1"/>
    <col min="18" max="41" width="8.88671875" style="235" hidden="1" customWidth="1" outlineLevel="1"/>
    <col min="42" max="42" width="8.88671875" style="235" hidden="1" customWidth="1" outlineLevel="1" collapsed="1"/>
    <col min="43" max="45" width="8.88671875" style="235" hidden="1" customWidth="1" outlineLevel="1"/>
    <col min="46" max="46" width="8.88671875" style="235" hidden="1" customWidth="1" outlineLevel="1" collapsed="1"/>
    <col min="47" max="49" width="8.88671875" style="235" hidden="1" customWidth="1" outlineLevel="1"/>
    <col min="50" max="50" width="8.88671875" style="235" collapsed="1"/>
    <col min="51" max="61" width="8.88671875" style="235"/>
    <col min="62" max="62" width="1.6640625" style="235" customWidth="1"/>
    <col min="63" max="63" width="8.88671875" style="235"/>
    <col min="64" max="64" width="9.77734375" style="235" bestFit="1" customWidth="1"/>
    <col min="65" max="16384" width="8.88671875" style="235"/>
  </cols>
  <sheetData>
    <row r="1" spans="2:63">
      <c r="F1" s="295"/>
      <c r="G1" s="295"/>
      <c r="H1" s="295"/>
      <c r="I1" s="295"/>
      <c r="J1" s="295"/>
      <c r="K1" s="295"/>
      <c r="L1" s="295"/>
      <c r="M1" s="295"/>
      <c r="N1" s="295"/>
      <c r="O1" s="295"/>
      <c r="P1" s="295"/>
      <c r="Q1" s="274"/>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row>
    <row r="2" spans="2:63">
      <c r="B2" s="240" t="s">
        <v>197</v>
      </c>
      <c r="F2" s="236"/>
      <c r="G2" s="295"/>
      <c r="H2" s="295"/>
      <c r="I2" s="295"/>
      <c r="J2" s="295"/>
      <c r="K2" s="295"/>
      <c r="L2" s="295"/>
      <c r="M2" s="295"/>
      <c r="N2" s="295"/>
      <c r="O2" s="295"/>
      <c r="P2" s="295"/>
      <c r="Q2" s="274"/>
      <c r="R2" s="236"/>
      <c r="S2" s="236"/>
      <c r="T2" s="236"/>
      <c r="U2" s="236"/>
      <c r="V2" s="236"/>
      <c r="W2" s="236"/>
      <c r="X2" s="236"/>
      <c r="Y2" s="236"/>
      <c r="Z2" s="236"/>
      <c r="AA2" s="236"/>
      <c r="AB2" s="236"/>
      <c r="AC2" s="236"/>
      <c r="AD2" s="236"/>
      <c r="AE2" s="236"/>
      <c r="AF2" s="236"/>
      <c r="AG2" s="236"/>
      <c r="AH2" s="236"/>
      <c r="AI2" s="236"/>
      <c r="AJ2" s="236"/>
      <c r="AK2" s="236"/>
      <c r="AL2" s="236"/>
      <c r="AM2" s="236"/>
      <c r="AN2" s="236"/>
      <c r="AO2" s="236"/>
      <c r="AP2" s="236"/>
      <c r="AQ2" s="236"/>
      <c r="AR2" s="236"/>
      <c r="AS2" s="236"/>
      <c r="AT2" s="236"/>
      <c r="AU2" s="236"/>
      <c r="AV2" s="236"/>
      <c r="AW2" s="236"/>
      <c r="AX2" s="236"/>
      <c r="AY2" s="236"/>
      <c r="AZ2" s="236"/>
      <c r="BA2" s="236"/>
      <c r="BB2" s="236"/>
      <c r="BC2" s="236"/>
      <c r="BD2" s="236"/>
      <c r="BE2" s="236"/>
      <c r="BF2" s="236"/>
      <c r="BG2" s="236"/>
      <c r="BH2" s="236"/>
      <c r="BI2" s="236"/>
    </row>
    <row r="3" spans="2:63">
      <c r="B3" s="240" t="s">
        <v>198</v>
      </c>
      <c r="G3" s="295"/>
      <c r="H3" s="295"/>
      <c r="I3" s="295"/>
      <c r="J3" s="295"/>
      <c r="K3" s="295"/>
      <c r="L3" s="295"/>
      <c r="M3" s="295"/>
      <c r="N3" s="295"/>
      <c r="O3" s="295"/>
      <c r="P3" s="295"/>
      <c r="AP3" s="284"/>
      <c r="AQ3" s="284"/>
      <c r="AR3" s="284"/>
      <c r="AS3" s="284"/>
      <c r="AT3" s="284"/>
      <c r="AU3" s="284"/>
      <c r="AV3" s="284"/>
      <c r="AW3" s="236"/>
      <c r="AX3" s="236"/>
      <c r="AY3" s="236"/>
      <c r="AZ3" s="236"/>
      <c r="BA3" s="236"/>
      <c r="BB3" s="236"/>
      <c r="BC3" s="236"/>
      <c r="BD3" s="236"/>
      <c r="BE3" s="236"/>
      <c r="BF3" s="236"/>
      <c r="BG3" s="236"/>
      <c r="BH3" s="236"/>
      <c r="BI3" s="236"/>
    </row>
    <row r="4" spans="2:63">
      <c r="B4" s="235" t="s">
        <v>165</v>
      </c>
      <c r="G4" s="236"/>
      <c r="H4" s="236"/>
      <c r="I4" s="236"/>
      <c r="J4" s="236"/>
      <c r="K4" s="236"/>
      <c r="L4" s="236"/>
      <c r="M4" s="236"/>
      <c r="N4" s="236"/>
      <c r="O4" s="236"/>
      <c r="P4" s="236"/>
      <c r="AW4" s="236"/>
      <c r="AX4" s="236"/>
      <c r="AY4" s="236"/>
      <c r="AZ4" s="236"/>
      <c r="BA4" s="236"/>
      <c r="BB4" s="236"/>
      <c r="BC4" s="236"/>
      <c r="BD4" s="236"/>
      <c r="BE4" s="236"/>
      <c r="BF4" s="236"/>
      <c r="BG4" s="236"/>
      <c r="BH4" s="236"/>
      <c r="BI4" s="236"/>
    </row>
    <row r="5" spans="2:63" ht="15.75" thickBot="1">
      <c r="AP5" s="236"/>
      <c r="AQ5" s="236"/>
      <c r="AR5" s="236"/>
      <c r="AS5" s="236"/>
      <c r="AT5" s="236"/>
      <c r="AU5" s="236"/>
      <c r="AV5" s="236"/>
    </row>
    <row r="6" spans="2:63" s="251" customFormat="1" ht="15.75" thickBot="1">
      <c r="B6" s="194" t="s">
        <v>482</v>
      </c>
      <c r="C6" s="276"/>
      <c r="D6" s="195">
        <f>'Income Statement'!D6</f>
        <v>2013</v>
      </c>
      <c r="E6" s="196">
        <f>'Income Statement'!E6</f>
        <v>2014</v>
      </c>
      <c r="F6" s="196">
        <f>'Income Statement'!F6</f>
        <v>2015</v>
      </c>
      <c r="G6" s="196">
        <f>'Income Statement'!G6</f>
        <v>2016</v>
      </c>
      <c r="H6" s="196">
        <f>'Income Statement'!H6</f>
        <v>2017</v>
      </c>
      <c r="I6" s="196" t="str">
        <f>'Income Statement'!I6</f>
        <v>2018E</v>
      </c>
      <c r="J6" s="196" t="str">
        <f>'Income Statement'!J6</f>
        <v>2019E</v>
      </c>
      <c r="K6" s="196" t="str">
        <f>'Income Statement'!K6</f>
        <v>2020E</v>
      </c>
      <c r="L6" s="196" t="str">
        <f>'Income Statement'!L6</f>
        <v>2021E</v>
      </c>
      <c r="M6" s="196" t="str">
        <f>'Income Statement'!M6</f>
        <v>2022E</v>
      </c>
      <c r="N6" s="196" t="str">
        <f>'Income Statement'!N6</f>
        <v>2023E</v>
      </c>
      <c r="O6" s="196" t="str">
        <f>'Income Statement'!O6</f>
        <v>2024E</v>
      </c>
      <c r="P6" s="197" t="str">
        <f>'Income Statement'!P6</f>
        <v>2025E</v>
      </c>
      <c r="Q6" s="241"/>
      <c r="R6" s="196" t="s">
        <v>228</v>
      </c>
      <c r="S6" s="196" t="s">
        <v>229</v>
      </c>
      <c r="T6" s="196" t="s">
        <v>230</v>
      </c>
      <c r="U6" s="196" t="s">
        <v>231</v>
      </c>
      <c r="V6" s="196" t="s">
        <v>232</v>
      </c>
      <c r="W6" s="196" t="s">
        <v>233</v>
      </c>
      <c r="X6" s="196" t="s">
        <v>234</v>
      </c>
      <c r="Y6" s="196" t="s">
        <v>235</v>
      </c>
      <c r="Z6" s="196" t="s">
        <v>236</v>
      </c>
      <c r="AA6" s="196" t="s">
        <v>237</v>
      </c>
      <c r="AB6" s="196" t="s">
        <v>238</v>
      </c>
      <c r="AC6" s="196" t="s">
        <v>239</v>
      </c>
      <c r="AD6" s="196" t="s">
        <v>240</v>
      </c>
      <c r="AE6" s="196" t="s">
        <v>241</v>
      </c>
      <c r="AF6" s="196" t="s">
        <v>242</v>
      </c>
      <c r="AG6" s="196" t="s">
        <v>243</v>
      </c>
      <c r="AH6" s="196" t="s">
        <v>244</v>
      </c>
      <c r="AI6" s="196" t="s">
        <v>245</v>
      </c>
      <c r="AJ6" s="196" t="s">
        <v>246</v>
      </c>
      <c r="AK6" s="196" t="s">
        <v>247</v>
      </c>
      <c r="AL6" s="196" t="s">
        <v>248</v>
      </c>
      <c r="AM6" s="196" t="s">
        <v>249</v>
      </c>
      <c r="AN6" s="196" t="s">
        <v>250</v>
      </c>
      <c r="AO6" s="196" t="s">
        <v>251</v>
      </c>
      <c r="AP6" s="196" t="str">
        <f>'Income Statement'!AP6</f>
        <v>1Q14</v>
      </c>
      <c r="AQ6" s="196" t="str">
        <f>'Income Statement'!AQ6</f>
        <v>2Q14</v>
      </c>
      <c r="AR6" s="196" t="str">
        <f>'Income Statement'!AR6</f>
        <v>3Q14</v>
      </c>
      <c r="AS6" s="196" t="str">
        <f>'Income Statement'!AS6</f>
        <v>4Q14</v>
      </c>
      <c r="AT6" s="196" t="str">
        <f>'Income Statement'!AT6</f>
        <v>1Q15</v>
      </c>
      <c r="AU6" s="196" t="str">
        <f>'Income Statement'!AU6</f>
        <v>2Q15</v>
      </c>
      <c r="AV6" s="196" t="str">
        <f>'Income Statement'!AV6</f>
        <v>3Q15</v>
      </c>
      <c r="AW6" s="196" t="str">
        <f>'Income Statement'!AW6</f>
        <v>4Q15</v>
      </c>
      <c r="AX6" s="196" t="str">
        <f>'Income Statement'!AX6</f>
        <v>1Q16</v>
      </c>
      <c r="AY6" s="196" t="str">
        <f>'Income Statement'!AY6</f>
        <v>2Q16</v>
      </c>
      <c r="AZ6" s="196" t="str">
        <f>'Income Statement'!AZ6</f>
        <v>3Q16</v>
      </c>
      <c r="BA6" s="196" t="str">
        <f>'Income Statement'!BA6</f>
        <v>4Q16</v>
      </c>
      <c r="BB6" s="196" t="str">
        <f>'Income Statement'!BB6</f>
        <v>1Q17</v>
      </c>
      <c r="BC6" s="196" t="str">
        <f>'Income Statement'!BC6</f>
        <v>2Q17</v>
      </c>
      <c r="BD6" s="196" t="str">
        <f>'Income Statement'!BD6</f>
        <v>3Q17</v>
      </c>
      <c r="BE6" s="196" t="str">
        <f>'Income Statement'!BE6</f>
        <v>4Q17</v>
      </c>
      <c r="BF6" s="196" t="str">
        <f>'Income Statement'!BF6</f>
        <v>1Q18E</v>
      </c>
      <c r="BG6" s="196" t="str">
        <f>'Income Statement'!BG6</f>
        <v>2Q18E</v>
      </c>
      <c r="BH6" s="196" t="str">
        <f>'Income Statement'!BH6</f>
        <v>3Q18E</v>
      </c>
      <c r="BI6" s="197" t="str">
        <f>'Income Statement'!BI6</f>
        <v>4Q18E</v>
      </c>
    </row>
    <row r="8" spans="2:63" s="252" customFormat="1" ht="15.75" thickBot="1">
      <c r="B8" s="347" t="s">
        <v>113</v>
      </c>
      <c r="C8" s="266"/>
      <c r="D8" s="348">
        <v>21542</v>
      </c>
      <c r="E8" s="348">
        <v>22233</v>
      </c>
      <c r="F8" s="348">
        <v>39396</v>
      </c>
      <c r="G8" s="507">
        <v>58578</v>
      </c>
      <c r="H8" s="507">
        <v>58967</v>
      </c>
      <c r="I8" s="507">
        <v>60605.841128478198</v>
      </c>
      <c r="J8" s="507">
        <v>62052.039100904978</v>
      </c>
      <c r="K8" s="507">
        <v>63295.945523498987</v>
      </c>
      <c r="L8" s="507">
        <v>64438.535429105672</v>
      </c>
      <c r="M8" s="507">
        <v>65579.745219831399</v>
      </c>
      <c r="N8" s="507">
        <v>66862.225118603048</v>
      </c>
      <c r="O8" s="507">
        <v>68445.813054424099</v>
      </c>
      <c r="P8" s="507">
        <v>70509.139532431145</v>
      </c>
      <c r="Q8" s="486"/>
      <c r="R8" s="508"/>
      <c r="S8" s="508"/>
      <c r="T8" s="508"/>
      <c r="U8" s="508"/>
      <c r="V8" s="508"/>
      <c r="W8" s="508"/>
      <c r="X8" s="508"/>
      <c r="Y8" s="508"/>
      <c r="Z8" s="508"/>
      <c r="AA8" s="508"/>
      <c r="AB8" s="508"/>
      <c r="AC8" s="508"/>
      <c r="AD8" s="508"/>
      <c r="AE8" s="508"/>
      <c r="AF8" s="508"/>
      <c r="AG8" s="508"/>
      <c r="AH8" s="508"/>
      <c r="AI8" s="508"/>
      <c r="AJ8" s="508"/>
      <c r="AK8" s="508"/>
      <c r="AL8" s="508">
        <v>5300</v>
      </c>
      <c r="AM8" s="508">
        <v>5398</v>
      </c>
      <c r="AN8" s="508">
        <v>5389</v>
      </c>
      <c r="AO8" s="508">
        <v>5455</v>
      </c>
      <c r="AP8" s="508">
        <v>5525</v>
      </c>
      <c r="AQ8" s="508">
        <v>5562</v>
      </c>
      <c r="AR8" s="508">
        <v>5553</v>
      </c>
      <c r="AS8" s="508">
        <v>5593</v>
      </c>
      <c r="AT8" s="508">
        <v>5896</v>
      </c>
      <c r="AU8" s="508">
        <v>6273</v>
      </c>
      <c r="AV8" s="508">
        <v>12384</v>
      </c>
      <c r="AW8" s="508">
        <v>14843</v>
      </c>
      <c r="AX8" s="508">
        <v>14325</v>
      </c>
      <c r="AY8" s="508">
        <v>14539</v>
      </c>
      <c r="AZ8" s="508">
        <v>14599</v>
      </c>
      <c r="BA8" s="508">
        <v>15115</v>
      </c>
      <c r="BB8" s="508">
        <v>14552</v>
      </c>
      <c r="BC8" s="508">
        <v>14708</v>
      </c>
      <c r="BD8" s="508">
        <v>14747</v>
      </c>
      <c r="BE8" s="508">
        <v>14960</v>
      </c>
      <c r="BF8" s="508">
        <v>14950.126951973372</v>
      </c>
      <c r="BG8" s="508">
        <v>15090.309288076231</v>
      </c>
      <c r="BH8" s="508">
        <v>15173.800745286278</v>
      </c>
      <c r="BI8" s="508">
        <v>15391.604143142305</v>
      </c>
      <c r="BK8" s="236"/>
    </row>
    <row r="9" spans="2:63" s="248" customFormat="1" ht="15.75" thickTop="1">
      <c r="B9" s="245" t="s">
        <v>252</v>
      </c>
      <c r="C9" s="266"/>
      <c r="D9" s="259"/>
      <c r="E9" s="259">
        <f t="shared" ref="E9:P9" si="0">+E8/D8-1</f>
        <v>3.207687308513596E-2</v>
      </c>
      <c r="F9" s="259">
        <f t="shared" si="0"/>
        <v>0.77196059910943182</v>
      </c>
      <c r="G9" s="259">
        <f t="shared" si="0"/>
        <v>0.48690222357599766</v>
      </c>
      <c r="H9" s="259">
        <f t="shared" si="0"/>
        <v>6.6407183584280549E-3</v>
      </c>
      <c r="I9" s="259">
        <f t="shared" si="0"/>
        <v>2.7792513244326411E-2</v>
      </c>
      <c r="J9" s="259">
        <f t="shared" si="0"/>
        <v>2.386235295969219E-2</v>
      </c>
      <c r="K9" s="259">
        <f t="shared" si="0"/>
        <v>2.0046181247505013E-2</v>
      </c>
      <c r="L9" s="259">
        <f t="shared" si="0"/>
        <v>1.80515496870568E-2</v>
      </c>
      <c r="M9" s="259">
        <f t="shared" si="0"/>
        <v>1.771005165040207E-2</v>
      </c>
      <c r="N9" s="259">
        <f t="shared" si="0"/>
        <v>1.9556036615766326E-2</v>
      </c>
      <c r="O9" s="259">
        <f t="shared" si="0"/>
        <v>2.3684343932796281E-2</v>
      </c>
      <c r="P9" s="259">
        <f t="shared" si="0"/>
        <v>3.0145400951938628E-2</v>
      </c>
      <c r="Q9" s="266"/>
      <c r="AP9" s="248">
        <f t="shared" ref="AP9:BE9" si="1">+AP8/AL8-1</f>
        <v>4.2452830188679291E-2</v>
      </c>
      <c r="AQ9" s="248">
        <f t="shared" si="1"/>
        <v>3.038162282326784E-2</v>
      </c>
      <c r="AR9" s="248">
        <f t="shared" si="1"/>
        <v>3.0432362219335651E-2</v>
      </c>
      <c r="AS9" s="248">
        <f t="shared" si="1"/>
        <v>2.5297891842346543E-2</v>
      </c>
      <c r="AT9" s="248">
        <f t="shared" si="1"/>
        <v>6.7149321266968265E-2</v>
      </c>
      <c r="AU9" s="248">
        <f t="shared" si="1"/>
        <v>0.12783171521035608</v>
      </c>
      <c r="AV9" s="248">
        <f t="shared" si="1"/>
        <v>1.2301458670988654</v>
      </c>
      <c r="AW9" s="248">
        <f t="shared" si="1"/>
        <v>1.6538530305739316</v>
      </c>
      <c r="AX9" s="248">
        <f t="shared" si="1"/>
        <v>1.4296132971506106</v>
      </c>
      <c r="AY9" s="248">
        <f t="shared" si="1"/>
        <v>1.3177108241670652</v>
      </c>
      <c r="AZ9" s="248">
        <f t="shared" si="1"/>
        <v>0.17885981912144699</v>
      </c>
      <c r="BA9" s="248">
        <f t="shared" si="1"/>
        <v>1.8325136427945754E-2</v>
      </c>
      <c r="BB9" s="248">
        <f t="shared" si="1"/>
        <v>1.5846422338569033E-2</v>
      </c>
      <c r="BC9" s="248">
        <f t="shared" si="1"/>
        <v>1.1623908109223535E-2</v>
      </c>
      <c r="BD9" s="248">
        <f t="shared" si="1"/>
        <v>1.013768066305909E-2</v>
      </c>
      <c r="BE9" s="248">
        <f t="shared" si="1"/>
        <v>-1.0254713860403553E-2</v>
      </c>
      <c r="BF9" s="248">
        <f t="shared" ref="BF9" si="2">+BF8/BB8-1</f>
        <v>2.7358916435773262E-2</v>
      </c>
      <c r="BG9" s="248">
        <f t="shared" ref="BG9" si="3">+BG8/BC8-1</f>
        <v>2.5993288555631766E-2</v>
      </c>
      <c r="BH9" s="248">
        <f t="shared" ref="BH9" si="4">+BH8/BD8-1</f>
        <v>2.8941530161136431E-2</v>
      </c>
      <c r="BI9" s="248">
        <f t="shared" ref="BI9" si="5">+BI8/BE8-1</f>
        <v>2.8850544327694294E-2</v>
      </c>
    </row>
    <row r="10" spans="2:63">
      <c r="C10" s="296"/>
      <c r="Q10" s="296"/>
    </row>
    <row r="11" spans="2:63" s="236" customFormat="1">
      <c r="B11" s="236" t="s">
        <v>30</v>
      </c>
      <c r="C11" s="296"/>
      <c r="D11" s="295">
        <v>17943</v>
      </c>
      <c r="E11" s="295">
        <v>18992</v>
      </c>
      <c r="F11" s="295">
        <v>32275</v>
      </c>
      <c r="G11" s="484">
        <v>46168</v>
      </c>
      <c r="H11" s="484">
        <v>46824</v>
      </c>
      <c r="I11" s="484">
        <v>48271.40362843746</v>
      </c>
      <c r="J11" s="484">
        <v>49298.643400176676</v>
      </c>
      <c r="K11" s="484">
        <v>50166.779685586516</v>
      </c>
      <c r="L11" s="484">
        <v>50958.474396467056</v>
      </c>
      <c r="M11" s="484">
        <v>51755.418998977941</v>
      </c>
      <c r="N11" s="484">
        <v>52672.74463540547</v>
      </c>
      <c r="O11" s="484">
        <v>53838.839201692244</v>
      </c>
      <c r="P11" s="484">
        <v>55396.822328348193</v>
      </c>
      <c r="Q11" s="509"/>
      <c r="R11" s="425"/>
      <c r="S11" s="425"/>
      <c r="T11" s="425"/>
      <c r="U11" s="425"/>
      <c r="V11" s="425"/>
      <c r="W11" s="425"/>
      <c r="X11" s="425"/>
      <c r="Y11" s="425"/>
      <c r="Z11" s="425"/>
      <c r="AA11" s="425"/>
      <c r="AB11" s="425"/>
      <c r="AC11" s="425"/>
      <c r="AD11" s="425"/>
      <c r="AE11" s="425"/>
      <c r="AF11" s="425"/>
      <c r="AG11" s="425"/>
      <c r="AH11" s="425"/>
      <c r="AI11" s="425"/>
      <c r="AJ11" s="425"/>
      <c r="AK11" s="425"/>
      <c r="AL11" s="425">
        <v>4425</v>
      </c>
      <c r="AM11" s="425">
        <v>4419</v>
      </c>
      <c r="AN11" s="425">
        <v>4526</v>
      </c>
      <c r="AO11" s="425">
        <v>4573</v>
      </c>
      <c r="AP11" s="425">
        <v>4654</v>
      </c>
      <c r="AQ11" s="425">
        <v>4747</v>
      </c>
      <c r="AR11" s="425">
        <v>4781</v>
      </c>
      <c r="AS11" s="425">
        <v>4810</v>
      </c>
      <c r="AT11" s="425">
        <v>5077</v>
      </c>
      <c r="AU11" s="425">
        <v>5442</v>
      </c>
      <c r="AV11" s="425">
        <v>9834</v>
      </c>
      <c r="AW11" s="425">
        <v>11922</v>
      </c>
      <c r="AX11" s="425">
        <v>11166</v>
      </c>
      <c r="AY11" s="425">
        <v>11292</v>
      </c>
      <c r="AZ11" s="425">
        <v>11368</v>
      </c>
      <c r="BA11" s="425">
        <v>12342</v>
      </c>
      <c r="BB11" s="425">
        <v>11360</v>
      </c>
      <c r="BC11" s="425">
        <v>11330</v>
      </c>
      <c r="BD11" s="425">
        <v>11890</v>
      </c>
      <c r="BE11" s="425">
        <v>12244</v>
      </c>
      <c r="BF11" s="425">
        <v>12111.257806452591</v>
      </c>
      <c r="BG11" s="425">
        <v>12091.235850767029</v>
      </c>
      <c r="BH11" s="425">
        <v>12019.999070210984</v>
      </c>
      <c r="BI11" s="425">
        <v>12048.910901006851</v>
      </c>
    </row>
    <row r="12" spans="2:63">
      <c r="C12" s="296"/>
      <c r="Q12" s="296"/>
    </row>
    <row r="13" spans="2:63" s="252" customFormat="1" ht="15.75" thickBot="1">
      <c r="B13" s="347" t="s">
        <v>282</v>
      </c>
      <c r="C13" s="247"/>
      <c r="D13" s="348">
        <v>3599</v>
      </c>
      <c r="E13" s="348">
        <v>3241</v>
      </c>
      <c r="F13" s="348">
        <v>7121</v>
      </c>
      <c r="G13" s="507">
        <v>12410</v>
      </c>
      <c r="H13" s="507">
        <v>12143</v>
      </c>
      <c r="I13" s="507">
        <v>12334.437500040742</v>
      </c>
      <c r="J13" s="507">
        <v>12753.395700728302</v>
      </c>
      <c r="K13" s="507">
        <v>13129.165837912467</v>
      </c>
      <c r="L13" s="507">
        <v>13480.06103263862</v>
      </c>
      <c r="M13" s="507">
        <v>13824.326220853465</v>
      </c>
      <c r="N13" s="507">
        <v>14189.48048319758</v>
      </c>
      <c r="O13" s="507">
        <v>14606.973852731851</v>
      </c>
      <c r="P13" s="507">
        <v>15112.317204082952</v>
      </c>
      <c r="Q13" s="492"/>
      <c r="R13" s="508"/>
      <c r="S13" s="508"/>
      <c r="T13" s="508"/>
      <c r="U13" s="508"/>
      <c r="V13" s="508"/>
      <c r="W13" s="508"/>
      <c r="X13" s="508"/>
      <c r="Y13" s="508"/>
      <c r="Z13" s="508"/>
      <c r="AA13" s="508"/>
      <c r="AB13" s="508"/>
      <c r="AC13" s="508"/>
      <c r="AD13" s="508"/>
      <c r="AE13" s="508"/>
      <c r="AF13" s="508"/>
      <c r="AG13" s="508"/>
      <c r="AH13" s="508"/>
      <c r="AI13" s="508"/>
      <c r="AJ13" s="508"/>
      <c r="AK13" s="508"/>
      <c r="AL13" s="508">
        <v>875</v>
      </c>
      <c r="AM13" s="508">
        <v>979</v>
      </c>
      <c r="AN13" s="508">
        <v>863</v>
      </c>
      <c r="AO13" s="508">
        <v>882</v>
      </c>
      <c r="AP13" s="508">
        <v>871</v>
      </c>
      <c r="AQ13" s="508">
        <v>815</v>
      </c>
      <c r="AR13" s="508">
        <v>772</v>
      </c>
      <c r="AS13" s="508">
        <v>783</v>
      </c>
      <c r="AT13" s="508">
        <v>819</v>
      </c>
      <c r="AU13" s="508">
        <v>831</v>
      </c>
      <c r="AV13" s="508">
        <v>2550</v>
      </c>
      <c r="AW13" s="508">
        <v>2921</v>
      </c>
      <c r="AX13" s="508">
        <v>3159</v>
      </c>
      <c r="AY13" s="508">
        <v>3247</v>
      </c>
      <c r="AZ13" s="508">
        <v>3231</v>
      </c>
      <c r="BA13" s="508">
        <v>2773</v>
      </c>
      <c r="BB13" s="508">
        <v>3192</v>
      </c>
      <c r="BC13" s="508">
        <v>3378</v>
      </c>
      <c r="BD13" s="508">
        <v>2857</v>
      </c>
      <c r="BE13" s="508">
        <v>2716</v>
      </c>
      <c r="BF13" s="508">
        <v>2838.86914552078</v>
      </c>
      <c r="BG13" s="508">
        <v>2999.0734373092027</v>
      </c>
      <c r="BH13" s="508">
        <v>3153.8016750752945</v>
      </c>
      <c r="BI13" s="508">
        <v>3342.6932421354541</v>
      </c>
      <c r="BK13" s="236"/>
    </row>
    <row r="14" spans="2:63" s="248" customFormat="1" ht="15.75" thickTop="1">
      <c r="B14" s="245" t="s">
        <v>258</v>
      </c>
      <c r="C14" s="246"/>
      <c r="D14" s="259">
        <f t="shared" ref="D14:P14" si="6">+D13/D$8</f>
        <v>0.16706898152446384</v>
      </c>
      <c r="E14" s="259">
        <f t="shared" si="6"/>
        <v>0.14577429946475959</v>
      </c>
      <c r="F14" s="259">
        <f t="shared" si="6"/>
        <v>0.18075439130876231</v>
      </c>
      <c r="G14" s="259">
        <f>+G13/G$8</f>
        <v>0.21185427976373383</v>
      </c>
      <c r="H14" s="259">
        <f>+H13/H$8</f>
        <v>0.20592873980361898</v>
      </c>
      <c r="I14" s="259">
        <f>+I13/I$8</f>
        <v>0.20351895577017062</v>
      </c>
      <c r="J14" s="192">
        <f t="shared" si="6"/>
        <v>0.20552742320022011</v>
      </c>
      <c r="K14" s="192">
        <f t="shared" si="6"/>
        <v>0.20742506853046674</v>
      </c>
      <c r="L14" s="192">
        <f t="shared" si="6"/>
        <v>0.20919254205380233</v>
      </c>
      <c r="M14" s="192">
        <f t="shared" si="6"/>
        <v>0.21080176774875561</v>
      </c>
      <c r="N14" s="192">
        <f t="shared" si="6"/>
        <v>0.21221968694621932</v>
      </c>
      <c r="O14" s="192">
        <f t="shared" si="6"/>
        <v>0.21340931170058922</v>
      </c>
      <c r="P14" s="192">
        <f t="shared" si="6"/>
        <v>0.21433132363120019</v>
      </c>
      <c r="Q14" s="246"/>
      <c r="R14" s="159"/>
      <c r="S14" s="159"/>
      <c r="T14" s="159"/>
      <c r="U14" s="159"/>
      <c r="V14" s="159"/>
      <c r="W14" s="159"/>
      <c r="X14" s="159"/>
      <c r="Y14" s="159"/>
      <c r="Z14" s="159"/>
      <c r="AA14" s="159"/>
      <c r="AB14" s="159"/>
      <c r="AC14" s="159"/>
      <c r="AD14" s="159"/>
      <c r="AE14" s="159"/>
      <c r="AF14" s="159"/>
      <c r="AG14" s="159"/>
      <c r="AH14" s="159"/>
      <c r="AI14" s="159"/>
      <c r="AJ14" s="159"/>
      <c r="AK14" s="159"/>
      <c r="AL14" s="159">
        <f t="shared" ref="AL14:BC14" si="7">+AL13/AL$8</f>
        <v>0.1650943396226415</v>
      </c>
      <c r="AM14" s="159">
        <f t="shared" si="7"/>
        <v>0.18136346795109301</v>
      </c>
      <c r="AN14" s="159">
        <f t="shared" si="7"/>
        <v>0.16014102802004082</v>
      </c>
      <c r="AO14" s="159">
        <f t="shared" si="7"/>
        <v>0.16168652612282311</v>
      </c>
      <c r="AP14" s="248">
        <f t="shared" si="7"/>
        <v>0.15764705882352942</v>
      </c>
      <c r="AQ14" s="248">
        <f t="shared" si="7"/>
        <v>0.14653002517080188</v>
      </c>
      <c r="AR14" s="248">
        <f t="shared" si="7"/>
        <v>0.13902395101746803</v>
      </c>
      <c r="AS14" s="248">
        <f t="shared" si="7"/>
        <v>0.13999642410155552</v>
      </c>
      <c r="AT14" s="248">
        <f t="shared" si="7"/>
        <v>0.13890773405698778</v>
      </c>
      <c r="AU14" s="248">
        <f t="shared" si="7"/>
        <v>0.1324725011956002</v>
      </c>
      <c r="AV14" s="248">
        <f t="shared" si="7"/>
        <v>0.2059108527131783</v>
      </c>
      <c r="AW14" s="248">
        <f t="shared" si="7"/>
        <v>0.19679310112510948</v>
      </c>
      <c r="AX14" s="248">
        <f t="shared" si="7"/>
        <v>0.2205235602094241</v>
      </c>
      <c r="AY14" s="248">
        <f t="shared" si="7"/>
        <v>0.22333035284407457</v>
      </c>
      <c r="AZ14" s="248">
        <f t="shared" si="7"/>
        <v>0.22131652852935133</v>
      </c>
      <c r="BA14" s="248">
        <f t="shared" si="7"/>
        <v>0.18346013893483296</v>
      </c>
      <c r="BB14" s="248">
        <f t="shared" si="7"/>
        <v>0.21935129191863662</v>
      </c>
      <c r="BC14" s="248">
        <f t="shared" si="7"/>
        <v>0.22967092738645636</v>
      </c>
      <c r="BD14" s="248">
        <f t="shared" ref="BD14:BE14" si="8">+BD13/BD$8</f>
        <v>0.19373431884451076</v>
      </c>
      <c r="BE14" s="248">
        <f t="shared" si="8"/>
        <v>0.18155080213903743</v>
      </c>
      <c r="BF14" s="259">
        <f t="shared" ref="BF14:BI14" si="9">+BF13/BF$8</f>
        <v>0.18988930024745093</v>
      </c>
      <c r="BG14" s="259">
        <f t="shared" si="9"/>
        <v>0.19874168117143581</v>
      </c>
      <c r="BH14" s="259">
        <f t="shared" si="9"/>
        <v>0.2078452016087676</v>
      </c>
      <c r="BI14" s="259">
        <f t="shared" si="9"/>
        <v>0.21717640416478509</v>
      </c>
    </row>
    <row r="15" spans="2:63" s="248" customFormat="1">
      <c r="B15" s="245" t="s">
        <v>252</v>
      </c>
      <c r="C15" s="266"/>
      <c r="D15" s="259"/>
      <c r="E15" s="259">
        <f t="shared" ref="E15:P15" si="10">+E13/D13-1</f>
        <v>-9.9472075576549024E-2</v>
      </c>
      <c r="F15" s="259">
        <f t="shared" si="10"/>
        <v>1.1971613699475472</v>
      </c>
      <c r="G15" s="259">
        <f t="shared" si="10"/>
        <v>0.74273276225249263</v>
      </c>
      <c r="H15" s="259">
        <f t="shared" si="10"/>
        <v>-2.1514907332796152E-2</v>
      </c>
      <c r="I15" s="259">
        <f t="shared" si="10"/>
        <v>1.5765255706229331E-2</v>
      </c>
      <c r="J15" s="192">
        <f t="shared" si="10"/>
        <v>3.3966542915814024E-2</v>
      </c>
      <c r="K15" s="192">
        <f t="shared" si="10"/>
        <v>2.9464320405482747E-2</v>
      </c>
      <c r="L15" s="192">
        <f t="shared" si="10"/>
        <v>2.6726389098756576E-2</v>
      </c>
      <c r="M15" s="192">
        <f t="shared" si="10"/>
        <v>2.5538844919269499E-2</v>
      </c>
      <c r="N15" s="192">
        <f t="shared" si="10"/>
        <v>2.6413892186173404E-2</v>
      </c>
      <c r="O15" s="192">
        <f t="shared" si="10"/>
        <v>2.9422738205859167E-2</v>
      </c>
      <c r="P15" s="192">
        <f t="shared" si="10"/>
        <v>3.4596033130886328E-2</v>
      </c>
      <c r="Q15" s="266"/>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248">
        <f>+AP13/AL13-1</f>
        <v>-4.5714285714285596E-3</v>
      </c>
      <c r="AQ15" s="248">
        <f t="shared" ref="AQ15:BE15" si="11">+AQ13/AM13-1</f>
        <v>-0.16751787538304397</v>
      </c>
      <c r="AR15" s="248">
        <f t="shared" si="11"/>
        <v>-0.10544611819235228</v>
      </c>
      <c r="AS15" s="248">
        <f t="shared" si="11"/>
        <v>-0.11224489795918369</v>
      </c>
      <c r="AT15" s="248">
        <f t="shared" si="11"/>
        <v>-5.9701492537313383E-2</v>
      </c>
      <c r="AU15" s="248">
        <f t="shared" si="11"/>
        <v>1.9631901840490906E-2</v>
      </c>
      <c r="AV15" s="248">
        <f t="shared" si="11"/>
        <v>2.3031088082901556</v>
      </c>
      <c r="AW15" s="248">
        <f t="shared" si="11"/>
        <v>2.730523627075351</v>
      </c>
      <c r="AX15" s="248">
        <f t="shared" si="11"/>
        <v>2.8571428571428572</v>
      </c>
      <c r="AY15" s="248">
        <f t="shared" si="11"/>
        <v>2.9073405535499397</v>
      </c>
      <c r="AZ15" s="248">
        <f t="shared" si="11"/>
        <v>0.26705882352941179</v>
      </c>
      <c r="BA15" s="248">
        <f t="shared" si="11"/>
        <v>-5.0667579596028745E-2</v>
      </c>
      <c r="BB15" s="248">
        <f t="shared" si="11"/>
        <v>1.0446343779677125E-2</v>
      </c>
      <c r="BC15" s="248">
        <f t="shared" si="11"/>
        <v>4.0344933785032344E-2</v>
      </c>
      <c r="BD15" s="248">
        <f t="shared" si="11"/>
        <v>-0.1157536366450016</v>
      </c>
      <c r="BE15" s="248">
        <f t="shared" si="11"/>
        <v>-2.0555355210962856E-2</v>
      </c>
      <c r="BF15" s="248">
        <f t="shared" ref="BF15" si="12">+BF13/BB13-1</f>
        <v>-0.11062996694211158</v>
      </c>
      <c r="BG15" s="248">
        <f t="shared" ref="BG15" si="13">+BG13/BC13-1</f>
        <v>-0.11217482613700336</v>
      </c>
      <c r="BH15" s="248">
        <f t="shared" ref="BH15" si="14">+BH13/BD13-1</f>
        <v>0.10388578056538145</v>
      </c>
      <c r="BI15" s="248">
        <f t="shared" ref="BI15" si="15">+BI13/BE13-1</f>
        <v>0.23074125262719214</v>
      </c>
    </row>
    <row r="16" spans="2:63" s="248" customFormat="1">
      <c r="B16" s="245"/>
      <c r="C16" s="266"/>
      <c r="D16" s="259"/>
      <c r="E16" s="259"/>
      <c r="F16" s="259"/>
      <c r="G16" s="259"/>
      <c r="H16" s="259"/>
      <c r="I16" s="259"/>
      <c r="J16" s="192"/>
      <c r="K16" s="192"/>
      <c r="L16" s="192"/>
      <c r="M16" s="192"/>
      <c r="N16" s="192"/>
      <c r="O16" s="192"/>
      <c r="P16" s="192"/>
      <c r="Q16" s="266"/>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row>
    <row r="17" spans="1:64" s="236" customFormat="1">
      <c r="B17" s="236" t="s">
        <v>253</v>
      </c>
      <c r="C17" s="296"/>
      <c r="D17" s="295">
        <v>4815</v>
      </c>
      <c r="E17" s="295">
        <v>4473</v>
      </c>
      <c r="F17" s="295">
        <v>5600</v>
      </c>
      <c r="G17" s="484">
        <v>7028</v>
      </c>
      <c r="H17" s="484">
        <v>6841</v>
      </c>
      <c r="I17" s="484">
        <v>6682.3788298581803</v>
      </c>
      <c r="J17" s="484">
        <v>7016.3327938986477</v>
      </c>
      <c r="K17" s="484">
        <v>7150.0427677919879</v>
      </c>
      <c r="L17" s="484">
        <v>7271.2951957093665</v>
      </c>
      <c r="M17" s="484">
        <v>7391.0432328697516</v>
      </c>
      <c r="N17" s="484">
        <v>7525.0796386928214</v>
      </c>
      <c r="O17" s="484">
        <v>7691.0595508879333</v>
      </c>
      <c r="P17" s="484">
        <v>7908.6309336921531</v>
      </c>
      <c r="Q17" s="509"/>
      <c r="R17" s="425"/>
      <c r="S17" s="425"/>
      <c r="T17" s="425"/>
      <c r="U17" s="425"/>
      <c r="V17" s="425"/>
      <c r="W17" s="425"/>
      <c r="X17" s="425"/>
      <c r="Y17" s="425"/>
      <c r="Z17" s="425"/>
      <c r="AA17" s="425"/>
      <c r="AB17" s="425"/>
      <c r="AC17" s="425"/>
      <c r="AD17" s="425"/>
      <c r="AE17" s="425"/>
      <c r="AF17" s="425"/>
      <c r="AG17" s="425"/>
      <c r="AH17" s="425"/>
      <c r="AI17" s="425"/>
      <c r="AJ17" s="425"/>
      <c r="AK17" s="425"/>
      <c r="AL17" s="425">
        <v>1196</v>
      </c>
      <c r="AM17" s="425">
        <v>1202</v>
      </c>
      <c r="AN17" s="425">
        <v>1206</v>
      </c>
      <c r="AO17" s="425">
        <v>1211</v>
      </c>
      <c r="AP17" s="425">
        <v>1188</v>
      </c>
      <c r="AQ17" s="425">
        <v>1099</v>
      </c>
      <c r="AR17" s="425">
        <v>1109</v>
      </c>
      <c r="AS17" s="425">
        <v>1077</v>
      </c>
      <c r="AT17" s="425">
        <v>1093</v>
      </c>
      <c r="AU17" s="425">
        <v>1158</v>
      </c>
      <c r="AV17" s="425">
        <v>1614</v>
      </c>
      <c r="AW17" s="425">
        <v>1735</v>
      </c>
      <c r="AX17" s="425">
        <v>1765</v>
      </c>
      <c r="AY17" s="425">
        <v>1787</v>
      </c>
      <c r="AZ17" s="425">
        <v>1797</v>
      </c>
      <c r="BA17" s="425">
        <v>1679</v>
      </c>
      <c r="BB17" s="425">
        <v>1709</v>
      </c>
      <c r="BC17" s="425">
        <v>1769</v>
      </c>
      <c r="BD17" s="425">
        <v>1683</v>
      </c>
      <c r="BE17" s="425">
        <v>1680</v>
      </c>
      <c r="BF17" s="425">
        <v>1664.6357640032891</v>
      </c>
      <c r="BG17" s="425">
        <v>1669.3901941660713</v>
      </c>
      <c r="BH17" s="425">
        <v>1667.8471285429589</v>
      </c>
      <c r="BI17" s="425">
        <v>1680.5057431458604</v>
      </c>
    </row>
    <row r="18" spans="1:64">
      <c r="C18" s="274"/>
      <c r="J18" s="190"/>
      <c r="K18" s="190"/>
      <c r="L18" s="190"/>
      <c r="M18" s="190"/>
      <c r="N18" s="190"/>
      <c r="O18" s="190"/>
      <c r="P18" s="190"/>
      <c r="Q18" s="274"/>
      <c r="R18" s="177"/>
      <c r="S18" s="177"/>
      <c r="T18" s="177"/>
      <c r="U18" s="177"/>
      <c r="V18" s="177"/>
      <c r="W18" s="177"/>
      <c r="X18" s="177"/>
      <c r="Y18" s="177"/>
      <c r="Z18" s="177"/>
      <c r="AA18" s="177"/>
      <c r="AB18" s="177"/>
      <c r="AC18" s="177"/>
      <c r="AD18" s="177"/>
      <c r="AE18" s="177"/>
      <c r="AF18" s="177"/>
      <c r="AG18" s="177"/>
      <c r="AH18" s="177"/>
      <c r="AI18" s="177"/>
      <c r="AJ18" s="177"/>
      <c r="AK18" s="177"/>
      <c r="AL18" s="177"/>
      <c r="AM18" s="177"/>
      <c r="AN18" s="177"/>
      <c r="AO18" s="177"/>
    </row>
    <row r="19" spans="1:64" s="252" customFormat="1" ht="15.75" thickBot="1">
      <c r="B19" s="347" t="s">
        <v>4</v>
      </c>
      <c r="C19" s="247"/>
      <c r="D19" s="348">
        <v>-1216</v>
      </c>
      <c r="E19" s="348">
        <v>-1234</v>
      </c>
      <c r="F19" s="348">
        <v>1512</v>
      </c>
      <c r="G19" s="507">
        <v>5435</v>
      </c>
      <c r="H19" s="507">
        <v>5389</v>
      </c>
      <c r="I19" s="507">
        <v>5652.0586701825614</v>
      </c>
      <c r="J19" s="507">
        <v>5737.0629068296548</v>
      </c>
      <c r="K19" s="507">
        <v>5979.1230701204795</v>
      </c>
      <c r="L19" s="507">
        <v>6208.7658369292531</v>
      </c>
      <c r="M19" s="507">
        <v>6433.2829879837136</v>
      </c>
      <c r="N19" s="507">
        <v>6664.4008445047584</v>
      </c>
      <c r="O19" s="507">
        <v>6915.9143018439181</v>
      </c>
      <c r="P19" s="507">
        <v>7203.6862703907991</v>
      </c>
      <c r="Q19" s="492"/>
      <c r="R19" s="508"/>
      <c r="S19" s="508"/>
      <c r="T19" s="508"/>
      <c r="U19" s="508"/>
      <c r="V19" s="508"/>
      <c r="W19" s="508"/>
      <c r="X19" s="508"/>
      <c r="Y19" s="508"/>
      <c r="Z19" s="508"/>
      <c r="AA19" s="508"/>
      <c r="AB19" s="508"/>
      <c r="AC19" s="508"/>
      <c r="AD19" s="508"/>
      <c r="AE19" s="508"/>
      <c r="AF19" s="508"/>
      <c r="AG19" s="508"/>
      <c r="AH19" s="508"/>
      <c r="AI19" s="508"/>
      <c r="AJ19" s="508"/>
      <c r="AK19" s="508"/>
      <c r="AL19" s="508">
        <v>-321</v>
      </c>
      <c r="AM19" s="508">
        <v>-223</v>
      </c>
      <c r="AN19" s="508">
        <v>-343</v>
      </c>
      <c r="AO19" s="508">
        <v>-207</v>
      </c>
      <c r="AP19" s="508">
        <v>-263</v>
      </c>
      <c r="AQ19" s="508">
        <v>-185</v>
      </c>
      <c r="AR19" s="508">
        <v>-337</v>
      </c>
      <c r="AS19" s="508">
        <v>-296</v>
      </c>
      <c r="AT19" s="508">
        <v>-280</v>
      </c>
      <c r="AU19" s="508">
        <v>-339</v>
      </c>
      <c r="AV19" s="508">
        <v>934</v>
      </c>
      <c r="AW19" s="508">
        <v>1197</v>
      </c>
      <c r="AX19" s="508">
        <v>1411</v>
      </c>
      <c r="AY19" s="508">
        <v>1467</v>
      </c>
      <c r="AZ19" s="508">
        <v>1435</v>
      </c>
      <c r="BA19" s="508">
        <v>1122</v>
      </c>
      <c r="BB19" s="508">
        <v>1503</v>
      </c>
      <c r="BC19" s="508">
        <v>1634</v>
      </c>
      <c r="BD19" s="508">
        <v>1191</v>
      </c>
      <c r="BE19" s="508">
        <v>1061</v>
      </c>
      <c r="BF19" s="508">
        <v>1174.2333815174911</v>
      </c>
      <c r="BG19" s="508">
        <v>1329.6832431431314</v>
      </c>
      <c r="BH19" s="508">
        <v>1485.9545465323356</v>
      </c>
      <c r="BI19" s="508">
        <v>1662.1874989895939</v>
      </c>
      <c r="BK19" s="236"/>
    </row>
    <row r="20" spans="1:64" s="248" customFormat="1" ht="15.75" thickTop="1">
      <c r="B20" s="245" t="s">
        <v>258</v>
      </c>
      <c r="C20" s="274"/>
      <c r="D20" s="259">
        <f t="shared" ref="D20:P20" si="16">+D19/D$8</f>
        <v>-5.6447869278618515E-2</v>
      </c>
      <c r="E20" s="259">
        <f t="shared" si="16"/>
        <v>-5.5503081005712232E-2</v>
      </c>
      <c r="F20" s="259">
        <f t="shared" si="16"/>
        <v>3.8379530916844352E-2</v>
      </c>
      <c r="G20" s="259">
        <f>+G19/G$8</f>
        <v>9.2782273208371749E-2</v>
      </c>
      <c r="H20" s="259">
        <f>+H19/H$8</f>
        <v>9.1390099547204368E-2</v>
      </c>
      <c r="I20" s="259">
        <f>+I19/I$8</f>
        <v>9.3259305785407282E-2</v>
      </c>
      <c r="J20" s="259">
        <f t="shared" si="16"/>
        <v>9.245567091679964E-2</v>
      </c>
      <c r="K20" s="259">
        <f t="shared" si="16"/>
        <v>9.4462971058718051E-2</v>
      </c>
      <c r="L20" s="259">
        <f t="shared" si="16"/>
        <v>9.6351752807294105E-2</v>
      </c>
      <c r="M20" s="259">
        <f t="shared" si="16"/>
        <v>9.8098627349321885E-2</v>
      </c>
      <c r="N20" s="259">
        <f t="shared" si="16"/>
        <v>9.9673632348955807E-2</v>
      </c>
      <c r="O20" s="259">
        <f t="shared" si="16"/>
        <v>0.10104218203010881</v>
      </c>
      <c r="P20" s="259">
        <f t="shared" si="16"/>
        <v>0.10216670233335376</v>
      </c>
      <c r="Q20" s="274"/>
      <c r="AL20" s="248">
        <f t="shared" ref="AL20:BC20" si="17">+AL19/AL$8</f>
        <v>-6.0566037735849058E-2</v>
      </c>
      <c r="AM20" s="248">
        <f t="shared" si="17"/>
        <v>-4.1311596887736196E-2</v>
      </c>
      <c r="AN20" s="248">
        <f t="shared" si="17"/>
        <v>-6.3648172202634995E-2</v>
      </c>
      <c r="AO20" s="248">
        <f t="shared" si="17"/>
        <v>-3.794683776351971E-2</v>
      </c>
      <c r="AP20" s="248">
        <f t="shared" si="17"/>
        <v>-4.7601809954751134E-2</v>
      </c>
      <c r="AQ20" s="248">
        <f t="shared" si="17"/>
        <v>-3.3261416756562384E-2</v>
      </c>
      <c r="AR20" s="248">
        <f t="shared" si="17"/>
        <v>-6.0687916441563121E-2</v>
      </c>
      <c r="AS20" s="248">
        <f t="shared" si="17"/>
        <v>-5.2923296978365814E-2</v>
      </c>
      <c r="AT20" s="248">
        <f t="shared" si="17"/>
        <v>-4.7489823609226593E-2</v>
      </c>
      <c r="AU20" s="248">
        <f t="shared" si="17"/>
        <v>-5.4041128646580582E-2</v>
      </c>
      <c r="AV20" s="248">
        <f t="shared" si="17"/>
        <v>7.5419896640826878E-2</v>
      </c>
      <c r="AW20" s="248">
        <f t="shared" si="17"/>
        <v>8.064407464798222E-2</v>
      </c>
      <c r="AX20" s="248">
        <f t="shared" si="17"/>
        <v>9.8499127399650957E-2</v>
      </c>
      <c r="AY20" s="248">
        <f t="shared" si="17"/>
        <v>0.1009010248297682</v>
      </c>
      <c r="AZ20" s="248">
        <f t="shared" si="17"/>
        <v>9.829440372628262E-2</v>
      </c>
      <c r="BA20" s="248">
        <f t="shared" si="17"/>
        <v>7.4230896460469736E-2</v>
      </c>
      <c r="BB20" s="248">
        <f t="shared" si="17"/>
        <v>0.1032847718526663</v>
      </c>
      <c r="BC20" s="248">
        <f t="shared" si="17"/>
        <v>0.1110960021756867</v>
      </c>
      <c r="BD20" s="248">
        <f t="shared" ref="BD20:BE20" si="18">+BD19/BD$8</f>
        <v>8.0762188919780292E-2</v>
      </c>
      <c r="BE20" s="248">
        <f t="shared" si="18"/>
        <v>7.0922459893048129E-2</v>
      </c>
      <c r="BF20" s="259">
        <f t="shared" ref="BF20:BI20" si="19">+BF19/BF$8</f>
        <v>7.8543371925179253E-2</v>
      </c>
      <c r="BG20" s="259">
        <f t="shared" si="19"/>
        <v>8.8115042426187701E-2</v>
      </c>
      <c r="BH20" s="259">
        <f t="shared" si="19"/>
        <v>9.7928961337781201E-2</v>
      </c>
      <c r="BI20" s="259">
        <f t="shared" si="19"/>
        <v>0.10799312947053526</v>
      </c>
    </row>
    <row r="21" spans="1:64" s="248" customFormat="1">
      <c r="B21" s="245" t="s">
        <v>252</v>
      </c>
      <c r="C21" s="246"/>
      <c r="D21" s="259"/>
      <c r="E21" s="259">
        <f t="shared" ref="E21:P21" si="20">+E19/D19-1</f>
        <v>1.4802631578947345E-2</v>
      </c>
      <c r="F21" s="259">
        <f t="shared" si="20"/>
        <v>-2.2252836304700163</v>
      </c>
      <c r="G21" s="259">
        <f t="shared" si="20"/>
        <v>2.5945767195767195</v>
      </c>
      <c r="H21" s="259">
        <f t="shared" si="20"/>
        <v>-8.4636614535418264E-3</v>
      </c>
      <c r="I21" s="259">
        <f t="shared" si="20"/>
        <v>4.8814004487393037E-2</v>
      </c>
      <c r="J21" s="259">
        <f t="shared" si="20"/>
        <v>1.5039517741656461E-2</v>
      </c>
      <c r="K21" s="259">
        <f t="shared" si="20"/>
        <v>4.2192349503901383E-2</v>
      </c>
      <c r="L21" s="259">
        <f t="shared" si="20"/>
        <v>3.8407432681285547E-2</v>
      </c>
      <c r="M21" s="259">
        <f t="shared" si="20"/>
        <v>3.6161317232975776E-2</v>
      </c>
      <c r="N21" s="259">
        <f t="shared" si="20"/>
        <v>3.5925336558757737E-2</v>
      </c>
      <c r="O21" s="259">
        <f t="shared" si="20"/>
        <v>3.7739845367577018E-2</v>
      </c>
      <c r="P21" s="259">
        <f t="shared" si="20"/>
        <v>4.1610111980444175E-2</v>
      </c>
      <c r="Q21" s="246"/>
      <c r="AP21" s="248">
        <f>+AP19/AL19-1</f>
        <v>-0.18068535825545173</v>
      </c>
      <c r="AQ21" s="248">
        <f t="shared" ref="AQ21:BE21" si="21">+AQ19/AM19-1</f>
        <v>-0.17040358744394624</v>
      </c>
      <c r="AR21" s="248">
        <f t="shared" si="21"/>
        <v>-1.7492711370262426E-2</v>
      </c>
      <c r="AS21" s="248">
        <f t="shared" si="21"/>
        <v>0.42995169082125595</v>
      </c>
      <c r="AT21" s="248">
        <f t="shared" si="21"/>
        <v>6.4638783269961975E-2</v>
      </c>
      <c r="AU21" s="248">
        <f t="shared" si="21"/>
        <v>0.83243243243243237</v>
      </c>
      <c r="AV21" s="248">
        <f t="shared" si="21"/>
        <v>-3.771513353115727</v>
      </c>
      <c r="AW21" s="248">
        <f t="shared" si="21"/>
        <v>-5.0439189189189193</v>
      </c>
      <c r="AX21" s="248">
        <f t="shared" si="21"/>
        <v>-6.0392857142857146</v>
      </c>
      <c r="AY21" s="248">
        <f t="shared" si="21"/>
        <v>-5.3274336283185839</v>
      </c>
      <c r="AZ21" s="248">
        <f t="shared" si="21"/>
        <v>0.5364025695931478</v>
      </c>
      <c r="BA21" s="248">
        <f t="shared" si="21"/>
        <v>-6.2656641604010077E-2</v>
      </c>
      <c r="BB21" s="248">
        <f t="shared" si="21"/>
        <v>6.5201984408221225E-2</v>
      </c>
      <c r="BC21" s="248">
        <f t="shared" si="21"/>
        <v>0.11383776414451252</v>
      </c>
      <c r="BD21" s="248">
        <f t="shared" si="21"/>
        <v>-0.17003484320557494</v>
      </c>
      <c r="BE21" s="248">
        <f t="shared" si="21"/>
        <v>-5.4367201426024914E-2</v>
      </c>
      <c r="BF21" s="248">
        <f t="shared" ref="BF21" si="22">+BF19/BB19-1</f>
        <v>-0.21874026512475642</v>
      </c>
      <c r="BG21" s="248">
        <f t="shared" ref="BG21" si="23">+BG19/BC19-1</f>
        <v>-0.18624036527348131</v>
      </c>
      <c r="BH21" s="248">
        <f t="shared" ref="BH21" si="24">+BH19/BD19-1</f>
        <v>0.24765285183235575</v>
      </c>
      <c r="BI21" s="248">
        <f t="shared" ref="BI21" si="25">+BI19/BE19-1</f>
        <v>0.56662346747369829</v>
      </c>
    </row>
    <row r="22" spans="1:64" ht="15.75" thickBot="1"/>
    <row r="23" spans="1:64" s="251" customFormat="1" ht="15.75" thickBot="1">
      <c r="B23" s="194" t="s">
        <v>479</v>
      </c>
      <c r="C23" s="276"/>
      <c r="D23" s="195">
        <f>+D$6</f>
        <v>2013</v>
      </c>
      <c r="E23" s="196">
        <f t="shared" ref="E23:P23" si="26">+E$6</f>
        <v>2014</v>
      </c>
      <c r="F23" s="196">
        <f t="shared" si="26"/>
        <v>2015</v>
      </c>
      <c r="G23" s="196">
        <f t="shared" si="26"/>
        <v>2016</v>
      </c>
      <c r="H23" s="196">
        <f t="shared" si="26"/>
        <v>2017</v>
      </c>
      <c r="I23" s="196" t="str">
        <f t="shared" si="26"/>
        <v>2018E</v>
      </c>
      <c r="J23" s="196" t="str">
        <f t="shared" si="26"/>
        <v>2019E</v>
      </c>
      <c r="K23" s="196" t="str">
        <f t="shared" si="26"/>
        <v>2020E</v>
      </c>
      <c r="L23" s="196" t="str">
        <f t="shared" si="26"/>
        <v>2021E</v>
      </c>
      <c r="M23" s="196" t="str">
        <f t="shared" si="26"/>
        <v>2022E</v>
      </c>
      <c r="N23" s="196" t="str">
        <f t="shared" si="26"/>
        <v>2023E</v>
      </c>
      <c r="O23" s="196" t="str">
        <f t="shared" si="26"/>
        <v>2024E</v>
      </c>
      <c r="P23" s="197" t="str">
        <f t="shared" si="26"/>
        <v>2025E</v>
      </c>
      <c r="Q23" s="241"/>
      <c r="R23" s="196" t="s">
        <v>228</v>
      </c>
      <c r="S23" s="196" t="s">
        <v>229</v>
      </c>
      <c r="T23" s="196" t="s">
        <v>230</v>
      </c>
      <c r="U23" s="196" t="s">
        <v>231</v>
      </c>
      <c r="V23" s="196" t="s">
        <v>232</v>
      </c>
      <c r="W23" s="196" t="s">
        <v>233</v>
      </c>
      <c r="X23" s="196" t="s">
        <v>234</v>
      </c>
      <c r="Y23" s="196" t="s">
        <v>235</v>
      </c>
      <c r="Z23" s="196" t="s">
        <v>236</v>
      </c>
      <c r="AA23" s="196" t="s">
        <v>237</v>
      </c>
      <c r="AB23" s="196" t="s">
        <v>238</v>
      </c>
      <c r="AC23" s="196" t="s">
        <v>239</v>
      </c>
      <c r="AD23" s="196" t="s">
        <v>240</v>
      </c>
      <c r="AE23" s="196" t="s">
        <v>241</v>
      </c>
      <c r="AF23" s="196" t="s">
        <v>242</v>
      </c>
      <c r="AG23" s="196" t="s">
        <v>243</v>
      </c>
      <c r="AH23" s="196" t="s">
        <v>244</v>
      </c>
      <c r="AI23" s="196" t="s">
        <v>245</v>
      </c>
      <c r="AJ23" s="196" t="s">
        <v>246</v>
      </c>
      <c r="AK23" s="196" t="s">
        <v>247</v>
      </c>
      <c r="AL23" s="196" t="s">
        <v>248</v>
      </c>
      <c r="AM23" s="196" t="s">
        <v>249</v>
      </c>
      <c r="AN23" s="196" t="s">
        <v>250</v>
      </c>
      <c r="AO23" s="196" t="s">
        <v>251</v>
      </c>
      <c r="AP23" s="196" t="str">
        <f>+AP6</f>
        <v>1Q14</v>
      </c>
      <c r="AQ23" s="196" t="str">
        <f>+AQ6</f>
        <v>2Q14</v>
      </c>
      <c r="AR23" s="196" t="str">
        <f>+AR6</f>
        <v>3Q14</v>
      </c>
      <c r="AS23" s="196" t="str">
        <f>+AS6</f>
        <v>4Q14</v>
      </c>
      <c r="AT23" s="196" t="str">
        <f>+AT$6</f>
        <v>1Q15</v>
      </c>
      <c r="AU23" s="196" t="str">
        <f t="shared" ref="AU23:BI23" si="27">+AU$6</f>
        <v>2Q15</v>
      </c>
      <c r="AV23" s="196" t="str">
        <f t="shared" si="27"/>
        <v>3Q15</v>
      </c>
      <c r="AW23" s="196" t="str">
        <f t="shared" si="27"/>
        <v>4Q15</v>
      </c>
      <c r="AX23" s="196" t="str">
        <f t="shared" si="27"/>
        <v>1Q16</v>
      </c>
      <c r="AY23" s="196" t="str">
        <f t="shared" si="27"/>
        <v>2Q16</v>
      </c>
      <c r="AZ23" s="196" t="str">
        <f t="shared" si="27"/>
        <v>3Q16</v>
      </c>
      <c r="BA23" s="196" t="str">
        <f t="shared" si="27"/>
        <v>4Q16</v>
      </c>
      <c r="BB23" s="196" t="str">
        <f t="shared" si="27"/>
        <v>1Q17</v>
      </c>
      <c r="BC23" s="196" t="str">
        <f t="shared" si="27"/>
        <v>2Q17</v>
      </c>
      <c r="BD23" s="196" t="str">
        <f t="shared" si="27"/>
        <v>3Q17</v>
      </c>
      <c r="BE23" s="196" t="str">
        <f t="shared" si="27"/>
        <v>4Q17</v>
      </c>
      <c r="BF23" s="196" t="str">
        <f t="shared" si="27"/>
        <v>1Q18E</v>
      </c>
      <c r="BG23" s="196" t="str">
        <f t="shared" si="27"/>
        <v>2Q18E</v>
      </c>
      <c r="BH23" s="196" t="str">
        <f t="shared" si="27"/>
        <v>3Q18E</v>
      </c>
      <c r="BI23" s="197" t="str">
        <f t="shared" si="27"/>
        <v>4Q18E</v>
      </c>
    </row>
    <row r="24" spans="1:64">
      <c r="C24" s="246"/>
      <c r="Q24" s="246"/>
      <c r="AO24" s="236"/>
      <c r="AP24" s="236"/>
      <c r="AQ24" s="236"/>
      <c r="AR24" s="236"/>
      <c r="AS24" s="236"/>
      <c r="AT24" s="236"/>
      <c r="AU24" s="236"/>
      <c r="AV24" s="236"/>
      <c r="AW24" s="236"/>
      <c r="AX24" s="236"/>
      <c r="AY24" s="236"/>
      <c r="AZ24" s="236"/>
      <c r="BA24" s="236"/>
      <c r="BB24" s="236"/>
      <c r="BC24" s="236"/>
      <c r="BD24" s="236"/>
      <c r="BE24" s="236"/>
    </row>
    <row r="25" spans="1:64" s="236" customFormat="1">
      <c r="B25" s="236" t="s">
        <v>292</v>
      </c>
      <c r="C25" s="246"/>
      <c r="D25" s="484"/>
      <c r="E25" s="484"/>
      <c r="F25" s="484">
        <v>19784</v>
      </c>
      <c r="G25" s="484">
        <v>21012</v>
      </c>
      <c r="H25" s="484">
        <v>20458</v>
      </c>
      <c r="I25" s="484">
        <v>19751.313192624166</v>
      </c>
      <c r="J25" s="424">
        <v>19030.390261093384</v>
      </c>
      <c r="K25" s="424">
        <v>18354.81140682457</v>
      </c>
      <c r="L25" s="424">
        <v>17721.570413289122</v>
      </c>
      <c r="M25" s="424">
        <v>17127.897804443935</v>
      </c>
      <c r="N25" s="424">
        <v>16571.241125799508</v>
      </c>
      <c r="O25" s="424">
        <v>16049.247030336825</v>
      </c>
      <c r="P25" s="424">
        <v>15559.744995911551</v>
      </c>
      <c r="Q25" s="485"/>
      <c r="R25" s="424">
        <v>16300</v>
      </c>
      <c r="S25" s="424">
        <v>16429</v>
      </c>
      <c r="T25" s="424">
        <v>16585</v>
      </c>
      <c r="U25" s="424">
        <v>16886</v>
      </c>
      <c r="V25" s="424">
        <v>17346</v>
      </c>
      <c r="W25" s="424">
        <v>17570</v>
      </c>
      <c r="X25" s="424">
        <v>17706</v>
      </c>
      <c r="Y25" s="424">
        <v>17825</v>
      </c>
      <c r="Z25" s="424">
        <v>17925</v>
      </c>
      <c r="AA25" s="424">
        <v>18025</v>
      </c>
      <c r="AB25" s="424">
        <v>18199</v>
      </c>
      <c r="AC25" s="424">
        <v>18488</v>
      </c>
      <c r="AD25" s="424">
        <v>18672</v>
      </c>
      <c r="AE25" s="424">
        <v>18698</v>
      </c>
      <c r="AF25" s="424">
        <v>19025</v>
      </c>
      <c r="AG25" s="424">
        <v>19150</v>
      </c>
      <c r="AH25" s="424">
        <v>19231</v>
      </c>
      <c r="AI25" s="424">
        <v>19179</v>
      </c>
      <c r="AJ25" s="424">
        <v>19246</v>
      </c>
      <c r="AK25" s="424">
        <v>19349</v>
      </c>
      <c r="AL25" s="424">
        <v>19370</v>
      </c>
      <c r="AM25" s="424">
        <v>19286</v>
      </c>
      <c r="AN25" s="424">
        <v>19425</v>
      </c>
      <c r="AO25" s="424">
        <v>19518</v>
      </c>
      <c r="AP25" s="424">
        <v>19530</v>
      </c>
      <c r="AQ25" s="424">
        <v>19496</v>
      </c>
      <c r="AR25" s="424">
        <v>19468</v>
      </c>
      <c r="AS25" s="424">
        <v>19617</v>
      </c>
      <c r="AT25" s="424">
        <v>19677</v>
      </c>
      <c r="AU25" s="424">
        <v>19544</v>
      </c>
      <c r="AV25" s="424">
        <v>19570</v>
      </c>
      <c r="AW25" s="424">
        <v>19784</v>
      </c>
      <c r="AX25" s="424">
        <v>20112</v>
      </c>
      <c r="AY25" s="424">
        <v>20454</v>
      </c>
      <c r="AZ25" s="424">
        <v>20777</v>
      </c>
      <c r="BA25" s="424">
        <v>21012</v>
      </c>
      <c r="BB25" s="424">
        <v>21012</v>
      </c>
      <c r="BC25" s="424">
        <v>20856</v>
      </c>
      <c r="BD25" s="424">
        <v>20605</v>
      </c>
      <c r="BE25" s="424">
        <v>20458</v>
      </c>
      <c r="BF25" s="424">
        <v>20278.9925</v>
      </c>
      <c r="BG25" s="424">
        <v>20101.551315625002</v>
      </c>
      <c r="BH25" s="424">
        <v>19925.662741613283</v>
      </c>
      <c r="BI25" s="424">
        <v>19751.313192624166</v>
      </c>
    </row>
    <row r="26" spans="1:64" s="236" customFormat="1">
      <c r="B26" s="236" t="s">
        <v>44</v>
      </c>
      <c r="C26" s="266"/>
      <c r="D26" s="484">
        <v>5257</v>
      </c>
      <c r="E26" s="484">
        <v>5920</v>
      </c>
      <c r="F26" s="484">
        <v>5614</v>
      </c>
      <c r="G26" s="484">
        <v>4253</v>
      </c>
      <c r="H26" s="484">
        <v>3631</v>
      </c>
      <c r="I26" s="484">
        <v>3505.5732819639429</v>
      </c>
      <c r="J26" s="424">
        <v>3377.6198571722589</v>
      </c>
      <c r="K26" s="424">
        <v>3257.7143522426436</v>
      </c>
      <c r="L26" s="424">
        <v>3145.3232070902723</v>
      </c>
      <c r="M26" s="424">
        <v>3039.9548796527483</v>
      </c>
      <c r="N26" s="424">
        <v>2941.1563460640341</v>
      </c>
      <c r="O26" s="424">
        <v>2848.5099211630172</v>
      </c>
      <c r="P26" s="424">
        <v>2761.6303685675452</v>
      </c>
      <c r="Q26" s="486"/>
      <c r="R26" s="424">
        <v>363</v>
      </c>
      <c r="S26" s="424">
        <v>533</v>
      </c>
      <c r="T26" s="424">
        <v>765</v>
      </c>
      <c r="U26" s="424">
        <v>1029</v>
      </c>
      <c r="V26" s="424">
        <v>1313</v>
      </c>
      <c r="W26" s="424">
        <v>1561</v>
      </c>
      <c r="X26" s="424">
        <v>1801</v>
      </c>
      <c r="Y26" s="424">
        <v>2049</v>
      </c>
      <c r="Z26" s="424">
        <v>2280</v>
      </c>
      <c r="AA26" s="424">
        <v>2489</v>
      </c>
      <c r="AB26" s="424">
        <v>2725</v>
      </c>
      <c r="AC26" s="424">
        <v>2971</v>
      </c>
      <c r="AD26" s="424">
        <v>3189</v>
      </c>
      <c r="AE26" s="424">
        <v>3391</v>
      </c>
      <c r="AF26" s="424">
        <v>3567</v>
      </c>
      <c r="AG26" s="424">
        <v>3775</v>
      </c>
      <c r="AH26" s="424">
        <v>3975</v>
      </c>
      <c r="AI26" s="424">
        <v>4130</v>
      </c>
      <c r="AJ26" s="424">
        <v>4328</v>
      </c>
      <c r="AK26" s="424">
        <v>4520</v>
      </c>
      <c r="AL26" s="424">
        <v>4589</v>
      </c>
      <c r="AM26" s="424">
        <v>4813</v>
      </c>
      <c r="AN26" s="424">
        <v>5070</v>
      </c>
      <c r="AO26" s="424">
        <v>5257</v>
      </c>
      <c r="AP26" s="424">
        <v>5451</v>
      </c>
      <c r="AQ26" s="424">
        <v>5636</v>
      </c>
      <c r="AR26" s="424">
        <v>5848</v>
      </c>
      <c r="AS26" s="424">
        <v>5920</v>
      </c>
      <c r="AT26" s="424">
        <v>5969</v>
      </c>
      <c r="AU26" s="424">
        <v>5946</v>
      </c>
      <c r="AV26" s="424">
        <v>5854</v>
      </c>
      <c r="AW26" s="424">
        <v>5614</v>
      </c>
      <c r="AX26" s="424">
        <v>5232</v>
      </c>
      <c r="AY26" s="424">
        <v>4841</v>
      </c>
      <c r="AZ26" s="424">
        <v>4515</v>
      </c>
      <c r="BA26" s="424">
        <v>4253</v>
      </c>
      <c r="BB26" s="424">
        <v>4020</v>
      </c>
      <c r="BC26" s="424">
        <v>3825</v>
      </c>
      <c r="BD26" s="424">
        <v>3691</v>
      </c>
      <c r="BE26" s="424">
        <v>3631</v>
      </c>
      <c r="BF26" s="424">
        <v>3599.2287500000002</v>
      </c>
      <c r="BG26" s="424">
        <v>3567.7354984375002</v>
      </c>
      <c r="BH26" s="424">
        <v>3536.5178128261718</v>
      </c>
      <c r="BI26" s="424">
        <v>3505.5732819639429</v>
      </c>
    </row>
    <row r="27" spans="1:64" s="252" customFormat="1" ht="15.75" thickBot="1">
      <c r="B27" s="481" t="s">
        <v>476</v>
      </c>
      <c r="C27" s="353"/>
      <c r="D27" s="354">
        <f t="shared" ref="D27:J27" si="28">SUM(D25:D26)</f>
        <v>5257</v>
      </c>
      <c r="E27" s="354">
        <f t="shared" si="28"/>
        <v>5920</v>
      </c>
      <c r="F27" s="354">
        <f t="shared" si="28"/>
        <v>25398</v>
      </c>
      <c r="G27" s="354">
        <f>SUM(G25:G26)</f>
        <v>25265</v>
      </c>
      <c r="H27" s="354">
        <f>SUM(H25:H26)</f>
        <v>24089</v>
      </c>
      <c r="I27" s="354">
        <f>SUM(I25:I26)</f>
        <v>23256.886474588107</v>
      </c>
      <c r="J27" s="354">
        <f t="shared" si="28"/>
        <v>22408.010118265644</v>
      </c>
      <c r="K27" s="354">
        <f t="shared" ref="K27:P27" si="29">SUM(K25:K26)</f>
        <v>21612.525759067215</v>
      </c>
      <c r="L27" s="354">
        <f t="shared" si="29"/>
        <v>20866.893620379393</v>
      </c>
      <c r="M27" s="354">
        <f t="shared" si="29"/>
        <v>20167.852684096684</v>
      </c>
      <c r="N27" s="354">
        <f t="shared" si="29"/>
        <v>19512.397471863544</v>
      </c>
      <c r="O27" s="354">
        <f t="shared" si="29"/>
        <v>18897.756951499843</v>
      </c>
      <c r="P27" s="354">
        <f t="shared" si="29"/>
        <v>18321.375364479096</v>
      </c>
      <c r="Q27" s="353"/>
      <c r="R27" s="354">
        <f t="shared" ref="R27:AN27" si="30">SUM(R25:R26)</f>
        <v>16663</v>
      </c>
      <c r="S27" s="354">
        <f t="shared" si="30"/>
        <v>16962</v>
      </c>
      <c r="T27" s="354">
        <f t="shared" si="30"/>
        <v>17350</v>
      </c>
      <c r="U27" s="354">
        <f t="shared" si="30"/>
        <v>17915</v>
      </c>
      <c r="V27" s="354">
        <f t="shared" si="30"/>
        <v>18659</v>
      </c>
      <c r="W27" s="354">
        <f t="shared" si="30"/>
        <v>19131</v>
      </c>
      <c r="X27" s="354">
        <f t="shared" si="30"/>
        <v>19507</v>
      </c>
      <c r="Y27" s="354">
        <f t="shared" si="30"/>
        <v>19874</v>
      </c>
      <c r="Z27" s="354">
        <f t="shared" si="30"/>
        <v>20205</v>
      </c>
      <c r="AA27" s="354">
        <f t="shared" si="30"/>
        <v>20514</v>
      </c>
      <c r="AB27" s="354">
        <f t="shared" si="30"/>
        <v>20924</v>
      </c>
      <c r="AC27" s="354">
        <f t="shared" si="30"/>
        <v>21459</v>
      </c>
      <c r="AD27" s="354">
        <f t="shared" si="30"/>
        <v>21861</v>
      </c>
      <c r="AE27" s="354">
        <f t="shared" si="30"/>
        <v>22089</v>
      </c>
      <c r="AF27" s="354">
        <f t="shared" si="30"/>
        <v>22592</v>
      </c>
      <c r="AG27" s="354">
        <f t="shared" si="30"/>
        <v>22925</v>
      </c>
      <c r="AH27" s="354">
        <f t="shared" si="30"/>
        <v>23206</v>
      </c>
      <c r="AI27" s="354">
        <f t="shared" si="30"/>
        <v>23309</v>
      </c>
      <c r="AJ27" s="354">
        <f t="shared" si="30"/>
        <v>23574</v>
      </c>
      <c r="AK27" s="354">
        <f t="shared" si="30"/>
        <v>23869</v>
      </c>
      <c r="AL27" s="354">
        <f t="shared" si="30"/>
        <v>23959</v>
      </c>
      <c r="AM27" s="354">
        <f t="shared" si="30"/>
        <v>24099</v>
      </c>
      <c r="AN27" s="354">
        <f t="shared" si="30"/>
        <v>24495</v>
      </c>
      <c r="AO27" s="354">
        <f>SUM(AO25:AO26)</f>
        <v>24775</v>
      </c>
      <c r="AP27" s="354">
        <f t="shared" ref="AP27:BC27" si="31">SUM(AP25:AP26)</f>
        <v>24981</v>
      </c>
      <c r="AQ27" s="354">
        <f t="shared" si="31"/>
        <v>25132</v>
      </c>
      <c r="AR27" s="354">
        <f t="shared" si="31"/>
        <v>25316</v>
      </c>
      <c r="AS27" s="354">
        <f t="shared" si="31"/>
        <v>25537</v>
      </c>
      <c r="AT27" s="354">
        <f t="shared" si="31"/>
        <v>25646</v>
      </c>
      <c r="AU27" s="354">
        <f t="shared" si="31"/>
        <v>25490</v>
      </c>
      <c r="AV27" s="354">
        <f t="shared" si="31"/>
        <v>25424</v>
      </c>
      <c r="AW27" s="354">
        <f t="shared" si="31"/>
        <v>25398</v>
      </c>
      <c r="AX27" s="354">
        <f t="shared" si="31"/>
        <v>25344</v>
      </c>
      <c r="AY27" s="354">
        <f t="shared" si="31"/>
        <v>25295</v>
      </c>
      <c r="AZ27" s="354">
        <f t="shared" si="31"/>
        <v>25292</v>
      </c>
      <c r="BA27" s="354">
        <f t="shared" si="31"/>
        <v>25265</v>
      </c>
      <c r="BB27" s="354">
        <f t="shared" si="31"/>
        <v>25032</v>
      </c>
      <c r="BC27" s="354">
        <f t="shared" si="31"/>
        <v>24681</v>
      </c>
      <c r="BD27" s="354">
        <f t="shared" ref="BD27:BE27" si="32">SUM(BD25:BD26)</f>
        <v>24296</v>
      </c>
      <c r="BE27" s="354">
        <f t="shared" si="32"/>
        <v>24089</v>
      </c>
      <c r="BF27" s="354">
        <f t="shared" ref="BF27:BI27" si="33">SUM(BF25:BF26)</f>
        <v>23878.221250000002</v>
      </c>
      <c r="BG27" s="354">
        <f t="shared" si="33"/>
        <v>23669.286814062503</v>
      </c>
      <c r="BH27" s="354">
        <f t="shared" si="33"/>
        <v>23462.180554439456</v>
      </c>
      <c r="BI27" s="354">
        <f t="shared" si="33"/>
        <v>23256.886474588107</v>
      </c>
    </row>
    <row r="28" spans="1:64" ht="15.75" thickTop="1">
      <c r="A28" s="236"/>
      <c r="D28" s="295"/>
      <c r="J28" s="295"/>
      <c r="K28" s="295"/>
      <c r="L28" s="295"/>
      <c r="M28" s="295"/>
      <c r="N28" s="295"/>
      <c r="O28" s="295"/>
      <c r="P28" s="295"/>
      <c r="U28" s="236"/>
      <c r="Y28" s="236"/>
      <c r="AC28" s="236"/>
      <c r="AG28" s="236"/>
      <c r="AK28" s="236"/>
      <c r="AO28" s="236"/>
      <c r="AS28" s="236"/>
    </row>
    <row r="29" spans="1:64" s="236" customFormat="1">
      <c r="B29" s="236" t="s">
        <v>292</v>
      </c>
      <c r="C29" s="274"/>
      <c r="D29" s="487">
        <v>169</v>
      </c>
      <c r="E29" s="487">
        <v>99</v>
      </c>
      <c r="F29" s="484">
        <v>167</v>
      </c>
      <c r="G29" s="484">
        <v>1228</v>
      </c>
      <c r="H29" s="484">
        <v>-554</v>
      </c>
      <c r="I29" s="484">
        <v>-706.68680737583497</v>
      </c>
      <c r="J29" s="488">
        <v>-720.92293153078197</v>
      </c>
      <c r="K29" s="488">
        <v>-675.57885426881501</v>
      </c>
      <c r="L29" s="488">
        <v>-633.24099353544761</v>
      </c>
      <c r="M29" s="488">
        <v>-593.67260884518555</v>
      </c>
      <c r="N29" s="488">
        <v>-556.65667864442776</v>
      </c>
      <c r="O29" s="488">
        <v>-521.99409546268441</v>
      </c>
      <c r="P29" s="488">
        <v>-489.50203442527305</v>
      </c>
      <c r="Q29" s="438"/>
      <c r="R29" s="424">
        <v>275</v>
      </c>
      <c r="S29" s="424">
        <v>129</v>
      </c>
      <c r="T29" s="424">
        <v>156</v>
      </c>
      <c r="U29" s="424">
        <v>301</v>
      </c>
      <c r="V29" s="424">
        <v>460</v>
      </c>
      <c r="W29" s="424">
        <v>224</v>
      </c>
      <c r="X29" s="424">
        <v>136</v>
      </c>
      <c r="Y29" s="424">
        <v>119</v>
      </c>
      <c r="Z29" s="424">
        <v>100</v>
      </c>
      <c r="AA29" s="424">
        <v>100</v>
      </c>
      <c r="AB29" s="424">
        <v>174</v>
      </c>
      <c r="AC29" s="424">
        <v>289</v>
      </c>
      <c r="AD29" s="424">
        <v>184</v>
      </c>
      <c r="AE29" s="424">
        <v>26</v>
      </c>
      <c r="AF29" s="424">
        <v>327</v>
      </c>
      <c r="AG29" s="424">
        <v>125</v>
      </c>
      <c r="AH29" s="424">
        <v>81</v>
      </c>
      <c r="AI29" s="424">
        <v>-52</v>
      </c>
      <c r="AJ29" s="424">
        <v>67</v>
      </c>
      <c r="AK29" s="424">
        <v>103</v>
      </c>
      <c r="AL29" s="424">
        <v>21</v>
      </c>
      <c r="AM29" s="424">
        <v>-84</v>
      </c>
      <c r="AN29" s="424">
        <v>139</v>
      </c>
      <c r="AO29" s="424">
        <v>93</v>
      </c>
      <c r="AP29" s="424">
        <v>12</v>
      </c>
      <c r="AQ29" s="424">
        <v>-34</v>
      </c>
      <c r="AR29" s="424">
        <v>-28</v>
      </c>
      <c r="AS29" s="424">
        <v>149</v>
      </c>
      <c r="AT29" s="424">
        <v>60</v>
      </c>
      <c r="AU29" s="424">
        <v>-133</v>
      </c>
      <c r="AV29" s="424">
        <v>26</v>
      </c>
      <c r="AW29" s="425">
        <v>214</v>
      </c>
      <c r="AX29" s="425">
        <v>328</v>
      </c>
      <c r="AY29" s="425">
        <v>342</v>
      </c>
      <c r="AZ29" s="425">
        <v>323</v>
      </c>
      <c r="BA29" s="425">
        <v>235</v>
      </c>
      <c r="BB29" s="425">
        <v>0</v>
      </c>
      <c r="BC29" s="425">
        <v>-156</v>
      </c>
      <c r="BD29" s="425">
        <v>-251</v>
      </c>
      <c r="BE29" s="425">
        <v>-147</v>
      </c>
      <c r="BF29" s="488">
        <v>-179.00750000000002</v>
      </c>
      <c r="BG29" s="488">
        <v>-177.44118437500001</v>
      </c>
      <c r="BH29" s="488">
        <v>-175.88857401171879</v>
      </c>
      <c r="BI29" s="488">
        <v>-174.34954898911624</v>
      </c>
    </row>
    <row r="30" spans="1:64" s="236" customFormat="1">
      <c r="B30" s="236" t="s">
        <v>44</v>
      </c>
      <c r="C30" s="274"/>
      <c r="D30" s="487">
        <v>737</v>
      </c>
      <c r="E30" s="484">
        <v>663</v>
      </c>
      <c r="F30" s="484">
        <v>-306</v>
      </c>
      <c r="G30" s="484">
        <v>-1361</v>
      </c>
      <c r="H30" s="484">
        <v>-622</v>
      </c>
      <c r="I30" s="484">
        <v>-125.42671803605714</v>
      </c>
      <c r="J30" s="488">
        <v>-127.95342479168391</v>
      </c>
      <c r="K30" s="488">
        <v>-119.90550492961518</v>
      </c>
      <c r="L30" s="488">
        <v>-112.39114515237119</v>
      </c>
      <c r="M30" s="488">
        <v>-105.3683274375241</v>
      </c>
      <c r="N30" s="488">
        <v>-98.798533588714307</v>
      </c>
      <c r="O30" s="488">
        <v>-92.646424901017056</v>
      </c>
      <c r="P30" s="488">
        <v>-86.879552595472006</v>
      </c>
      <c r="Q30" s="438"/>
      <c r="R30" s="424">
        <v>148</v>
      </c>
      <c r="S30" s="424">
        <v>170</v>
      </c>
      <c r="T30" s="424">
        <v>232</v>
      </c>
      <c r="U30" s="424">
        <v>264</v>
      </c>
      <c r="V30" s="424">
        <v>284</v>
      </c>
      <c r="W30" s="424">
        <v>248</v>
      </c>
      <c r="X30" s="424">
        <v>240</v>
      </c>
      <c r="Y30" s="424">
        <v>248</v>
      </c>
      <c r="Z30" s="424">
        <v>231</v>
      </c>
      <c r="AA30" s="424">
        <v>209</v>
      </c>
      <c r="AB30" s="424">
        <v>236</v>
      </c>
      <c r="AC30" s="424">
        <v>246</v>
      </c>
      <c r="AD30" s="424">
        <v>218</v>
      </c>
      <c r="AE30" s="424">
        <v>202</v>
      </c>
      <c r="AF30" s="424">
        <v>176</v>
      </c>
      <c r="AG30" s="424">
        <v>208</v>
      </c>
      <c r="AH30" s="424">
        <v>200</v>
      </c>
      <c r="AI30" s="424">
        <v>155</v>
      </c>
      <c r="AJ30" s="424">
        <v>198</v>
      </c>
      <c r="AK30" s="424">
        <v>192</v>
      </c>
      <c r="AL30" s="424">
        <v>69</v>
      </c>
      <c r="AM30" s="424">
        <v>224</v>
      </c>
      <c r="AN30" s="424">
        <v>257</v>
      </c>
      <c r="AO30" s="424">
        <v>187</v>
      </c>
      <c r="AP30" s="425">
        <v>194</v>
      </c>
      <c r="AQ30" s="425">
        <v>185</v>
      </c>
      <c r="AR30" s="425">
        <v>212</v>
      </c>
      <c r="AS30" s="425">
        <v>72</v>
      </c>
      <c r="AT30" s="425">
        <v>49</v>
      </c>
      <c r="AU30" s="425">
        <v>-23</v>
      </c>
      <c r="AV30" s="425">
        <v>-92</v>
      </c>
      <c r="AW30" s="425">
        <v>-240</v>
      </c>
      <c r="AX30" s="425">
        <v>-382</v>
      </c>
      <c r="AY30" s="425">
        <v>-391</v>
      </c>
      <c r="AZ30" s="425">
        <v>-326</v>
      </c>
      <c r="BA30" s="425">
        <v>-262</v>
      </c>
      <c r="BB30" s="425">
        <v>-233</v>
      </c>
      <c r="BC30" s="425">
        <v>-195</v>
      </c>
      <c r="BD30" s="425">
        <v>-134</v>
      </c>
      <c r="BE30" s="425">
        <v>-60</v>
      </c>
      <c r="BF30" s="488">
        <v>-31.771250000000002</v>
      </c>
      <c r="BG30" s="488">
        <v>-31.493251562500006</v>
      </c>
      <c r="BH30" s="488">
        <v>-31.217685611328129</v>
      </c>
      <c r="BI30" s="488">
        <v>-30.944530862229005</v>
      </c>
    </row>
    <row r="31" spans="1:64" s="252" customFormat="1" ht="15.75" thickBot="1">
      <c r="B31" s="481" t="s">
        <v>475</v>
      </c>
      <c r="C31" s="274"/>
      <c r="D31" s="354">
        <f t="shared" ref="D31:F31" si="34">SUM(D29:D30)</f>
        <v>906</v>
      </c>
      <c r="E31" s="354">
        <f t="shared" si="34"/>
        <v>762</v>
      </c>
      <c r="F31" s="354">
        <f t="shared" si="34"/>
        <v>-139</v>
      </c>
      <c r="G31" s="354">
        <f>SUM(G29:G30)</f>
        <v>-133</v>
      </c>
      <c r="H31" s="354">
        <f>SUM(H29:H30)</f>
        <v>-1176</v>
      </c>
      <c r="I31" s="354">
        <f>SUM(I29:I30)</f>
        <v>-832.11352541189217</v>
      </c>
      <c r="J31" s="354">
        <f t="shared" ref="J31:P31" si="35">J32*I27</f>
        <v>-848.87635632246588</v>
      </c>
      <c r="K31" s="354">
        <f t="shared" si="35"/>
        <v>-795.4843591984303</v>
      </c>
      <c r="L31" s="354">
        <f t="shared" si="35"/>
        <v>-745.63213868781884</v>
      </c>
      <c r="M31" s="354">
        <f t="shared" si="35"/>
        <v>-699.04093628270959</v>
      </c>
      <c r="N31" s="354">
        <f t="shared" si="35"/>
        <v>-655.45521223314211</v>
      </c>
      <c r="O31" s="354">
        <f t="shared" si="35"/>
        <v>-614.64052036370151</v>
      </c>
      <c r="P31" s="354">
        <f t="shared" si="35"/>
        <v>-576.38158702074509</v>
      </c>
      <c r="Q31" s="274"/>
      <c r="R31" s="354">
        <f t="shared" ref="R31:BC31" si="36">SUM(R29:R30)</f>
        <v>423</v>
      </c>
      <c r="S31" s="354">
        <f t="shared" si="36"/>
        <v>299</v>
      </c>
      <c r="T31" s="354">
        <f t="shared" si="36"/>
        <v>388</v>
      </c>
      <c r="U31" s="354">
        <f t="shared" si="36"/>
        <v>565</v>
      </c>
      <c r="V31" s="354">
        <f t="shared" si="36"/>
        <v>744</v>
      </c>
      <c r="W31" s="354">
        <f t="shared" si="36"/>
        <v>472</v>
      </c>
      <c r="X31" s="354">
        <f t="shared" si="36"/>
        <v>376</v>
      </c>
      <c r="Y31" s="354">
        <f t="shared" si="36"/>
        <v>367</v>
      </c>
      <c r="Z31" s="354">
        <f t="shared" si="36"/>
        <v>331</v>
      </c>
      <c r="AA31" s="354">
        <f t="shared" si="36"/>
        <v>309</v>
      </c>
      <c r="AB31" s="354">
        <f t="shared" si="36"/>
        <v>410</v>
      </c>
      <c r="AC31" s="354">
        <f t="shared" si="36"/>
        <v>535</v>
      </c>
      <c r="AD31" s="354">
        <f t="shared" si="36"/>
        <v>402</v>
      </c>
      <c r="AE31" s="354">
        <f t="shared" si="36"/>
        <v>228</v>
      </c>
      <c r="AF31" s="354">
        <f t="shared" si="36"/>
        <v>503</v>
      </c>
      <c r="AG31" s="354">
        <f t="shared" si="36"/>
        <v>333</v>
      </c>
      <c r="AH31" s="354">
        <f t="shared" si="36"/>
        <v>281</v>
      </c>
      <c r="AI31" s="354">
        <f t="shared" si="36"/>
        <v>103</v>
      </c>
      <c r="AJ31" s="354">
        <f t="shared" si="36"/>
        <v>265</v>
      </c>
      <c r="AK31" s="354">
        <f t="shared" si="36"/>
        <v>295</v>
      </c>
      <c r="AL31" s="354">
        <f t="shared" si="36"/>
        <v>90</v>
      </c>
      <c r="AM31" s="354">
        <f t="shared" si="36"/>
        <v>140</v>
      </c>
      <c r="AN31" s="354">
        <f t="shared" si="36"/>
        <v>396</v>
      </c>
      <c r="AO31" s="354">
        <f t="shared" si="36"/>
        <v>280</v>
      </c>
      <c r="AP31" s="354">
        <f t="shared" si="36"/>
        <v>206</v>
      </c>
      <c r="AQ31" s="354">
        <f t="shared" si="36"/>
        <v>151</v>
      </c>
      <c r="AR31" s="354">
        <f t="shared" si="36"/>
        <v>184</v>
      </c>
      <c r="AS31" s="354">
        <f t="shared" si="36"/>
        <v>221</v>
      </c>
      <c r="AT31" s="354">
        <f t="shared" si="36"/>
        <v>109</v>
      </c>
      <c r="AU31" s="354">
        <f>SUM(AU29:AU30)</f>
        <v>-156</v>
      </c>
      <c r="AV31" s="354">
        <f t="shared" si="36"/>
        <v>-66</v>
      </c>
      <c r="AW31" s="354">
        <f t="shared" si="36"/>
        <v>-26</v>
      </c>
      <c r="AX31" s="354">
        <f t="shared" si="36"/>
        <v>-54</v>
      </c>
      <c r="AY31" s="354">
        <f t="shared" si="36"/>
        <v>-49</v>
      </c>
      <c r="AZ31" s="354">
        <f t="shared" si="36"/>
        <v>-3</v>
      </c>
      <c r="BA31" s="354">
        <f t="shared" si="36"/>
        <v>-27</v>
      </c>
      <c r="BB31" s="354">
        <f t="shared" si="36"/>
        <v>-233</v>
      </c>
      <c r="BC31" s="354">
        <f t="shared" si="36"/>
        <v>-351</v>
      </c>
      <c r="BD31" s="354">
        <f t="shared" ref="BD31:BE31" si="37">SUM(BD29:BD30)</f>
        <v>-385</v>
      </c>
      <c r="BE31" s="354">
        <f t="shared" si="37"/>
        <v>-207</v>
      </c>
      <c r="BF31" s="354">
        <f t="shared" ref="BF31:BI31" si="38">SUM(BF29:BF30)</f>
        <v>-210.77875000000003</v>
      </c>
      <c r="BG31" s="354">
        <f t="shared" si="38"/>
        <v>-208.93443593750001</v>
      </c>
      <c r="BH31" s="354">
        <f t="shared" si="38"/>
        <v>-207.10625962304692</v>
      </c>
      <c r="BI31" s="354">
        <f t="shared" si="38"/>
        <v>-205.29407985134526</v>
      </c>
      <c r="BK31" s="236"/>
    </row>
    <row r="32" spans="1:64" s="248" customFormat="1" ht="15.75" thickTop="1">
      <c r="B32" s="482" t="s">
        <v>478</v>
      </c>
      <c r="C32" s="355"/>
      <c r="D32" s="259"/>
      <c r="E32" s="259"/>
      <c r="F32" s="259"/>
      <c r="G32" s="259"/>
      <c r="H32" s="259"/>
      <c r="I32" s="259"/>
      <c r="J32" s="505">
        <v>-3.6499999999999998E-2</v>
      </c>
      <c r="K32" s="505">
        <v>-3.5499999999999997E-2</v>
      </c>
      <c r="L32" s="505">
        <v>-3.4499999999999996E-2</v>
      </c>
      <c r="M32" s="505">
        <v>-3.3499999999999995E-2</v>
      </c>
      <c r="N32" s="505">
        <v>-3.2499999999999994E-2</v>
      </c>
      <c r="O32" s="505">
        <v>-3.1499999999999993E-2</v>
      </c>
      <c r="P32" s="505">
        <v>-3.0499999999999992E-2</v>
      </c>
      <c r="Q32" s="355"/>
      <c r="BL32" s="236"/>
    </row>
    <row r="33" spans="2:64">
      <c r="C33" s="247"/>
      <c r="Q33" s="247"/>
    </row>
    <row r="34" spans="2:64" s="236" customFormat="1">
      <c r="B34" s="236" t="s">
        <v>458</v>
      </c>
      <c r="C34" s="266"/>
      <c r="D34" s="295"/>
      <c r="E34" s="295"/>
      <c r="F34" s="295"/>
      <c r="G34" s="484">
        <v>267</v>
      </c>
      <c r="H34" s="484">
        <v>1155</v>
      </c>
      <c r="I34" s="484">
        <v>2555</v>
      </c>
      <c r="J34" s="484">
        <v>3832.5</v>
      </c>
      <c r="K34" s="484">
        <v>4790.625</v>
      </c>
      <c r="L34" s="484">
        <v>5389.453125</v>
      </c>
      <c r="M34" s="484">
        <v>5726.2939453125</v>
      </c>
      <c r="N34" s="484">
        <v>5905.2406311035156</v>
      </c>
      <c r="O34" s="484">
        <v>5997.5100159645081</v>
      </c>
      <c r="P34" s="484">
        <v>6044.3655629642308</v>
      </c>
      <c r="Q34" s="486"/>
      <c r="R34" s="424"/>
      <c r="S34" s="424"/>
      <c r="T34" s="424"/>
      <c r="U34" s="424"/>
      <c r="V34" s="424"/>
      <c r="W34" s="424"/>
      <c r="X34" s="424"/>
      <c r="Y34" s="424"/>
      <c r="Z34" s="424"/>
      <c r="AA34" s="424"/>
      <c r="AB34" s="424"/>
      <c r="AC34" s="424"/>
      <c r="AD34" s="424"/>
      <c r="AE34" s="424"/>
      <c r="AF34" s="424"/>
      <c r="AG34" s="424"/>
      <c r="AH34" s="424"/>
      <c r="AI34" s="424"/>
      <c r="AJ34" s="424"/>
      <c r="AK34" s="424"/>
      <c r="AL34" s="424"/>
      <c r="AM34" s="424"/>
      <c r="AN34" s="424"/>
      <c r="AO34" s="424">
        <v>0</v>
      </c>
      <c r="AP34" s="424">
        <v>0</v>
      </c>
      <c r="AQ34" s="424">
        <v>0</v>
      </c>
      <c r="AR34" s="424">
        <v>0</v>
      </c>
      <c r="AS34" s="424">
        <v>0</v>
      </c>
      <c r="AT34" s="424">
        <v>0</v>
      </c>
      <c r="AU34" s="424">
        <v>0</v>
      </c>
      <c r="AV34" s="424">
        <v>0</v>
      </c>
      <c r="AW34" s="424">
        <v>0</v>
      </c>
      <c r="AX34" s="424">
        <v>0</v>
      </c>
      <c r="AY34" s="424">
        <v>0</v>
      </c>
      <c r="AZ34" s="424">
        <v>0</v>
      </c>
      <c r="BA34" s="424">
        <v>267</v>
      </c>
      <c r="BB34" s="424">
        <v>339</v>
      </c>
      <c r="BC34" s="424">
        <v>491</v>
      </c>
      <c r="BD34" s="424">
        <v>787</v>
      </c>
      <c r="BE34" s="424">
        <v>1155</v>
      </c>
      <c r="BF34" s="424">
        <v>1505</v>
      </c>
      <c r="BG34" s="424">
        <v>1855</v>
      </c>
      <c r="BH34" s="424">
        <v>2205</v>
      </c>
      <c r="BI34" s="424">
        <v>2555</v>
      </c>
    </row>
    <row r="35" spans="2:64" s="236" customFormat="1">
      <c r="B35" s="285" t="s">
        <v>43</v>
      </c>
      <c r="C35" s="266"/>
      <c r="D35" s="295"/>
      <c r="E35" s="295"/>
      <c r="F35" s="295"/>
      <c r="G35" s="484">
        <v>267</v>
      </c>
      <c r="H35" s="484">
        <v>888</v>
      </c>
      <c r="I35" s="484">
        <v>1400</v>
      </c>
      <c r="J35" s="488">
        <v>1277.5</v>
      </c>
      <c r="K35" s="488">
        <v>958.125</v>
      </c>
      <c r="L35" s="488">
        <v>598.828125</v>
      </c>
      <c r="M35" s="488">
        <v>336.8408203125</v>
      </c>
      <c r="N35" s="488">
        <v>178.94668579101562</v>
      </c>
      <c r="O35" s="488">
        <v>92.269384860992432</v>
      </c>
      <c r="P35" s="488">
        <v>46.855546999722719</v>
      </c>
      <c r="Q35" s="486"/>
      <c r="R35" s="424"/>
      <c r="S35" s="424"/>
      <c r="T35" s="424"/>
      <c r="U35" s="424"/>
      <c r="V35" s="424"/>
      <c r="W35" s="424"/>
      <c r="X35" s="424"/>
      <c r="Y35" s="424"/>
      <c r="Z35" s="424"/>
      <c r="AA35" s="424"/>
      <c r="AB35" s="424"/>
      <c r="AC35" s="424"/>
      <c r="AD35" s="424"/>
      <c r="AE35" s="424"/>
      <c r="AF35" s="424"/>
      <c r="AG35" s="424"/>
      <c r="AH35" s="424"/>
      <c r="AI35" s="424"/>
      <c r="AJ35" s="424"/>
      <c r="AK35" s="424"/>
      <c r="AL35" s="424"/>
      <c r="AM35" s="424"/>
      <c r="AN35" s="424"/>
      <c r="AO35" s="424">
        <v>0</v>
      </c>
      <c r="AP35" s="424">
        <v>0</v>
      </c>
      <c r="AQ35" s="424">
        <v>0</v>
      </c>
      <c r="AR35" s="424">
        <v>0</v>
      </c>
      <c r="AS35" s="424">
        <v>0</v>
      </c>
      <c r="AT35" s="424">
        <v>0</v>
      </c>
      <c r="AU35" s="424">
        <v>0</v>
      </c>
      <c r="AV35" s="424">
        <v>0</v>
      </c>
      <c r="AW35" s="424">
        <v>0</v>
      </c>
      <c r="AX35" s="424">
        <v>0</v>
      </c>
      <c r="AY35" s="424">
        <v>0</v>
      </c>
      <c r="AZ35" s="424">
        <v>0</v>
      </c>
      <c r="BA35" s="424">
        <v>267</v>
      </c>
      <c r="BB35" s="424">
        <v>72</v>
      </c>
      <c r="BC35" s="424">
        <v>152</v>
      </c>
      <c r="BD35" s="424">
        <v>296</v>
      </c>
      <c r="BE35" s="424">
        <v>368</v>
      </c>
      <c r="BF35" s="488">
        <v>350</v>
      </c>
      <c r="BG35" s="488">
        <v>350</v>
      </c>
      <c r="BH35" s="488">
        <v>350</v>
      </c>
      <c r="BI35" s="488">
        <v>350</v>
      </c>
    </row>
    <row r="36" spans="2:64" s="236" customFormat="1">
      <c r="B36" s="285" t="s">
        <v>471</v>
      </c>
      <c r="C36" s="266"/>
      <c r="D36" s="295"/>
      <c r="E36" s="295"/>
      <c r="F36" s="295"/>
      <c r="G36" s="295"/>
      <c r="H36" s="295"/>
      <c r="I36" s="295"/>
      <c r="J36" s="505">
        <v>0.5</v>
      </c>
      <c r="K36" s="505">
        <v>0.25</v>
      </c>
      <c r="L36" s="505">
        <v>0.125</v>
      </c>
      <c r="M36" s="505">
        <v>6.25E-2</v>
      </c>
      <c r="N36" s="505">
        <v>3.125E-2</v>
      </c>
      <c r="O36" s="505">
        <v>1.5625E-2</v>
      </c>
      <c r="P36" s="505">
        <v>7.8125E-3</v>
      </c>
      <c r="Q36" s="266"/>
      <c r="R36" s="352"/>
      <c r="S36" s="352"/>
      <c r="T36" s="352"/>
      <c r="U36" s="352"/>
      <c r="V36" s="352"/>
      <c r="W36" s="352"/>
      <c r="X36" s="352"/>
      <c r="Y36" s="352"/>
      <c r="Z36" s="352"/>
      <c r="AA36" s="352"/>
      <c r="AB36" s="352"/>
      <c r="AC36" s="352"/>
      <c r="AD36" s="352"/>
      <c r="AE36" s="352"/>
      <c r="AF36" s="352"/>
      <c r="AG36" s="352"/>
      <c r="AH36" s="352"/>
      <c r="AI36" s="352"/>
      <c r="AJ36" s="352"/>
      <c r="AK36" s="352"/>
      <c r="AL36" s="352"/>
      <c r="AM36" s="352"/>
      <c r="AN36" s="352"/>
      <c r="AO36" s="261"/>
      <c r="AP36" s="261"/>
      <c r="AQ36" s="261"/>
      <c r="AR36" s="261"/>
      <c r="AS36" s="261"/>
      <c r="AT36" s="261"/>
      <c r="AU36" s="261"/>
      <c r="AV36" s="261"/>
      <c r="AW36" s="261"/>
      <c r="AX36" s="261"/>
      <c r="AY36" s="261"/>
      <c r="AZ36" s="261"/>
      <c r="BA36" s="261"/>
      <c r="BB36" s="261"/>
      <c r="BC36" s="261"/>
      <c r="BD36" s="261"/>
      <c r="BE36" s="261"/>
      <c r="BF36" s="211"/>
      <c r="BG36" s="211"/>
      <c r="BH36" s="211"/>
      <c r="BI36" s="211"/>
    </row>
    <row r="37" spans="2:64" s="236" customFormat="1">
      <c r="B37" s="236" t="s">
        <v>459</v>
      </c>
      <c r="C37" s="266"/>
      <c r="D37" s="295"/>
      <c r="E37" s="295"/>
      <c r="F37" s="295"/>
      <c r="G37" s="489">
        <v>35</v>
      </c>
      <c r="H37" s="489">
        <v>35</v>
      </c>
      <c r="I37" s="489">
        <v>35.35</v>
      </c>
      <c r="J37" s="489">
        <v>35.173250000000003</v>
      </c>
      <c r="K37" s="489">
        <v>34.821517500000006</v>
      </c>
      <c r="L37" s="489">
        <v>34.299194737500002</v>
      </c>
      <c r="M37" s="489">
        <v>33.61321084275</v>
      </c>
      <c r="N37" s="489">
        <v>32.772880571681249</v>
      </c>
      <c r="O37" s="489">
        <v>31.78969415453081</v>
      </c>
      <c r="P37" s="489">
        <v>30.677054859122229</v>
      </c>
      <c r="Q37" s="486"/>
      <c r="R37" s="424"/>
      <c r="S37" s="424"/>
      <c r="T37" s="424"/>
      <c r="U37" s="424"/>
      <c r="V37" s="424"/>
      <c r="W37" s="424"/>
      <c r="X37" s="424"/>
      <c r="Y37" s="424"/>
      <c r="Z37" s="424"/>
      <c r="AA37" s="424"/>
      <c r="AB37" s="424"/>
      <c r="AC37" s="424"/>
      <c r="AD37" s="424"/>
      <c r="AE37" s="424"/>
      <c r="AF37" s="424"/>
      <c r="AG37" s="424"/>
      <c r="AH37" s="424"/>
      <c r="AI37" s="424"/>
      <c r="AJ37" s="424"/>
      <c r="AK37" s="424"/>
      <c r="AL37" s="424"/>
      <c r="AM37" s="424"/>
      <c r="AN37" s="424"/>
      <c r="AO37" s="424">
        <v>0</v>
      </c>
      <c r="AP37" s="424">
        <v>0</v>
      </c>
      <c r="AQ37" s="424">
        <v>0</v>
      </c>
      <c r="AR37" s="424">
        <v>0</v>
      </c>
      <c r="AS37" s="424">
        <v>0</v>
      </c>
      <c r="AT37" s="424">
        <v>0</v>
      </c>
      <c r="AU37" s="424">
        <v>0</v>
      </c>
      <c r="AV37" s="424">
        <v>0</v>
      </c>
      <c r="AW37" s="424">
        <v>0</v>
      </c>
      <c r="AX37" s="424">
        <v>0</v>
      </c>
      <c r="AY37" s="424">
        <v>0</v>
      </c>
      <c r="AZ37" s="424">
        <v>0</v>
      </c>
      <c r="BA37" s="490">
        <v>35</v>
      </c>
      <c r="BB37" s="490">
        <v>35</v>
      </c>
      <c r="BC37" s="490">
        <v>35</v>
      </c>
      <c r="BD37" s="490">
        <v>35</v>
      </c>
      <c r="BE37" s="490">
        <v>35</v>
      </c>
      <c r="BF37" s="491">
        <v>35.35</v>
      </c>
      <c r="BG37" s="491">
        <v>35.35</v>
      </c>
      <c r="BH37" s="491">
        <v>35.35</v>
      </c>
      <c r="BI37" s="491">
        <v>35.35</v>
      </c>
    </row>
    <row r="38" spans="2:64" s="248" customFormat="1">
      <c r="B38" s="245" t="s">
        <v>252</v>
      </c>
      <c r="C38" s="355"/>
      <c r="D38" s="259"/>
      <c r="E38" s="259"/>
      <c r="F38" s="259"/>
      <c r="G38" s="259"/>
      <c r="H38" s="259"/>
      <c r="I38" s="259"/>
      <c r="J38" s="505">
        <v>-5.0000000000000001E-3</v>
      </c>
      <c r="K38" s="505">
        <v>-0.01</v>
      </c>
      <c r="L38" s="505">
        <v>-1.4999999999999999E-2</v>
      </c>
      <c r="M38" s="505">
        <v>-0.02</v>
      </c>
      <c r="N38" s="505">
        <v>-2.5000000000000001E-2</v>
      </c>
      <c r="O38" s="505">
        <v>-3.0000000000000002E-2</v>
      </c>
      <c r="P38" s="505">
        <v>-3.5000000000000003E-2</v>
      </c>
      <c r="Q38" s="355"/>
      <c r="BF38" s="505">
        <v>0.01</v>
      </c>
      <c r="BG38" s="505">
        <v>0.01</v>
      </c>
      <c r="BH38" s="505">
        <v>0.01</v>
      </c>
      <c r="BI38" s="505">
        <v>0.01</v>
      </c>
      <c r="BL38" s="236"/>
    </row>
    <row r="39" spans="2:64" s="248" customFormat="1">
      <c r="B39" s="451"/>
      <c r="C39" s="355"/>
      <c r="D39" s="259"/>
      <c r="E39" s="259"/>
      <c r="F39" s="259"/>
      <c r="G39" s="259"/>
      <c r="H39" s="259"/>
      <c r="I39" s="259"/>
      <c r="J39" s="339"/>
      <c r="K39" s="339"/>
      <c r="L39" s="339"/>
      <c r="M39" s="339"/>
      <c r="N39" s="339"/>
      <c r="O39" s="339"/>
      <c r="P39" s="339"/>
      <c r="Q39" s="355"/>
      <c r="BF39" s="339"/>
      <c r="BG39" s="339"/>
      <c r="BH39" s="339"/>
      <c r="BI39" s="339"/>
    </row>
    <row r="40" spans="2:64" s="248" customFormat="1">
      <c r="B40" s="451" t="s">
        <v>477</v>
      </c>
      <c r="C40" s="355"/>
      <c r="D40" s="259"/>
      <c r="E40" s="259"/>
      <c r="F40" s="339">
        <f t="shared" ref="F40:P40" si="39">+F31+F35</f>
        <v>-139</v>
      </c>
      <c r="G40" s="339">
        <f t="shared" si="39"/>
        <v>134</v>
      </c>
      <c r="H40" s="339">
        <f t="shared" si="39"/>
        <v>-288</v>
      </c>
      <c r="I40" s="339">
        <f t="shared" ref="I40" si="40">+I31+I35</f>
        <v>567.88647458810783</v>
      </c>
      <c r="J40" s="339">
        <f t="shared" si="39"/>
        <v>428.62364367753412</v>
      </c>
      <c r="K40" s="339">
        <f t="shared" si="39"/>
        <v>162.6406408015697</v>
      </c>
      <c r="L40" s="339">
        <f t="shared" si="39"/>
        <v>-146.80401368781884</v>
      </c>
      <c r="M40" s="339">
        <f t="shared" si="39"/>
        <v>-362.20011597020959</v>
      </c>
      <c r="N40" s="339">
        <f t="shared" si="39"/>
        <v>-476.50852644212648</v>
      </c>
      <c r="O40" s="339">
        <f t="shared" si="39"/>
        <v>-522.37113550270908</v>
      </c>
      <c r="P40" s="339">
        <f t="shared" si="39"/>
        <v>-529.52604002102237</v>
      </c>
      <c r="Q40" s="355"/>
      <c r="R40" s="339">
        <f t="shared" ref="R40:BC40" si="41">+R31+R35</f>
        <v>423</v>
      </c>
      <c r="S40" s="339">
        <f t="shared" si="41"/>
        <v>299</v>
      </c>
      <c r="T40" s="339">
        <f t="shared" si="41"/>
        <v>388</v>
      </c>
      <c r="U40" s="339">
        <f t="shared" si="41"/>
        <v>565</v>
      </c>
      <c r="V40" s="339">
        <f t="shared" si="41"/>
        <v>744</v>
      </c>
      <c r="W40" s="339">
        <f t="shared" si="41"/>
        <v>472</v>
      </c>
      <c r="X40" s="339">
        <f t="shared" si="41"/>
        <v>376</v>
      </c>
      <c r="Y40" s="339">
        <f t="shared" si="41"/>
        <v>367</v>
      </c>
      <c r="Z40" s="339">
        <f t="shared" si="41"/>
        <v>331</v>
      </c>
      <c r="AA40" s="339">
        <f t="shared" si="41"/>
        <v>309</v>
      </c>
      <c r="AB40" s="339">
        <f t="shared" si="41"/>
        <v>410</v>
      </c>
      <c r="AC40" s="339">
        <f t="shared" si="41"/>
        <v>535</v>
      </c>
      <c r="AD40" s="339">
        <f t="shared" si="41"/>
        <v>402</v>
      </c>
      <c r="AE40" s="339">
        <f t="shared" si="41"/>
        <v>228</v>
      </c>
      <c r="AF40" s="339">
        <f t="shared" si="41"/>
        <v>503</v>
      </c>
      <c r="AG40" s="339">
        <f t="shared" si="41"/>
        <v>333</v>
      </c>
      <c r="AH40" s="339">
        <f t="shared" si="41"/>
        <v>281</v>
      </c>
      <c r="AI40" s="339">
        <f t="shared" si="41"/>
        <v>103</v>
      </c>
      <c r="AJ40" s="339">
        <f t="shared" si="41"/>
        <v>265</v>
      </c>
      <c r="AK40" s="339">
        <f t="shared" si="41"/>
        <v>295</v>
      </c>
      <c r="AL40" s="339">
        <f t="shared" si="41"/>
        <v>90</v>
      </c>
      <c r="AM40" s="339">
        <f t="shared" si="41"/>
        <v>140</v>
      </c>
      <c r="AN40" s="339">
        <f t="shared" si="41"/>
        <v>396</v>
      </c>
      <c r="AO40" s="339">
        <f t="shared" si="41"/>
        <v>280</v>
      </c>
      <c r="AP40" s="339">
        <f t="shared" si="41"/>
        <v>206</v>
      </c>
      <c r="AQ40" s="339">
        <f t="shared" si="41"/>
        <v>151</v>
      </c>
      <c r="AR40" s="339">
        <f t="shared" si="41"/>
        <v>184</v>
      </c>
      <c r="AS40" s="339">
        <f t="shared" si="41"/>
        <v>221</v>
      </c>
      <c r="AT40" s="339">
        <f t="shared" si="41"/>
        <v>109</v>
      </c>
      <c r="AU40" s="339">
        <f t="shared" si="41"/>
        <v>-156</v>
      </c>
      <c r="AV40" s="339">
        <f t="shared" si="41"/>
        <v>-66</v>
      </c>
      <c r="AW40" s="339">
        <f t="shared" si="41"/>
        <v>-26</v>
      </c>
      <c r="AX40" s="339">
        <f t="shared" si="41"/>
        <v>-54</v>
      </c>
      <c r="AY40" s="339">
        <f t="shared" si="41"/>
        <v>-49</v>
      </c>
      <c r="AZ40" s="339">
        <f t="shared" si="41"/>
        <v>-3</v>
      </c>
      <c r="BA40" s="339">
        <f t="shared" si="41"/>
        <v>240</v>
      </c>
      <c r="BB40" s="339">
        <f t="shared" si="41"/>
        <v>-161</v>
      </c>
      <c r="BC40" s="339">
        <f t="shared" si="41"/>
        <v>-199</v>
      </c>
      <c r="BD40" s="339">
        <f t="shared" ref="BD40:BE40" si="42">+BD31+BD35</f>
        <v>-89</v>
      </c>
      <c r="BE40" s="339">
        <f t="shared" si="42"/>
        <v>161</v>
      </c>
      <c r="BF40" s="339">
        <f t="shared" ref="BF40:BI40" si="43">+BF31+BF35</f>
        <v>139.22124999999997</v>
      </c>
      <c r="BG40" s="339">
        <f t="shared" si="43"/>
        <v>141.06556406249999</v>
      </c>
      <c r="BH40" s="339">
        <f t="shared" si="43"/>
        <v>142.89374037695308</v>
      </c>
      <c r="BI40" s="339">
        <f t="shared" si="43"/>
        <v>144.70592014865474</v>
      </c>
    </row>
    <row r="41" spans="2:64" ht="15.75" thickBot="1">
      <c r="C41" s="274"/>
      <c r="G41" s="295"/>
      <c r="H41" s="295"/>
      <c r="I41" s="295"/>
      <c r="Q41" s="274"/>
      <c r="AO41" s="236"/>
      <c r="AP41" s="236"/>
      <c r="AQ41" s="236"/>
      <c r="AR41" s="236"/>
      <c r="AS41" s="236"/>
      <c r="AT41" s="236"/>
      <c r="AU41" s="236"/>
      <c r="AV41" s="236"/>
      <c r="AW41" s="236"/>
      <c r="AX41" s="236"/>
      <c r="AY41" s="236"/>
      <c r="AZ41" s="236"/>
      <c r="BA41" s="236"/>
      <c r="BB41" s="236"/>
      <c r="BC41" s="236"/>
      <c r="BD41" s="236"/>
      <c r="BE41" s="236"/>
    </row>
    <row r="42" spans="2:64" s="251" customFormat="1" ht="15.75" thickBot="1">
      <c r="B42" s="194" t="s">
        <v>480</v>
      </c>
      <c r="C42" s="276"/>
      <c r="D42" s="195">
        <f>+D$6</f>
        <v>2013</v>
      </c>
      <c r="E42" s="196">
        <f t="shared" ref="E42:P42" si="44">+E$6</f>
        <v>2014</v>
      </c>
      <c r="F42" s="196">
        <f t="shared" si="44"/>
        <v>2015</v>
      </c>
      <c r="G42" s="196">
        <f t="shared" si="44"/>
        <v>2016</v>
      </c>
      <c r="H42" s="196">
        <f t="shared" si="44"/>
        <v>2017</v>
      </c>
      <c r="I42" s="196" t="str">
        <f t="shared" si="44"/>
        <v>2018E</v>
      </c>
      <c r="J42" s="196" t="str">
        <f t="shared" si="44"/>
        <v>2019E</v>
      </c>
      <c r="K42" s="196" t="str">
        <f t="shared" si="44"/>
        <v>2020E</v>
      </c>
      <c r="L42" s="196" t="str">
        <f t="shared" si="44"/>
        <v>2021E</v>
      </c>
      <c r="M42" s="196" t="str">
        <f t="shared" si="44"/>
        <v>2022E</v>
      </c>
      <c r="N42" s="196" t="str">
        <f t="shared" si="44"/>
        <v>2023E</v>
      </c>
      <c r="O42" s="196" t="str">
        <f t="shared" si="44"/>
        <v>2024E</v>
      </c>
      <c r="P42" s="197" t="str">
        <f t="shared" si="44"/>
        <v>2025E</v>
      </c>
      <c r="Q42" s="241"/>
      <c r="R42" s="196" t="s">
        <v>228</v>
      </c>
      <c r="S42" s="196" t="s">
        <v>229</v>
      </c>
      <c r="T42" s="196" t="s">
        <v>230</v>
      </c>
      <c r="U42" s="196" t="s">
        <v>231</v>
      </c>
      <c r="V42" s="196" t="s">
        <v>232</v>
      </c>
      <c r="W42" s="196" t="s">
        <v>233</v>
      </c>
      <c r="X42" s="196" t="s">
        <v>234</v>
      </c>
      <c r="Y42" s="196" t="s">
        <v>235</v>
      </c>
      <c r="Z42" s="196" t="s">
        <v>236</v>
      </c>
      <c r="AA42" s="196" t="s">
        <v>237</v>
      </c>
      <c r="AB42" s="196" t="s">
        <v>238</v>
      </c>
      <c r="AC42" s="196" t="s">
        <v>239</v>
      </c>
      <c r="AD42" s="196" t="s">
        <v>240</v>
      </c>
      <c r="AE42" s="196" t="s">
        <v>241</v>
      </c>
      <c r="AF42" s="196" t="s">
        <v>242</v>
      </c>
      <c r="AG42" s="196" t="s">
        <v>243</v>
      </c>
      <c r="AH42" s="196" t="s">
        <v>244</v>
      </c>
      <c r="AI42" s="196" t="s">
        <v>245</v>
      </c>
      <c r="AJ42" s="196" t="s">
        <v>246</v>
      </c>
      <c r="AK42" s="196" t="s">
        <v>247</v>
      </c>
      <c r="AL42" s="196" t="s">
        <v>248</v>
      </c>
      <c r="AM42" s="196" t="s">
        <v>249</v>
      </c>
      <c r="AN42" s="196" t="s">
        <v>250</v>
      </c>
      <c r="AO42" s="196" t="s">
        <v>251</v>
      </c>
      <c r="AP42" s="196" t="e">
        <f>+#REF!</f>
        <v>#REF!</v>
      </c>
      <c r="AQ42" s="196" t="e">
        <f>+#REF!</f>
        <v>#REF!</v>
      </c>
      <c r="AR42" s="196" t="e">
        <f>+#REF!</f>
        <v>#REF!</v>
      </c>
      <c r="AS42" s="196" t="e">
        <f>+#REF!</f>
        <v>#REF!</v>
      </c>
      <c r="AT42" s="196" t="str">
        <f>+AT$6</f>
        <v>1Q15</v>
      </c>
      <c r="AU42" s="196" t="str">
        <f t="shared" ref="AU42:BI42" si="45">+AU$6</f>
        <v>2Q15</v>
      </c>
      <c r="AV42" s="196" t="str">
        <f t="shared" si="45"/>
        <v>3Q15</v>
      </c>
      <c r="AW42" s="196" t="str">
        <f t="shared" si="45"/>
        <v>4Q15</v>
      </c>
      <c r="AX42" s="196" t="str">
        <f t="shared" si="45"/>
        <v>1Q16</v>
      </c>
      <c r="AY42" s="196" t="str">
        <f t="shared" si="45"/>
        <v>2Q16</v>
      </c>
      <c r="AZ42" s="196" t="str">
        <f t="shared" si="45"/>
        <v>3Q16</v>
      </c>
      <c r="BA42" s="196" t="str">
        <f t="shared" si="45"/>
        <v>4Q16</v>
      </c>
      <c r="BB42" s="196" t="str">
        <f t="shared" si="45"/>
        <v>1Q17</v>
      </c>
      <c r="BC42" s="196" t="str">
        <f t="shared" si="45"/>
        <v>2Q17</v>
      </c>
      <c r="BD42" s="196" t="str">
        <f t="shared" si="45"/>
        <v>3Q17</v>
      </c>
      <c r="BE42" s="196" t="str">
        <f t="shared" si="45"/>
        <v>4Q17</v>
      </c>
      <c r="BF42" s="196" t="str">
        <f t="shared" si="45"/>
        <v>1Q18E</v>
      </c>
      <c r="BG42" s="196" t="str">
        <f t="shared" si="45"/>
        <v>2Q18E</v>
      </c>
      <c r="BH42" s="196" t="str">
        <f t="shared" si="45"/>
        <v>3Q18E</v>
      </c>
      <c r="BI42" s="197" t="str">
        <f t="shared" si="45"/>
        <v>4Q18E</v>
      </c>
    </row>
    <row r="43" spans="2:64">
      <c r="C43" s="247"/>
      <c r="J43" s="190"/>
      <c r="K43" s="190"/>
      <c r="L43" s="190"/>
      <c r="M43" s="190"/>
      <c r="N43" s="190"/>
      <c r="O43" s="190"/>
      <c r="P43" s="190"/>
      <c r="Q43" s="247"/>
      <c r="R43" s="177"/>
      <c r="S43" s="177"/>
      <c r="T43" s="177"/>
      <c r="U43" s="177"/>
      <c r="V43" s="177"/>
      <c r="W43" s="177"/>
      <c r="X43" s="177"/>
      <c r="Y43" s="177"/>
      <c r="Z43" s="177"/>
      <c r="AA43" s="177"/>
      <c r="AB43" s="177"/>
      <c r="AC43" s="177"/>
      <c r="AD43" s="177"/>
      <c r="AE43" s="177"/>
      <c r="AF43" s="177"/>
      <c r="AG43" s="177"/>
      <c r="AH43" s="177"/>
      <c r="AI43" s="177"/>
      <c r="AJ43" s="177"/>
      <c r="AK43" s="177"/>
      <c r="AL43" s="177"/>
      <c r="AM43" s="177"/>
      <c r="AN43" s="177"/>
      <c r="AO43" s="154"/>
      <c r="AP43" s="236"/>
      <c r="AQ43" s="236"/>
      <c r="AR43" s="236"/>
      <c r="AS43" s="236"/>
      <c r="AT43" s="236"/>
      <c r="AU43" s="236"/>
      <c r="AV43" s="236"/>
      <c r="AW43" s="236"/>
      <c r="AX43" s="236"/>
      <c r="AY43" s="236"/>
      <c r="AZ43" s="236"/>
      <c r="BA43" s="236"/>
      <c r="BB43" s="236"/>
      <c r="BC43" s="236"/>
      <c r="BD43" s="236"/>
      <c r="BE43" s="236"/>
    </row>
    <row r="44" spans="2:64" s="236" customFormat="1">
      <c r="B44" s="236" t="s">
        <v>293</v>
      </c>
      <c r="C44" s="247"/>
      <c r="D44" s="484">
        <v>9484</v>
      </c>
      <c r="E44" s="484">
        <v>11383</v>
      </c>
      <c r="F44" s="484">
        <v>12356</v>
      </c>
      <c r="G44" s="484">
        <v>12888</v>
      </c>
      <c r="H44" s="484">
        <v>13462</v>
      </c>
      <c r="I44" s="484">
        <v>13919</v>
      </c>
      <c r="J44" s="493">
        <v>14284.6</v>
      </c>
      <c r="K44" s="493">
        <v>14577.08</v>
      </c>
      <c r="L44" s="493">
        <v>14811.064</v>
      </c>
      <c r="M44" s="493">
        <v>14998.251200000001</v>
      </c>
      <c r="N44" s="493">
        <v>15148.000960000001</v>
      </c>
      <c r="O44" s="493">
        <v>15267.800768000001</v>
      </c>
      <c r="P44" s="493">
        <v>15363.640614400001</v>
      </c>
      <c r="Q44" s="492"/>
      <c r="R44" s="493">
        <v>-335</v>
      </c>
      <c r="S44" s="493">
        <v>-165</v>
      </c>
      <c r="T44" s="493">
        <v>67</v>
      </c>
      <c r="U44" s="493">
        <v>331</v>
      </c>
      <c r="V44" s="493">
        <v>615</v>
      </c>
      <c r="W44" s="493">
        <v>863</v>
      </c>
      <c r="X44" s="493">
        <v>1102</v>
      </c>
      <c r="Y44" s="493">
        <v>1350</v>
      </c>
      <c r="Z44" s="493">
        <v>1581</v>
      </c>
      <c r="AA44" s="493">
        <v>1836</v>
      </c>
      <c r="AB44" s="493">
        <v>2134</v>
      </c>
      <c r="AC44" s="493">
        <v>2482</v>
      </c>
      <c r="AD44" s="493">
        <v>2896</v>
      </c>
      <c r="AE44" s="493">
        <v>3335</v>
      </c>
      <c r="AF44" s="493">
        <v>3839</v>
      </c>
      <c r="AG44" s="493">
        <v>4426</v>
      </c>
      <c r="AH44" s="493">
        <v>5144</v>
      </c>
      <c r="AI44" s="493">
        <v>5697</v>
      </c>
      <c r="AJ44" s="493">
        <v>6310</v>
      </c>
      <c r="AK44" s="493">
        <v>6919</v>
      </c>
      <c r="AL44" s="493">
        <v>7650</v>
      </c>
      <c r="AM44" s="493">
        <v>8291</v>
      </c>
      <c r="AN44" s="493">
        <v>8946</v>
      </c>
      <c r="AO44" s="493">
        <v>9484</v>
      </c>
      <c r="AP44" s="424">
        <v>10040</v>
      </c>
      <c r="AQ44" s="424">
        <v>10463</v>
      </c>
      <c r="AR44" s="424">
        <v>11010</v>
      </c>
      <c r="AS44" s="424">
        <v>11383</v>
      </c>
      <c r="AT44" s="424">
        <v>11796</v>
      </c>
      <c r="AU44" s="424">
        <v>12013</v>
      </c>
      <c r="AV44" s="424">
        <v>12185</v>
      </c>
      <c r="AW44" s="424">
        <v>12356</v>
      </c>
      <c r="AX44" s="424">
        <v>12542</v>
      </c>
      <c r="AY44" s="424">
        <v>12596</v>
      </c>
      <c r="AZ44" s="424">
        <v>12752</v>
      </c>
      <c r="BA44" s="424">
        <v>12888</v>
      </c>
      <c r="BB44" s="424">
        <v>13130</v>
      </c>
      <c r="BC44" s="424">
        <v>13242</v>
      </c>
      <c r="BD44" s="424">
        <v>13367</v>
      </c>
      <c r="BE44" s="424">
        <v>13462</v>
      </c>
      <c r="BF44" s="424">
        <v>13587</v>
      </c>
      <c r="BG44" s="424">
        <v>13699</v>
      </c>
      <c r="BH44" s="424">
        <v>13824</v>
      </c>
      <c r="BI44" s="424">
        <v>13919</v>
      </c>
      <c r="BK44" s="294"/>
    </row>
    <row r="45" spans="2:64" s="236" customFormat="1">
      <c r="B45" s="236" t="s">
        <v>45</v>
      </c>
      <c r="C45" s="308"/>
      <c r="D45" s="484">
        <v>4827</v>
      </c>
      <c r="E45" s="484">
        <v>3059</v>
      </c>
      <c r="F45" s="484">
        <v>1930</v>
      </c>
      <c r="G45" s="484">
        <v>1291</v>
      </c>
      <c r="H45" s="484">
        <v>888</v>
      </c>
      <c r="I45" s="484">
        <v>585</v>
      </c>
      <c r="J45" s="493">
        <v>385.38851351351354</v>
      </c>
      <c r="K45" s="493">
        <v>253.88770315924035</v>
      </c>
      <c r="L45" s="493">
        <v>167.25710174341847</v>
      </c>
      <c r="M45" s="493">
        <v>110.18626635123852</v>
      </c>
      <c r="N45" s="493">
        <v>72.58892546787672</v>
      </c>
      <c r="O45" s="493">
        <v>47.82040698052689</v>
      </c>
      <c r="P45" s="493">
        <v>31.503308652711969</v>
      </c>
      <c r="Q45" s="494"/>
      <c r="R45" s="493">
        <v>12846</v>
      </c>
      <c r="S45" s="493">
        <v>12717</v>
      </c>
      <c r="T45" s="493">
        <v>12633</v>
      </c>
      <c r="U45" s="493">
        <v>12597</v>
      </c>
      <c r="V45" s="493">
        <v>12672</v>
      </c>
      <c r="W45" s="493">
        <v>12536</v>
      </c>
      <c r="X45" s="493">
        <v>12387</v>
      </c>
      <c r="Y45" s="493">
        <v>12290</v>
      </c>
      <c r="Z45" s="493">
        <v>12314</v>
      </c>
      <c r="AA45" s="493">
        <v>11967</v>
      </c>
      <c r="AB45" s="493">
        <v>11817</v>
      </c>
      <c r="AC45" s="493">
        <v>11679</v>
      </c>
      <c r="AD45" s="493">
        <v>11441</v>
      </c>
      <c r="AE45" s="493">
        <v>10990</v>
      </c>
      <c r="AF45" s="493">
        <v>10489</v>
      </c>
      <c r="AG45" s="493">
        <v>9853</v>
      </c>
      <c r="AH45" s="493">
        <v>9238</v>
      </c>
      <c r="AI45" s="493">
        <v>8589</v>
      </c>
      <c r="AJ45" s="493">
        <v>7934</v>
      </c>
      <c r="AK45" s="493">
        <v>7323</v>
      </c>
      <c r="AL45" s="493">
        <v>6716</v>
      </c>
      <c r="AM45" s="493">
        <v>6014</v>
      </c>
      <c r="AN45" s="493">
        <v>5333</v>
      </c>
      <c r="AO45" s="493">
        <v>4827</v>
      </c>
      <c r="AP45" s="424">
        <v>4380</v>
      </c>
      <c r="AQ45" s="424">
        <v>3932</v>
      </c>
      <c r="AR45" s="424">
        <v>3453</v>
      </c>
      <c r="AS45" s="424">
        <v>3059</v>
      </c>
      <c r="AT45" s="424">
        <v>2740</v>
      </c>
      <c r="AU45" s="424">
        <v>2416</v>
      </c>
      <c r="AV45" s="424">
        <v>2137</v>
      </c>
      <c r="AW45" s="424">
        <v>1930</v>
      </c>
      <c r="AX45" s="424">
        <v>1749</v>
      </c>
      <c r="AY45" s="424">
        <v>1585</v>
      </c>
      <c r="AZ45" s="424">
        <v>1424</v>
      </c>
      <c r="BA45" s="424">
        <v>1291</v>
      </c>
      <c r="BB45" s="424">
        <v>1164</v>
      </c>
      <c r="BC45" s="424">
        <v>1060</v>
      </c>
      <c r="BD45" s="424">
        <v>964</v>
      </c>
      <c r="BE45" s="424">
        <v>888</v>
      </c>
      <c r="BF45" s="424">
        <v>786</v>
      </c>
      <c r="BG45" s="424">
        <v>707</v>
      </c>
      <c r="BH45" s="424">
        <v>636</v>
      </c>
      <c r="BI45" s="424">
        <v>585</v>
      </c>
    </row>
    <row r="46" spans="2:64" s="252" customFormat="1" ht="15.75" thickBot="1">
      <c r="B46" s="347" t="s">
        <v>116</v>
      </c>
      <c r="C46" s="282"/>
      <c r="D46" s="354">
        <f t="shared" ref="D46:J46" si="46">SUM(D44:D45)</f>
        <v>14311</v>
      </c>
      <c r="E46" s="354">
        <f t="shared" si="46"/>
        <v>14442</v>
      </c>
      <c r="F46" s="354">
        <f t="shared" si="46"/>
        <v>14286</v>
      </c>
      <c r="G46" s="354">
        <f>SUM(G44:G45)</f>
        <v>14179</v>
      </c>
      <c r="H46" s="354">
        <f>SUM(H44:H45)</f>
        <v>14350</v>
      </c>
      <c r="I46" s="354">
        <f>SUM(I44:I45)</f>
        <v>14504</v>
      </c>
      <c r="J46" s="169">
        <f t="shared" si="46"/>
        <v>14669.988513513514</v>
      </c>
      <c r="K46" s="169">
        <f t="shared" ref="K46:P46" si="47">SUM(K44:K45)</f>
        <v>14830.96770315924</v>
      </c>
      <c r="L46" s="169">
        <f t="shared" si="47"/>
        <v>14978.321101743419</v>
      </c>
      <c r="M46" s="169">
        <f t="shared" si="47"/>
        <v>15108.437466351239</v>
      </c>
      <c r="N46" s="169">
        <f t="shared" si="47"/>
        <v>15220.589885467878</v>
      </c>
      <c r="O46" s="169">
        <f t="shared" si="47"/>
        <v>15315.621174980528</v>
      </c>
      <c r="P46" s="169">
        <f t="shared" si="47"/>
        <v>15395.143923052714</v>
      </c>
      <c r="Q46" s="282"/>
      <c r="R46" s="169">
        <f t="shared" ref="R46:BC46" si="48">SUM(R44:R45)</f>
        <v>12511</v>
      </c>
      <c r="S46" s="169">
        <f t="shared" si="48"/>
        <v>12552</v>
      </c>
      <c r="T46" s="169">
        <f t="shared" si="48"/>
        <v>12700</v>
      </c>
      <c r="U46" s="169">
        <f t="shared" si="48"/>
        <v>12928</v>
      </c>
      <c r="V46" s="169">
        <f t="shared" si="48"/>
        <v>13287</v>
      </c>
      <c r="W46" s="169">
        <f t="shared" si="48"/>
        <v>13399</v>
      </c>
      <c r="X46" s="169">
        <f t="shared" si="48"/>
        <v>13489</v>
      </c>
      <c r="Y46" s="169">
        <f t="shared" si="48"/>
        <v>13640</v>
      </c>
      <c r="Z46" s="169">
        <f t="shared" si="48"/>
        <v>13895</v>
      </c>
      <c r="AA46" s="169">
        <f t="shared" si="48"/>
        <v>13803</v>
      </c>
      <c r="AB46" s="169">
        <f t="shared" si="48"/>
        <v>13951</v>
      </c>
      <c r="AC46" s="169">
        <f t="shared" si="48"/>
        <v>14161</v>
      </c>
      <c r="AD46" s="169">
        <f t="shared" si="48"/>
        <v>14337</v>
      </c>
      <c r="AE46" s="169">
        <f t="shared" si="48"/>
        <v>14325</v>
      </c>
      <c r="AF46" s="169">
        <f t="shared" si="48"/>
        <v>14328</v>
      </c>
      <c r="AG46" s="169">
        <f t="shared" si="48"/>
        <v>14279</v>
      </c>
      <c r="AH46" s="169">
        <f t="shared" si="48"/>
        <v>14382</v>
      </c>
      <c r="AI46" s="169">
        <f t="shared" si="48"/>
        <v>14286</v>
      </c>
      <c r="AJ46" s="169">
        <f t="shared" si="48"/>
        <v>14244</v>
      </c>
      <c r="AK46" s="169">
        <f t="shared" si="48"/>
        <v>14242</v>
      </c>
      <c r="AL46" s="169">
        <f t="shared" si="48"/>
        <v>14366</v>
      </c>
      <c r="AM46" s="169">
        <f t="shared" si="48"/>
        <v>14305</v>
      </c>
      <c r="AN46" s="169">
        <f t="shared" si="48"/>
        <v>14279</v>
      </c>
      <c r="AO46" s="169">
        <f t="shared" si="48"/>
        <v>14311</v>
      </c>
      <c r="AP46" s="354">
        <f t="shared" si="48"/>
        <v>14420</v>
      </c>
      <c r="AQ46" s="354">
        <f t="shared" si="48"/>
        <v>14395</v>
      </c>
      <c r="AR46" s="354">
        <f t="shared" si="48"/>
        <v>14463</v>
      </c>
      <c r="AS46" s="354">
        <f t="shared" si="48"/>
        <v>14442</v>
      </c>
      <c r="AT46" s="354">
        <f t="shared" si="48"/>
        <v>14536</v>
      </c>
      <c r="AU46" s="354">
        <f t="shared" si="48"/>
        <v>14429</v>
      </c>
      <c r="AV46" s="354">
        <f t="shared" si="48"/>
        <v>14322</v>
      </c>
      <c r="AW46" s="354">
        <f t="shared" si="48"/>
        <v>14286</v>
      </c>
      <c r="AX46" s="354">
        <f t="shared" si="48"/>
        <v>14291</v>
      </c>
      <c r="AY46" s="354">
        <f t="shared" si="48"/>
        <v>14181</v>
      </c>
      <c r="AZ46" s="354">
        <f t="shared" si="48"/>
        <v>14176</v>
      </c>
      <c r="BA46" s="354">
        <f t="shared" si="48"/>
        <v>14179</v>
      </c>
      <c r="BB46" s="354">
        <f t="shared" si="48"/>
        <v>14294</v>
      </c>
      <c r="BC46" s="354">
        <f t="shared" si="48"/>
        <v>14302</v>
      </c>
      <c r="BD46" s="354">
        <f t="shared" ref="BD46:BE46" si="49">SUM(BD44:BD45)</f>
        <v>14331</v>
      </c>
      <c r="BE46" s="354">
        <f t="shared" si="49"/>
        <v>14350</v>
      </c>
      <c r="BF46" s="354">
        <f t="shared" ref="BF46:BI46" si="50">SUM(BF44:BF45)</f>
        <v>14373</v>
      </c>
      <c r="BG46" s="354">
        <f t="shared" si="50"/>
        <v>14406</v>
      </c>
      <c r="BH46" s="354">
        <f t="shared" si="50"/>
        <v>14460</v>
      </c>
      <c r="BI46" s="354">
        <f t="shared" si="50"/>
        <v>14504</v>
      </c>
    </row>
    <row r="47" spans="2:64" ht="15.75" thickTop="1">
      <c r="C47" s="247"/>
      <c r="J47" s="190"/>
      <c r="K47" s="190"/>
      <c r="L47" s="190"/>
      <c r="M47" s="190"/>
      <c r="N47" s="190"/>
      <c r="O47" s="190"/>
      <c r="P47" s="190"/>
      <c r="Q47" s="247"/>
      <c r="R47" s="177"/>
      <c r="S47" s="177"/>
      <c r="T47" s="177"/>
      <c r="U47" s="154"/>
      <c r="V47" s="154"/>
      <c r="W47" s="154"/>
      <c r="X47" s="154"/>
      <c r="Y47" s="154"/>
      <c r="Z47" s="154"/>
      <c r="AA47" s="154"/>
      <c r="AB47" s="154"/>
      <c r="AC47" s="154"/>
      <c r="AD47" s="154"/>
      <c r="AE47" s="154"/>
      <c r="AF47" s="154"/>
      <c r="AG47" s="154"/>
      <c r="AH47" s="154"/>
      <c r="AI47" s="154"/>
      <c r="AJ47" s="154"/>
      <c r="AK47" s="154"/>
      <c r="AL47" s="154"/>
      <c r="AM47" s="154"/>
      <c r="AN47" s="154"/>
      <c r="AO47" s="154"/>
      <c r="AP47" s="236"/>
      <c r="AQ47" s="236"/>
      <c r="AR47" s="236"/>
      <c r="AS47" s="236"/>
      <c r="AT47" s="236"/>
      <c r="AU47" s="236"/>
      <c r="AV47" s="236"/>
      <c r="AW47" s="236"/>
      <c r="AX47" s="236"/>
      <c r="AY47" s="236"/>
      <c r="AZ47" s="236"/>
      <c r="BA47" s="236"/>
      <c r="BB47" s="236"/>
      <c r="BC47" s="236"/>
      <c r="BD47" s="236"/>
      <c r="BE47" s="236"/>
    </row>
    <row r="48" spans="2:64" s="236" customFormat="1">
      <c r="B48" s="236" t="s">
        <v>293</v>
      </c>
      <c r="C48" s="308"/>
      <c r="D48" s="424">
        <v>2565</v>
      </c>
      <c r="E48" s="484">
        <v>1899</v>
      </c>
      <c r="F48" s="484">
        <v>973</v>
      </c>
      <c r="G48" s="484">
        <v>532</v>
      </c>
      <c r="H48" s="484">
        <v>574</v>
      </c>
      <c r="I48" s="484">
        <v>457</v>
      </c>
      <c r="J48" s="488">
        <v>365.6</v>
      </c>
      <c r="K48" s="488">
        <v>292.48</v>
      </c>
      <c r="L48" s="488">
        <v>233.98400000000004</v>
      </c>
      <c r="M48" s="488">
        <v>187.18720000000005</v>
      </c>
      <c r="N48" s="488">
        <v>149.74976000000004</v>
      </c>
      <c r="O48" s="488">
        <v>119.79980800000004</v>
      </c>
      <c r="P48" s="488">
        <v>95.839846400000042</v>
      </c>
      <c r="Q48" s="494"/>
      <c r="R48" s="493">
        <v>148</v>
      </c>
      <c r="S48" s="493">
        <v>170</v>
      </c>
      <c r="T48" s="493">
        <v>232</v>
      </c>
      <c r="U48" s="493">
        <v>264</v>
      </c>
      <c r="V48" s="493">
        <v>284</v>
      </c>
      <c r="W48" s="493">
        <v>248</v>
      </c>
      <c r="X48" s="493">
        <v>239</v>
      </c>
      <c r="Y48" s="493">
        <v>248</v>
      </c>
      <c r="Z48" s="493">
        <v>231</v>
      </c>
      <c r="AA48" s="493">
        <v>255</v>
      </c>
      <c r="AB48" s="493">
        <v>298</v>
      </c>
      <c r="AC48" s="493">
        <v>348</v>
      </c>
      <c r="AD48" s="493">
        <v>414</v>
      </c>
      <c r="AE48" s="493">
        <v>439</v>
      </c>
      <c r="AF48" s="493">
        <v>504</v>
      </c>
      <c r="AG48" s="493">
        <v>587</v>
      </c>
      <c r="AH48" s="493">
        <v>718</v>
      </c>
      <c r="AI48" s="493">
        <v>553</v>
      </c>
      <c r="AJ48" s="493">
        <v>613</v>
      </c>
      <c r="AK48" s="493">
        <v>609</v>
      </c>
      <c r="AL48" s="493">
        <v>731</v>
      </c>
      <c r="AM48" s="493">
        <v>641</v>
      </c>
      <c r="AN48" s="493">
        <v>655</v>
      </c>
      <c r="AO48" s="493">
        <v>538</v>
      </c>
      <c r="AP48" s="425">
        <v>556</v>
      </c>
      <c r="AQ48" s="425">
        <v>423</v>
      </c>
      <c r="AR48" s="425">
        <v>547</v>
      </c>
      <c r="AS48" s="425">
        <v>373</v>
      </c>
      <c r="AT48" s="425">
        <v>413</v>
      </c>
      <c r="AU48" s="425">
        <v>217</v>
      </c>
      <c r="AV48" s="425">
        <v>172</v>
      </c>
      <c r="AW48" s="425">
        <v>171</v>
      </c>
      <c r="AX48" s="425">
        <v>186</v>
      </c>
      <c r="AY48" s="425">
        <v>54</v>
      </c>
      <c r="AZ48" s="425">
        <v>156</v>
      </c>
      <c r="BA48" s="425">
        <v>136</v>
      </c>
      <c r="BB48" s="425">
        <v>242</v>
      </c>
      <c r="BC48" s="425">
        <v>112</v>
      </c>
      <c r="BD48" s="425">
        <v>125</v>
      </c>
      <c r="BE48" s="425">
        <v>95</v>
      </c>
      <c r="BF48" s="488">
        <v>125</v>
      </c>
      <c r="BG48" s="488">
        <v>112</v>
      </c>
      <c r="BH48" s="488">
        <v>125</v>
      </c>
      <c r="BI48" s="488">
        <v>95</v>
      </c>
    </row>
    <row r="49" spans="2:63" s="236" customFormat="1">
      <c r="B49" s="236" t="s">
        <v>45</v>
      </c>
      <c r="C49" s="275"/>
      <c r="D49" s="424">
        <v>-2496</v>
      </c>
      <c r="E49" s="484">
        <v>-1768</v>
      </c>
      <c r="F49" s="484">
        <v>-1130</v>
      </c>
      <c r="G49" s="484">
        <v>-639</v>
      </c>
      <c r="H49" s="484">
        <v>-403</v>
      </c>
      <c r="I49" s="484">
        <v>-303</v>
      </c>
      <c r="J49" s="488">
        <v>-199.61148648648648</v>
      </c>
      <c r="K49" s="488">
        <v>-131.5008103542732</v>
      </c>
      <c r="L49" s="488">
        <v>-86.630601415821872</v>
      </c>
      <c r="M49" s="488">
        <v>-57.070835392179951</v>
      </c>
      <c r="N49" s="488">
        <v>-37.597340883361795</v>
      </c>
      <c r="O49" s="488">
        <v>-24.76851848734983</v>
      </c>
      <c r="P49" s="488">
        <v>-16.317098327814922</v>
      </c>
      <c r="Q49" s="495"/>
      <c r="R49" s="493">
        <v>338</v>
      </c>
      <c r="S49" s="493">
        <v>-129</v>
      </c>
      <c r="T49" s="493">
        <v>-84</v>
      </c>
      <c r="U49" s="493">
        <v>-36</v>
      </c>
      <c r="V49" s="493">
        <v>75</v>
      </c>
      <c r="W49" s="493">
        <v>-136</v>
      </c>
      <c r="X49" s="493">
        <v>-149</v>
      </c>
      <c r="Y49" s="493">
        <v>-97</v>
      </c>
      <c r="Z49" s="493">
        <v>24</v>
      </c>
      <c r="AA49" s="493">
        <v>-347</v>
      </c>
      <c r="AB49" s="493">
        <v>-150</v>
      </c>
      <c r="AC49" s="493">
        <v>-138</v>
      </c>
      <c r="AD49" s="493">
        <v>-238</v>
      </c>
      <c r="AE49" s="493">
        <v>-451</v>
      </c>
      <c r="AF49" s="493">
        <v>-501</v>
      </c>
      <c r="AG49" s="493">
        <v>-636</v>
      </c>
      <c r="AH49" s="493">
        <v>-615</v>
      </c>
      <c r="AI49" s="493">
        <v>-649</v>
      </c>
      <c r="AJ49" s="493">
        <v>-655</v>
      </c>
      <c r="AK49" s="493">
        <v>-611</v>
      </c>
      <c r="AL49" s="493">
        <v>-607</v>
      </c>
      <c r="AM49" s="493">
        <v>-702</v>
      </c>
      <c r="AN49" s="493">
        <v>-681</v>
      </c>
      <c r="AO49" s="493">
        <v>-506</v>
      </c>
      <c r="AP49" s="425">
        <v>-447</v>
      </c>
      <c r="AQ49" s="425">
        <v>-448</v>
      </c>
      <c r="AR49" s="425">
        <v>-479</v>
      </c>
      <c r="AS49" s="425">
        <v>-394</v>
      </c>
      <c r="AT49" s="425">
        <v>-319</v>
      </c>
      <c r="AU49" s="425">
        <v>-324</v>
      </c>
      <c r="AV49" s="425">
        <v>-279</v>
      </c>
      <c r="AW49" s="425">
        <v>-208</v>
      </c>
      <c r="AX49" s="425">
        <v>-181</v>
      </c>
      <c r="AY49" s="425">
        <v>-164</v>
      </c>
      <c r="AZ49" s="425">
        <v>-161</v>
      </c>
      <c r="BA49" s="425">
        <v>-133</v>
      </c>
      <c r="BB49" s="425">
        <v>-127</v>
      </c>
      <c r="BC49" s="425">
        <v>-104</v>
      </c>
      <c r="BD49" s="425">
        <v>-96</v>
      </c>
      <c r="BE49" s="425">
        <v>-76</v>
      </c>
      <c r="BF49" s="488">
        <v>-102</v>
      </c>
      <c r="BG49" s="488">
        <v>-79</v>
      </c>
      <c r="BH49" s="488">
        <v>-71</v>
      </c>
      <c r="BI49" s="488">
        <v>-51</v>
      </c>
    </row>
    <row r="50" spans="2:63" s="252" customFormat="1" ht="15.75" thickBot="1">
      <c r="B50" s="347" t="s">
        <v>295</v>
      </c>
      <c r="C50" s="247"/>
      <c r="D50" s="354">
        <f t="shared" ref="D50:P50" si="51">SUM(D48:D49)</f>
        <v>69</v>
      </c>
      <c r="E50" s="354">
        <f t="shared" si="51"/>
        <v>131</v>
      </c>
      <c r="F50" s="354">
        <f t="shared" si="51"/>
        <v>-157</v>
      </c>
      <c r="G50" s="354">
        <f>SUM(G48:G49)</f>
        <v>-107</v>
      </c>
      <c r="H50" s="354">
        <f>SUM(H48:H49)</f>
        <v>171</v>
      </c>
      <c r="I50" s="354">
        <f>SUM(I48:I49)</f>
        <v>154</v>
      </c>
      <c r="J50" s="169">
        <f t="shared" si="51"/>
        <v>165.98851351351354</v>
      </c>
      <c r="K50" s="169">
        <f t="shared" si="51"/>
        <v>160.97918964572682</v>
      </c>
      <c r="L50" s="169">
        <f t="shared" si="51"/>
        <v>147.35339858417817</v>
      </c>
      <c r="M50" s="169">
        <f t="shared" si="51"/>
        <v>130.11636460782009</v>
      </c>
      <c r="N50" s="169">
        <f t="shared" si="51"/>
        <v>112.15241911663824</v>
      </c>
      <c r="O50" s="169">
        <f t="shared" si="51"/>
        <v>95.031289512650204</v>
      </c>
      <c r="P50" s="169">
        <f t="shared" si="51"/>
        <v>79.522748072185124</v>
      </c>
      <c r="Q50" s="247"/>
      <c r="R50" s="169">
        <f t="shared" ref="R50:BC50" si="52">SUM(R48:R49)</f>
        <v>486</v>
      </c>
      <c r="S50" s="169">
        <f t="shared" si="52"/>
        <v>41</v>
      </c>
      <c r="T50" s="169">
        <f t="shared" si="52"/>
        <v>148</v>
      </c>
      <c r="U50" s="169">
        <f t="shared" si="52"/>
        <v>228</v>
      </c>
      <c r="V50" s="169">
        <f t="shared" si="52"/>
        <v>359</v>
      </c>
      <c r="W50" s="169">
        <f t="shared" si="52"/>
        <v>112</v>
      </c>
      <c r="X50" s="169">
        <f t="shared" si="52"/>
        <v>90</v>
      </c>
      <c r="Y50" s="169">
        <f t="shared" si="52"/>
        <v>151</v>
      </c>
      <c r="Z50" s="169">
        <f t="shared" si="52"/>
        <v>255</v>
      </c>
      <c r="AA50" s="169">
        <f t="shared" si="52"/>
        <v>-92</v>
      </c>
      <c r="AB50" s="169">
        <f t="shared" si="52"/>
        <v>148</v>
      </c>
      <c r="AC50" s="169">
        <f t="shared" si="52"/>
        <v>210</v>
      </c>
      <c r="AD50" s="169">
        <f t="shared" si="52"/>
        <v>176</v>
      </c>
      <c r="AE50" s="169">
        <f t="shared" si="52"/>
        <v>-12</v>
      </c>
      <c r="AF50" s="169">
        <f t="shared" si="52"/>
        <v>3</v>
      </c>
      <c r="AG50" s="169">
        <f t="shared" si="52"/>
        <v>-49</v>
      </c>
      <c r="AH50" s="169">
        <f t="shared" si="52"/>
        <v>103</v>
      </c>
      <c r="AI50" s="169">
        <f t="shared" si="52"/>
        <v>-96</v>
      </c>
      <c r="AJ50" s="169">
        <f t="shared" si="52"/>
        <v>-42</v>
      </c>
      <c r="AK50" s="169">
        <f t="shared" si="52"/>
        <v>-2</v>
      </c>
      <c r="AL50" s="169">
        <f t="shared" si="52"/>
        <v>124</v>
      </c>
      <c r="AM50" s="169">
        <f t="shared" si="52"/>
        <v>-61</v>
      </c>
      <c r="AN50" s="169">
        <f t="shared" si="52"/>
        <v>-26</v>
      </c>
      <c r="AO50" s="169">
        <f t="shared" si="52"/>
        <v>32</v>
      </c>
      <c r="AP50" s="354">
        <f t="shared" si="52"/>
        <v>109</v>
      </c>
      <c r="AQ50" s="354">
        <f t="shared" si="52"/>
        <v>-25</v>
      </c>
      <c r="AR50" s="354">
        <f t="shared" si="52"/>
        <v>68</v>
      </c>
      <c r="AS50" s="354">
        <f t="shared" si="52"/>
        <v>-21</v>
      </c>
      <c r="AT50" s="354">
        <f t="shared" si="52"/>
        <v>94</v>
      </c>
      <c r="AU50" s="354">
        <f t="shared" si="52"/>
        <v>-107</v>
      </c>
      <c r="AV50" s="354">
        <f t="shared" si="52"/>
        <v>-107</v>
      </c>
      <c r="AW50" s="354">
        <f t="shared" si="52"/>
        <v>-37</v>
      </c>
      <c r="AX50" s="354">
        <f t="shared" si="52"/>
        <v>5</v>
      </c>
      <c r="AY50" s="354">
        <f t="shared" si="52"/>
        <v>-110</v>
      </c>
      <c r="AZ50" s="354">
        <f t="shared" si="52"/>
        <v>-5</v>
      </c>
      <c r="BA50" s="354">
        <f t="shared" si="52"/>
        <v>3</v>
      </c>
      <c r="BB50" s="354">
        <f t="shared" si="52"/>
        <v>115</v>
      </c>
      <c r="BC50" s="354">
        <f t="shared" si="52"/>
        <v>8</v>
      </c>
      <c r="BD50" s="354">
        <f t="shared" ref="BD50:BE50" si="53">SUM(BD48:BD49)</f>
        <v>29</v>
      </c>
      <c r="BE50" s="354">
        <f t="shared" si="53"/>
        <v>19</v>
      </c>
      <c r="BF50" s="354">
        <f t="shared" ref="BF50:BI50" si="54">SUM(BF48:BF49)</f>
        <v>23</v>
      </c>
      <c r="BG50" s="354">
        <f t="shared" si="54"/>
        <v>33</v>
      </c>
      <c r="BH50" s="354">
        <f t="shared" si="54"/>
        <v>54</v>
      </c>
      <c r="BI50" s="354">
        <f t="shared" si="54"/>
        <v>44</v>
      </c>
      <c r="BK50" s="236"/>
    </row>
    <row r="51" spans="2:63" ht="16.5" thickTop="1" thickBot="1">
      <c r="C51" s="356"/>
      <c r="J51" s="190"/>
      <c r="K51" s="190"/>
      <c r="L51" s="190"/>
      <c r="M51" s="190"/>
      <c r="N51" s="190"/>
      <c r="O51" s="190"/>
      <c r="P51" s="190"/>
      <c r="Q51" s="356"/>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row>
    <row r="52" spans="2:63" s="251" customFormat="1" ht="15.75" thickBot="1">
      <c r="B52" s="194" t="s">
        <v>481</v>
      </c>
      <c r="C52" s="276"/>
      <c r="D52" s="195">
        <f>+D$6</f>
        <v>2013</v>
      </c>
      <c r="E52" s="196">
        <f t="shared" ref="E52:P52" si="55">+E$6</f>
        <v>2014</v>
      </c>
      <c r="F52" s="196">
        <f t="shared" si="55"/>
        <v>2015</v>
      </c>
      <c r="G52" s="196">
        <f t="shared" si="55"/>
        <v>2016</v>
      </c>
      <c r="H52" s="196">
        <f t="shared" si="55"/>
        <v>2017</v>
      </c>
      <c r="I52" s="196" t="str">
        <f t="shared" si="55"/>
        <v>2018E</v>
      </c>
      <c r="J52" s="196" t="str">
        <f t="shared" si="55"/>
        <v>2019E</v>
      </c>
      <c r="K52" s="196" t="str">
        <f t="shared" si="55"/>
        <v>2020E</v>
      </c>
      <c r="L52" s="196" t="str">
        <f t="shared" si="55"/>
        <v>2021E</v>
      </c>
      <c r="M52" s="196" t="str">
        <f t="shared" si="55"/>
        <v>2022E</v>
      </c>
      <c r="N52" s="196" t="str">
        <f t="shared" si="55"/>
        <v>2023E</v>
      </c>
      <c r="O52" s="196" t="str">
        <f t="shared" si="55"/>
        <v>2024E</v>
      </c>
      <c r="P52" s="197" t="str">
        <f t="shared" si="55"/>
        <v>2025E</v>
      </c>
      <c r="Q52" s="241"/>
      <c r="R52" s="196" t="s">
        <v>228</v>
      </c>
      <c r="S52" s="196" t="s">
        <v>229</v>
      </c>
      <c r="T52" s="196" t="s">
        <v>230</v>
      </c>
      <c r="U52" s="196" t="s">
        <v>231</v>
      </c>
      <c r="V52" s="196" t="s">
        <v>232</v>
      </c>
      <c r="W52" s="196" t="s">
        <v>233</v>
      </c>
      <c r="X52" s="196" t="s">
        <v>234</v>
      </c>
      <c r="Y52" s="196" t="s">
        <v>235</v>
      </c>
      <c r="Z52" s="196" t="s">
        <v>236</v>
      </c>
      <c r="AA52" s="196" t="s">
        <v>237</v>
      </c>
      <c r="AB52" s="196" t="s">
        <v>238</v>
      </c>
      <c r="AC52" s="196" t="s">
        <v>239</v>
      </c>
      <c r="AD52" s="196" t="s">
        <v>240</v>
      </c>
      <c r="AE52" s="196" t="s">
        <v>241</v>
      </c>
      <c r="AF52" s="196" t="s">
        <v>242</v>
      </c>
      <c r="AG52" s="196" t="s">
        <v>243</v>
      </c>
      <c r="AH52" s="196" t="s">
        <v>244</v>
      </c>
      <c r="AI52" s="196" t="s">
        <v>245</v>
      </c>
      <c r="AJ52" s="196" t="s">
        <v>246</v>
      </c>
      <c r="AK52" s="196" t="s">
        <v>247</v>
      </c>
      <c r="AL52" s="196" t="s">
        <v>248</v>
      </c>
      <c r="AM52" s="196" t="s">
        <v>249</v>
      </c>
      <c r="AN52" s="196" t="s">
        <v>250</v>
      </c>
      <c r="AO52" s="196" t="s">
        <v>251</v>
      </c>
      <c r="AP52" s="196">
        <f>+AP30</f>
        <v>194</v>
      </c>
      <c r="AQ52" s="196">
        <f>+AQ30</f>
        <v>185</v>
      </c>
      <c r="AR52" s="196">
        <f>+AR30</f>
        <v>212</v>
      </c>
      <c r="AS52" s="196">
        <f>+AS30</f>
        <v>72</v>
      </c>
      <c r="AT52" s="196" t="str">
        <f>+AT$6</f>
        <v>1Q15</v>
      </c>
      <c r="AU52" s="196" t="str">
        <f t="shared" ref="AU52:BI52" si="56">+AU$6</f>
        <v>2Q15</v>
      </c>
      <c r="AV52" s="196" t="str">
        <f t="shared" si="56"/>
        <v>3Q15</v>
      </c>
      <c r="AW52" s="196" t="str">
        <f t="shared" si="56"/>
        <v>4Q15</v>
      </c>
      <c r="AX52" s="196" t="str">
        <f t="shared" si="56"/>
        <v>1Q16</v>
      </c>
      <c r="AY52" s="196" t="str">
        <f t="shared" si="56"/>
        <v>2Q16</v>
      </c>
      <c r="AZ52" s="196" t="str">
        <f t="shared" si="56"/>
        <v>3Q16</v>
      </c>
      <c r="BA52" s="196" t="str">
        <f t="shared" si="56"/>
        <v>4Q16</v>
      </c>
      <c r="BB52" s="196" t="str">
        <f t="shared" si="56"/>
        <v>1Q17</v>
      </c>
      <c r="BC52" s="196" t="str">
        <f t="shared" si="56"/>
        <v>2Q17</v>
      </c>
      <c r="BD52" s="196" t="str">
        <f t="shared" si="56"/>
        <v>3Q17</v>
      </c>
      <c r="BE52" s="196" t="str">
        <f t="shared" si="56"/>
        <v>4Q17</v>
      </c>
      <c r="BF52" s="196" t="str">
        <f t="shared" si="56"/>
        <v>1Q18E</v>
      </c>
      <c r="BG52" s="196" t="str">
        <f t="shared" si="56"/>
        <v>2Q18E</v>
      </c>
      <c r="BH52" s="196" t="str">
        <f t="shared" si="56"/>
        <v>3Q18E</v>
      </c>
      <c r="BI52" s="197" t="str">
        <f t="shared" si="56"/>
        <v>4Q18E</v>
      </c>
    </row>
    <row r="53" spans="2:63">
      <c r="J53" s="190"/>
      <c r="K53" s="190"/>
      <c r="L53" s="190"/>
      <c r="M53" s="190"/>
      <c r="N53" s="190"/>
      <c r="O53" s="190"/>
      <c r="P53" s="190"/>
    </row>
    <row r="54" spans="2:63" s="247" customFormat="1">
      <c r="B54" s="247" t="s">
        <v>294</v>
      </c>
      <c r="C54" s="266"/>
      <c r="D54" s="496">
        <v>15714</v>
      </c>
      <c r="E54" s="496">
        <v>14002</v>
      </c>
      <c r="F54" s="496">
        <v>12498</v>
      </c>
      <c r="G54" s="496">
        <v>11278</v>
      </c>
      <c r="H54" s="496">
        <v>9996</v>
      </c>
      <c r="I54" s="496">
        <v>8996.4</v>
      </c>
      <c r="J54" s="497">
        <v>8105.7563999999993</v>
      </c>
      <c r="K54" s="497">
        <v>7311.3922727999989</v>
      </c>
      <c r="L54" s="497">
        <v>6602.187222338398</v>
      </c>
      <c r="M54" s="497">
        <v>5968.3772489939111</v>
      </c>
      <c r="N54" s="497">
        <v>5401.3814103394889</v>
      </c>
      <c r="O54" s="497">
        <v>4893.6515577675764</v>
      </c>
      <c r="P54" s="497">
        <v>4438.5419628951913</v>
      </c>
      <c r="Q54" s="486"/>
      <c r="R54" s="492"/>
      <c r="S54" s="492"/>
      <c r="T54" s="492"/>
      <c r="U54" s="492"/>
      <c r="V54" s="492"/>
      <c r="W54" s="492"/>
      <c r="X54" s="492"/>
      <c r="Y54" s="492"/>
      <c r="Z54" s="492"/>
      <c r="AA54" s="492"/>
      <c r="AB54" s="492"/>
      <c r="AC54" s="492"/>
      <c r="AD54" s="492"/>
      <c r="AE54" s="492"/>
      <c r="AF54" s="492"/>
      <c r="AG54" s="492"/>
      <c r="AH54" s="492"/>
      <c r="AI54" s="492"/>
      <c r="AJ54" s="492"/>
      <c r="AK54" s="492"/>
      <c r="AL54" s="492"/>
      <c r="AM54" s="492"/>
      <c r="AN54" s="492"/>
      <c r="AO54" s="492">
        <v>15714</v>
      </c>
      <c r="AP54" s="492">
        <v>15248</v>
      </c>
      <c r="AQ54" s="492">
        <v>14801</v>
      </c>
      <c r="AR54" s="492">
        <v>14381</v>
      </c>
      <c r="AS54" s="492">
        <v>14002</v>
      </c>
      <c r="AT54" s="492">
        <v>13669</v>
      </c>
      <c r="AU54" s="492">
        <v>13312</v>
      </c>
      <c r="AV54" s="492">
        <v>12891</v>
      </c>
      <c r="AW54" s="492">
        <v>12498</v>
      </c>
      <c r="AX54" s="492">
        <v>12113</v>
      </c>
      <c r="AY54" s="492">
        <v>11815</v>
      </c>
      <c r="AZ54" s="492">
        <v>11533</v>
      </c>
      <c r="BA54" s="492">
        <v>11278</v>
      </c>
      <c r="BB54" s="492">
        <v>11003</v>
      </c>
      <c r="BC54" s="492">
        <v>10696</v>
      </c>
      <c r="BD54" s="492">
        <v>10333</v>
      </c>
      <c r="BE54" s="492">
        <v>9996</v>
      </c>
      <c r="BF54" s="492">
        <v>9902.7000000000007</v>
      </c>
      <c r="BG54" s="492">
        <v>9626.4</v>
      </c>
      <c r="BH54" s="492">
        <v>9299.7000000000007</v>
      </c>
      <c r="BI54" s="492">
        <v>8996.4</v>
      </c>
      <c r="BK54" s="236"/>
    </row>
    <row r="55" spans="2:63" s="247" customFormat="1">
      <c r="B55" s="307" t="s">
        <v>117</v>
      </c>
      <c r="C55" s="266"/>
      <c r="D55" s="357"/>
      <c r="E55" s="357">
        <f t="shared" ref="E55:P55" si="57">+E54-D54</f>
        <v>-1712</v>
      </c>
      <c r="F55" s="357">
        <f t="shared" si="57"/>
        <v>-1504</v>
      </c>
      <c r="G55" s="357">
        <f t="shared" si="57"/>
        <v>-1220</v>
      </c>
      <c r="H55" s="357">
        <f t="shared" si="57"/>
        <v>-1282</v>
      </c>
      <c r="I55" s="357">
        <f t="shared" si="57"/>
        <v>-999.60000000000036</v>
      </c>
      <c r="J55" s="193">
        <f t="shared" si="57"/>
        <v>-890.64360000000033</v>
      </c>
      <c r="K55" s="193">
        <f t="shared" si="57"/>
        <v>-794.36412720000044</v>
      </c>
      <c r="L55" s="193">
        <f t="shared" si="57"/>
        <v>-709.20505046160088</v>
      </c>
      <c r="M55" s="193">
        <f t="shared" si="57"/>
        <v>-633.80997334448693</v>
      </c>
      <c r="N55" s="193">
        <f t="shared" si="57"/>
        <v>-566.99583865442219</v>
      </c>
      <c r="O55" s="193">
        <f t="shared" si="57"/>
        <v>-507.72985257191249</v>
      </c>
      <c r="P55" s="193">
        <f t="shared" si="57"/>
        <v>-455.10959487238506</v>
      </c>
      <c r="Q55" s="266"/>
      <c r="AO55" s="351"/>
      <c r="AP55" s="358">
        <f>+AP54-AO54</f>
        <v>-466</v>
      </c>
      <c r="AQ55" s="358">
        <f t="shared" ref="AQ55:BE55" si="58">+AQ54-AP54</f>
        <v>-447</v>
      </c>
      <c r="AR55" s="358">
        <f t="shared" si="58"/>
        <v>-420</v>
      </c>
      <c r="AS55" s="358">
        <f t="shared" si="58"/>
        <v>-379</v>
      </c>
      <c r="AT55" s="358">
        <f t="shared" si="58"/>
        <v>-333</v>
      </c>
      <c r="AU55" s="358">
        <f t="shared" si="58"/>
        <v>-357</v>
      </c>
      <c r="AV55" s="358">
        <f t="shared" si="58"/>
        <v>-421</v>
      </c>
      <c r="AW55" s="358">
        <f t="shared" si="58"/>
        <v>-393</v>
      </c>
      <c r="AX55" s="358">
        <f t="shared" si="58"/>
        <v>-385</v>
      </c>
      <c r="AY55" s="358">
        <f t="shared" si="58"/>
        <v>-298</v>
      </c>
      <c r="AZ55" s="358">
        <f t="shared" si="58"/>
        <v>-282</v>
      </c>
      <c r="BA55" s="358">
        <f t="shared" si="58"/>
        <v>-255</v>
      </c>
      <c r="BB55" s="358">
        <f t="shared" si="58"/>
        <v>-275</v>
      </c>
      <c r="BC55" s="358">
        <f t="shared" si="58"/>
        <v>-307</v>
      </c>
      <c r="BD55" s="358">
        <f t="shared" si="58"/>
        <v>-363</v>
      </c>
      <c r="BE55" s="358">
        <f t="shared" si="58"/>
        <v>-337</v>
      </c>
      <c r="BF55" s="358">
        <f t="shared" ref="BF55" si="59">+BF54-BE54</f>
        <v>-93.299999999999272</v>
      </c>
      <c r="BG55" s="358">
        <f t="shared" ref="BG55" si="60">+BG54-BF54</f>
        <v>-276.30000000000109</v>
      </c>
      <c r="BH55" s="358">
        <f t="shared" ref="BH55" si="61">+BH54-BG54</f>
        <v>-326.69999999999891</v>
      </c>
      <c r="BI55" s="358">
        <f t="shared" ref="BI55" si="62">+BI54-BH54</f>
        <v>-303.30000000000109</v>
      </c>
      <c r="BK55" s="236"/>
    </row>
    <row r="56" spans="2:63" s="268" customFormat="1">
      <c r="B56" s="280" t="s">
        <v>252</v>
      </c>
      <c r="C56" s="266"/>
      <c r="D56" s="343"/>
      <c r="E56" s="248">
        <f>+E54/D54-1</f>
        <v>-0.10894743540791652</v>
      </c>
      <c r="F56" s="248">
        <f>+F54/E54-1</f>
        <v>-0.10741322668190256</v>
      </c>
      <c r="G56" s="248">
        <f>+G54/F54-1</f>
        <v>-9.7615618498959833E-2</v>
      </c>
      <c r="H56" s="248">
        <f>+H54/G54-1</f>
        <v>-0.11367263699237451</v>
      </c>
      <c r="I56" s="248">
        <f>+I54/H54-1</f>
        <v>-0.10000000000000009</v>
      </c>
      <c r="J56" s="506">
        <v>-9.9000000000000088E-2</v>
      </c>
      <c r="K56" s="506">
        <v>-9.8000000000000087E-2</v>
      </c>
      <c r="L56" s="506">
        <v>-9.7000000000000086E-2</v>
      </c>
      <c r="M56" s="506">
        <v>-9.6000000000000085E-2</v>
      </c>
      <c r="N56" s="506">
        <v>-9.5000000000000084E-2</v>
      </c>
      <c r="O56" s="506">
        <v>-9.4000000000000083E-2</v>
      </c>
      <c r="P56" s="506">
        <v>-9.3000000000000083E-2</v>
      </c>
      <c r="Q56" s="266"/>
      <c r="AS56" s="248">
        <f t="shared" ref="AS56:BE56" si="63">+AS54/AO54-1</f>
        <v>-0.10894743540791652</v>
      </c>
      <c r="AT56" s="248">
        <f t="shared" si="63"/>
        <v>-0.10355456453305356</v>
      </c>
      <c r="AU56" s="248">
        <f t="shared" si="63"/>
        <v>-0.10060131072224854</v>
      </c>
      <c r="AV56" s="248">
        <f t="shared" si="63"/>
        <v>-0.10360892844725678</v>
      </c>
      <c r="AW56" s="248">
        <f t="shared" si="63"/>
        <v>-0.10741322668190256</v>
      </c>
      <c r="AX56" s="248">
        <f t="shared" si="63"/>
        <v>-0.11383422342526883</v>
      </c>
      <c r="AY56" s="248">
        <f t="shared" si="63"/>
        <v>-0.11245492788461542</v>
      </c>
      <c r="AZ56" s="248">
        <f t="shared" si="63"/>
        <v>-0.10534481421146535</v>
      </c>
      <c r="BA56" s="248">
        <f t="shared" si="63"/>
        <v>-9.7615618498959833E-2</v>
      </c>
      <c r="BB56" s="248">
        <f t="shared" si="63"/>
        <v>-9.1637084124494339E-2</v>
      </c>
      <c r="BC56" s="248">
        <f t="shared" si="63"/>
        <v>-9.4710114261531975E-2</v>
      </c>
      <c r="BD56" s="248">
        <f t="shared" si="63"/>
        <v>-0.1040492499783231</v>
      </c>
      <c r="BE56" s="248">
        <f t="shared" si="63"/>
        <v>-0.11367263699237451</v>
      </c>
      <c r="BF56" s="506">
        <v>-0.1</v>
      </c>
      <c r="BG56" s="506">
        <v>-0.1</v>
      </c>
      <c r="BH56" s="506">
        <v>-0.1</v>
      </c>
      <c r="BI56" s="506">
        <v>-0.1</v>
      </c>
    </row>
    <row r="57" spans="2:63">
      <c r="J57" s="190"/>
      <c r="K57" s="190"/>
      <c r="L57" s="190"/>
      <c r="M57" s="190"/>
      <c r="N57" s="190"/>
      <c r="O57" s="190"/>
      <c r="P57" s="190"/>
    </row>
    <row r="58" spans="2:63">
      <c r="B58" s="235" t="s">
        <v>405</v>
      </c>
      <c r="D58" s="295">
        <f t="shared" ref="D58:P58" si="64">+D45</f>
        <v>4827</v>
      </c>
      <c r="E58" s="295">
        <f t="shared" si="64"/>
        <v>3059</v>
      </c>
      <c r="F58" s="295">
        <f t="shared" si="64"/>
        <v>1930</v>
      </c>
      <c r="G58" s="295">
        <f t="shared" si="64"/>
        <v>1291</v>
      </c>
      <c r="H58" s="295">
        <f t="shared" si="64"/>
        <v>888</v>
      </c>
      <c r="I58" s="295">
        <f t="shared" ref="I58" si="65">+I45</f>
        <v>585</v>
      </c>
      <c r="J58" s="191">
        <f t="shared" si="64"/>
        <v>385.38851351351354</v>
      </c>
      <c r="K58" s="191">
        <f t="shared" si="64"/>
        <v>253.88770315924035</v>
      </c>
      <c r="L58" s="191">
        <f t="shared" si="64"/>
        <v>167.25710174341847</v>
      </c>
      <c r="M58" s="191">
        <f t="shared" si="64"/>
        <v>110.18626635123852</v>
      </c>
      <c r="N58" s="191">
        <f t="shared" si="64"/>
        <v>72.58892546787672</v>
      </c>
      <c r="O58" s="191">
        <f t="shared" si="64"/>
        <v>47.82040698052689</v>
      </c>
      <c r="P58" s="191">
        <f t="shared" si="64"/>
        <v>31.503308652711969</v>
      </c>
      <c r="AO58" s="236">
        <f t="shared" ref="AO58:BC58" si="66">+AO45</f>
        <v>4827</v>
      </c>
      <c r="AP58" s="236">
        <f t="shared" si="66"/>
        <v>4380</v>
      </c>
      <c r="AQ58" s="236">
        <f t="shared" si="66"/>
        <v>3932</v>
      </c>
      <c r="AR58" s="236">
        <f t="shared" si="66"/>
        <v>3453</v>
      </c>
      <c r="AS58" s="236">
        <f t="shared" si="66"/>
        <v>3059</v>
      </c>
      <c r="AT58" s="236">
        <f t="shared" si="66"/>
        <v>2740</v>
      </c>
      <c r="AU58" s="236">
        <f t="shared" si="66"/>
        <v>2416</v>
      </c>
      <c r="AV58" s="236">
        <f t="shared" si="66"/>
        <v>2137</v>
      </c>
      <c r="AW58" s="236">
        <f t="shared" si="66"/>
        <v>1930</v>
      </c>
      <c r="AX58" s="236">
        <f t="shared" si="66"/>
        <v>1749</v>
      </c>
      <c r="AY58" s="236">
        <f t="shared" si="66"/>
        <v>1585</v>
      </c>
      <c r="AZ58" s="236">
        <f t="shared" si="66"/>
        <v>1424</v>
      </c>
      <c r="BA58" s="236">
        <f t="shared" si="66"/>
        <v>1291</v>
      </c>
      <c r="BB58" s="236">
        <f t="shared" si="66"/>
        <v>1164</v>
      </c>
      <c r="BC58" s="236">
        <f t="shared" si="66"/>
        <v>1060</v>
      </c>
      <c r="BD58" s="236">
        <f t="shared" ref="BD58:BE58" si="67">+BD45</f>
        <v>964</v>
      </c>
      <c r="BE58" s="236">
        <f t="shared" si="67"/>
        <v>888</v>
      </c>
      <c r="BF58" s="236">
        <f t="shared" ref="BF58:BI58" si="68">+BF45</f>
        <v>786</v>
      </c>
      <c r="BG58" s="236">
        <f t="shared" si="68"/>
        <v>707</v>
      </c>
      <c r="BH58" s="236">
        <f t="shared" si="68"/>
        <v>636</v>
      </c>
      <c r="BI58" s="236">
        <f t="shared" si="68"/>
        <v>585</v>
      </c>
    </row>
    <row r="59" spans="2:63">
      <c r="J59" s="190"/>
      <c r="K59" s="190"/>
      <c r="L59" s="190"/>
      <c r="M59" s="190"/>
      <c r="N59" s="190"/>
      <c r="O59" s="190"/>
      <c r="P59" s="190"/>
    </row>
    <row r="60" spans="2:63" s="252" customFormat="1" ht="15.75" thickBot="1">
      <c r="B60" s="347" t="s">
        <v>348</v>
      </c>
      <c r="C60" s="247"/>
      <c r="D60" s="354">
        <f t="shared" ref="D60:P60" si="69">+D54+D58</f>
        <v>20541</v>
      </c>
      <c r="E60" s="354">
        <f t="shared" si="69"/>
        <v>17061</v>
      </c>
      <c r="F60" s="354">
        <f t="shared" si="69"/>
        <v>14428</v>
      </c>
      <c r="G60" s="354">
        <f>+G54+G58</f>
        <v>12569</v>
      </c>
      <c r="H60" s="354">
        <f>+H54+H58</f>
        <v>10884</v>
      </c>
      <c r="I60" s="354">
        <f>+I54+I58</f>
        <v>9581.4</v>
      </c>
      <c r="J60" s="169">
        <f t="shared" si="69"/>
        <v>8491.1449135135135</v>
      </c>
      <c r="K60" s="169">
        <f t="shared" si="69"/>
        <v>7565.279975959239</v>
      </c>
      <c r="L60" s="169">
        <f t="shared" si="69"/>
        <v>6769.4443240818164</v>
      </c>
      <c r="M60" s="169">
        <f t="shared" si="69"/>
        <v>6078.5635153451494</v>
      </c>
      <c r="N60" s="169">
        <f t="shared" si="69"/>
        <v>5473.9703358073657</v>
      </c>
      <c r="O60" s="169">
        <f t="shared" si="69"/>
        <v>4941.4719647481033</v>
      </c>
      <c r="P60" s="169">
        <f t="shared" si="69"/>
        <v>4470.0452715479032</v>
      </c>
      <c r="Q60" s="247"/>
      <c r="R60" s="347"/>
      <c r="S60" s="347"/>
      <c r="T60" s="347"/>
      <c r="U60" s="347"/>
      <c r="V60" s="347"/>
      <c r="W60" s="347"/>
      <c r="X60" s="347"/>
      <c r="Y60" s="347"/>
      <c r="Z60" s="347"/>
      <c r="AA60" s="347"/>
      <c r="AB60" s="347"/>
      <c r="AC60" s="347"/>
      <c r="AD60" s="347"/>
      <c r="AE60" s="347"/>
      <c r="AF60" s="347"/>
      <c r="AG60" s="347"/>
      <c r="AH60" s="347"/>
      <c r="AI60" s="347"/>
      <c r="AJ60" s="347"/>
      <c r="AK60" s="347"/>
      <c r="AL60" s="347"/>
      <c r="AM60" s="347"/>
      <c r="AN60" s="347"/>
      <c r="AO60" s="354">
        <f>+AO54+AO58</f>
        <v>20541</v>
      </c>
      <c r="AP60" s="354">
        <f t="shared" ref="AP60:BC60" si="70">+AP54+AP58</f>
        <v>19628</v>
      </c>
      <c r="AQ60" s="354">
        <f t="shared" si="70"/>
        <v>18733</v>
      </c>
      <c r="AR60" s="354">
        <f t="shared" si="70"/>
        <v>17834</v>
      </c>
      <c r="AS60" s="354">
        <f t="shared" si="70"/>
        <v>17061</v>
      </c>
      <c r="AT60" s="354">
        <f t="shared" si="70"/>
        <v>16409</v>
      </c>
      <c r="AU60" s="354">
        <f t="shared" si="70"/>
        <v>15728</v>
      </c>
      <c r="AV60" s="354">
        <f t="shared" si="70"/>
        <v>15028</v>
      </c>
      <c r="AW60" s="354">
        <f t="shared" si="70"/>
        <v>14428</v>
      </c>
      <c r="AX60" s="354">
        <f t="shared" si="70"/>
        <v>13862</v>
      </c>
      <c r="AY60" s="354">
        <f t="shared" si="70"/>
        <v>13400</v>
      </c>
      <c r="AZ60" s="354">
        <f t="shared" si="70"/>
        <v>12957</v>
      </c>
      <c r="BA60" s="354">
        <f t="shared" si="70"/>
        <v>12569</v>
      </c>
      <c r="BB60" s="354">
        <f t="shared" si="70"/>
        <v>12167</v>
      </c>
      <c r="BC60" s="354">
        <f t="shared" si="70"/>
        <v>11756</v>
      </c>
      <c r="BD60" s="354">
        <f t="shared" ref="BD60:BE60" si="71">+BD54+BD58</f>
        <v>11297</v>
      </c>
      <c r="BE60" s="354">
        <f t="shared" si="71"/>
        <v>10884</v>
      </c>
      <c r="BF60" s="354">
        <f t="shared" ref="BF60:BI60" si="72">+BF54+BF58</f>
        <v>10688.7</v>
      </c>
      <c r="BG60" s="354">
        <f t="shared" si="72"/>
        <v>10333.4</v>
      </c>
      <c r="BH60" s="354">
        <f t="shared" si="72"/>
        <v>9935.7000000000007</v>
      </c>
      <c r="BI60" s="354">
        <f t="shared" si="72"/>
        <v>9581.4</v>
      </c>
    </row>
    <row r="61" spans="2:63" ht="15.75" thickTop="1">
      <c r="J61" s="190"/>
      <c r="K61" s="190"/>
      <c r="L61" s="190"/>
      <c r="M61" s="190"/>
      <c r="N61" s="190"/>
      <c r="O61" s="190"/>
      <c r="P61" s="190"/>
    </row>
    <row r="62" spans="2:63">
      <c r="J62" s="190"/>
      <c r="K62" s="190"/>
      <c r="L62" s="190"/>
      <c r="M62" s="190"/>
      <c r="N62" s="190"/>
      <c r="O62" s="190"/>
      <c r="P62" s="190"/>
    </row>
    <row r="63" spans="2:63">
      <c r="AX63" s="479"/>
      <c r="AY63" s="479"/>
      <c r="AZ63" s="479"/>
      <c r="BA63" s="479"/>
      <c r="BB63" s="479"/>
      <c r="BC63" s="479"/>
      <c r="BD63" s="479"/>
      <c r="BE63" s="479"/>
    </row>
    <row r="64" spans="2:63">
      <c r="AX64" s="236"/>
      <c r="AY64" s="236"/>
      <c r="AZ64" s="236"/>
      <c r="BA64" s="236"/>
      <c r="BB64" s="236"/>
      <c r="BC64" s="236"/>
      <c r="BD64" s="236"/>
      <c r="BE64" s="236"/>
    </row>
    <row r="65" spans="54:57">
      <c r="BB65" s="236"/>
      <c r="BC65" s="236"/>
      <c r="BD65" s="236"/>
      <c r="BE65" s="236"/>
    </row>
  </sheetData>
  <pageMargins left="0" right="0" top="0" bottom="0" header="0" footer="0"/>
  <pageSetup paperSize="5" scale="67"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44"/>
    <pageSetUpPr fitToPage="1"/>
  </sheetPr>
  <dimension ref="A1:AH76"/>
  <sheetViews>
    <sheetView showGridLines="0" workbookViewId="0"/>
  </sheetViews>
  <sheetFormatPr defaultColWidth="7.109375" defaultRowHeight="15" outlineLevelRow="1" outlineLevelCol="1"/>
  <cols>
    <col min="1" max="1" width="1" customWidth="1"/>
    <col min="2" max="2" width="1.33203125" customWidth="1"/>
    <col min="3" max="3" width="33.5546875" customWidth="1"/>
    <col min="4" max="4" width="4.109375" hidden="1" customWidth="1" outlineLevel="1"/>
    <col min="5" max="5" width="6.33203125" hidden="1" customWidth="1" outlineLevel="1"/>
    <col min="6" max="8" width="7" hidden="1" customWidth="1" outlineLevel="1"/>
    <col min="9" max="9" width="7.44140625" hidden="1" customWidth="1" outlineLevel="1"/>
    <col min="10" max="10" width="7.44140625" hidden="1" customWidth="1" outlineLevel="1" collapsed="1"/>
    <col min="11" max="11" width="7.44140625" hidden="1" customWidth="1" outlineLevel="1"/>
    <col min="12" max="12" width="7.88671875" customWidth="1" collapsed="1"/>
    <col min="13" max="16" width="7.88671875" customWidth="1"/>
    <col min="17" max="19" width="7.88671875" customWidth="1" outlineLevel="1"/>
    <col min="20" max="25" width="7.88671875" style="474" customWidth="1" outlineLevel="1"/>
    <col min="26" max="26" width="2.77734375" customWidth="1"/>
    <col min="27" max="27" width="32" hidden="1" customWidth="1" outlineLevel="1"/>
    <col min="28" max="28" width="9.77734375" hidden="1" customWidth="1" outlineLevel="1"/>
    <col min="29" max="30" width="8.77734375" hidden="1" customWidth="1" outlineLevel="1"/>
    <col min="31" max="31" width="14.109375" hidden="1" customWidth="1" outlineLevel="1"/>
    <col min="32" max="32" width="8" hidden="1" customWidth="1" outlineLevel="1"/>
    <col min="33" max="33" width="7.33203125" customWidth="1" collapsed="1"/>
    <col min="34" max="38" width="7.109375" customWidth="1"/>
    <col min="39" max="39" width="2.33203125" customWidth="1"/>
    <col min="41" max="41" width="8.21875" customWidth="1"/>
    <col min="43" max="43" width="8.109375" customWidth="1"/>
    <col min="47" max="47" width="14.21875" customWidth="1"/>
    <col min="50" max="50" width="13.109375" customWidth="1"/>
    <col min="51" max="51" width="10.5546875" customWidth="1"/>
    <col min="52" max="52" width="5.88671875" customWidth="1"/>
    <col min="53" max="53" width="6.77734375" customWidth="1"/>
    <col min="55" max="55" width="5.88671875" customWidth="1"/>
    <col min="58" max="58" width="9.109375" customWidth="1"/>
    <col min="61" max="61" width="10.33203125" customWidth="1"/>
    <col min="80" max="80" width="16" customWidth="1"/>
    <col min="81" max="87" width="8.21875" customWidth="1"/>
  </cols>
  <sheetData>
    <row r="1" spans="1:26" ht="15" customHeight="1">
      <c r="A1" s="32" t="s">
        <v>46</v>
      </c>
      <c r="B1" s="32"/>
      <c r="C1" s="32"/>
      <c r="D1" s="34"/>
      <c r="E1" s="34"/>
      <c r="F1" s="34"/>
      <c r="G1" s="34"/>
      <c r="H1" s="35"/>
      <c r="I1" s="37"/>
      <c r="J1" s="37"/>
      <c r="K1" s="37"/>
      <c r="L1" s="37"/>
      <c r="M1" s="37"/>
      <c r="N1" s="37"/>
      <c r="O1" s="39"/>
      <c r="P1" s="39"/>
      <c r="Q1" s="39"/>
      <c r="R1" s="39"/>
      <c r="S1" s="39"/>
      <c r="T1" s="39"/>
      <c r="U1" s="39"/>
      <c r="V1" s="39"/>
      <c r="W1" s="39"/>
      <c r="X1" s="39"/>
      <c r="Y1" s="39"/>
      <c r="Z1" s="99"/>
    </row>
    <row r="2" spans="1:26">
      <c r="A2" s="40" t="s">
        <v>47</v>
      </c>
      <c r="B2" s="40"/>
      <c r="C2" s="40"/>
      <c r="D2" s="41"/>
      <c r="E2" s="41"/>
      <c r="F2" s="41"/>
      <c r="G2" s="41"/>
      <c r="H2" s="42"/>
      <c r="I2" s="43"/>
      <c r="J2" s="43"/>
      <c r="K2" s="43"/>
      <c r="L2" s="43"/>
      <c r="M2" s="43"/>
      <c r="N2" s="43"/>
      <c r="O2" s="45"/>
      <c r="P2" s="45"/>
      <c r="Q2" s="45"/>
      <c r="R2" s="45"/>
      <c r="S2" s="45"/>
      <c r="T2" s="45"/>
      <c r="U2" s="45"/>
      <c r="V2" s="45"/>
      <c r="W2" s="45"/>
      <c r="X2" s="45"/>
      <c r="Y2" s="45"/>
      <c r="Z2" s="153"/>
    </row>
    <row r="3" spans="1:26" ht="12.75" customHeight="1" outlineLevel="1">
      <c r="T3"/>
      <c r="U3"/>
      <c r="V3"/>
      <c r="W3"/>
      <c r="X3"/>
      <c r="Y3"/>
    </row>
    <row r="4" spans="1:26">
      <c r="A4" s="47"/>
      <c r="B4" s="48" t="s">
        <v>48</v>
      </c>
      <c r="C4" s="48"/>
      <c r="D4" s="49"/>
      <c r="E4" s="49">
        <v>2005</v>
      </c>
      <c r="F4" s="49">
        <v>2006</v>
      </c>
      <c r="G4" s="49">
        <v>2007</v>
      </c>
      <c r="H4" s="49">
        <v>2008</v>
      </c>
      <c r="I4" s="49">
        <v>2009</v>
      </c>
      <c r="J4" s="49">
        <v>2010</v>
      </c>
      <c r="K4" s="49">
        <v>2011</v>
      </c>
      <c r="L4" s="49">
        <v>2012</v>
      </c>
      <c r="M4" s="49">
        <v>2013</v>
      </c>
      <c r="N4" s="49" t="s">
        <v>267</v>
      </c>
      <c r="O4" s="49">
        <f>'Income Statement'!F6</f>
        <v>2015</v>
      </c>
      <c r="P4" s="49">
        <f>'Income Statement'!G6</f>
        <v>2016</v>
      </c>
      <c r="Q4" s="50">
        <f>'Income Statement'!H6</f>
        <v>2017</v>
      </c>
      <c r="R4" s="50" t="str">
        <f>'Income Statement'!I6</f>
        <v>2018E</v>
      </c>
      <c r="S4" s="50" t="str">
        <f>'Income Statement'!J6</f>
        <v>2019E</v>
      </c>
      <c r="T4" s="50" t="str">
        <f>'Income Statement'!K6</f>
        <v>2020E</v>
      </c>
      <c r="U4" s="50" t="str">
        <f>'Income Statement'!L6</f>
        <v>2021E</v>
      </c>
      <c r="V4" s="50" t="str">
        <f>'Income Statement'!M6</f>
        <v>2022E</v>
      </c>
      <c r="W4" s="50" t="str">
        <f>'Income Statement'!N6</f>
        <v>2023E</v>
      </c>
      <c r="X4" s="50" t="str">
        <f>'Income Statement'!O6</f>
        <v>2024E</v>
      </c>
      <c r="Y4" s="50" t="str">
        <f>'Income Statement'!P6</f>
        <v>2025E</v>
      </c>
      <c r="Z4" s="51"/>
    </row>
    <row r="5" spans="1:26">
      <c r="A5" s="47"/>
      <c r="B5" s="52"/>
      <c r="C5" s="36" t="s">
        <v>49</v>
      </c>
      <c r="D5" s="53"/>
      <c r="E5" s="53">
        <v>5.7500000000000002E-2</v>
      </c>
      <c r="F5" s="53">
        <v>0.06</v>
      </c>
      <c r="G5" s="53">
        <v>6.5000000000000002E-2</v>
      </c>
      <c r="H5" s="53">
        <v>7.0000000000000007E-2</v>
      </c>
      <c r="I5" s="53">
        <v>6.5000000000000002E-2</v>
      </c>
      <c r="J5" s="54">
        <v>5.7999999999999996E-2</v>
      </c>
      <c r="K5" s="54">
        <v>5.2999999999999999E-2</v>
      </c>
      <c r="L5" s="55">
        <v>4.2999999999999997E-2</v>
      </c>
      <c r="M5" s="55">
        <v>0.05</v>
      </c>
      <c r="N5" s="55">
        <v>4.2999999999999997E-2</v>
      </c>
      <c r="O5" s="55">
        <v>4.5999999999999999E-2</v>
      </c>
      <c r="P5" s="55">
        <v>4.3999999999999997E-2</v>
      </c>
      <c r="Q5" s="56">
        <f t="shared" ref="Q5:S7" si="0">+P5</f>
        <v>4.3999999999999997E-2</v>
      </c>
      <c r="R5" s="56">
        <f t="shared" si="0"/>
        <v>4.3999999999999997E-2</v>
      </c>
      <c r="S5" s="56">
        <f t="shared" si="0"/>
        <v>4.3999999999999997E-2</v>
      </c>
      <c r="T5" s="56">
        <f t="shared" ref="T5:T7" si="1">+S5</f>
        <v>4.3999999999999997E-2</v>
      </c>
      <c r="U5" s="56">
        <f t="shared" ref="U5:U7" si="2">+T5</f>
        <v>4.3999999999999997E-2</v>
      </c>
      <c r="V5" s="56">
        <f t="shared" ref="V5:V7" si="3">+U5</f>
        <v>4.3999999999999997E-2</v>
      </c>
      <c r="W5" s="56">
        <f t="shared" ref="W5:W7" si="4">+V5</f>
        <v>4.3999999999999997E-2</v>
      </c>
      <c r="X5" s="56">
        <f t="shared" ref="X5:X7" si="5">+W5</f>
        <v>4.3999999999999997E-2</v>
      </c>
      <c r="Y5" s="56">
        <f t="shared" ref="Y5:Y7" si="6">+X5</f>
        <v>4.3999999999999997E-2</v>
      </c>
      <c r="Z5" s="57"/>
    </row>
    <row r="6" spans="1:26" ht="12.75" hidden="1" customHeight="1" outlineLevel="1">
      <c r="A6" s="47"/>
      <c r="B6" s="52"/>
      <c r="C6" s="36" t="s">
        <v>50</v>
      </c>
      <c r="D6" s="58"/>
      <c r="E6" s="58"/>
      <c r="F6" s="58"/>
      <c r="G6" s="58"/>
      <c r="H6" s="59"/>
      <c r="I6" s="59"/>
      <c r="J6" s="59"/>
      <c r="K6" s="59"/>
      <c r="L6" s="60"/>
      <c r="M6" s="60"/>
      <c r="N6" s="60"/>
      <c r="O6" s="60"/>
      <c r="P6" s="60"/>
      <c r="Q6" s="60">
        <f t="shared" si="0"/>
        <v>0</v>
      </c>
      <c r="R6" s="60">
        <f t="shared" si="0"/>
        <v>0</v>
      </c>
      <c r="S6" s="60">
        <f t="shared" si="0"/>
        <v>0</v>
      </c>
      <c r="T6" s="60">
        <f t="shared" si="1"/>
        <v>0</v>
      </c>
      <c r="U6" s="60">
        <f t="shared" si="2"/>
        <v>0</v>
      </c>
      <c r="V6" s="60">
        <f t="shared" si="3"/>
        <v>0</v>
      </c>
      <c r="W6" s="60">
        <f t="shared" si="4"/>
        <v>0</v>
      </c>
      <c r="X6" s="60">
        <f t="shared" si="5"/>
        <v>0</v>
      </c>
      <c r="Y6" s="60">
        <f t="shared" si="6"/>
        <v>0</v>
      </c>
      <c r="Z6" s="57"/>
    </row>
    <row r="7" spans="1:26" collapsed="1">
      <c r="A7" s="47"/>
      <c r="B7" s="52"/>
      <c r="C7" s="36" t="s">
        <v>51</v>
      </c>
      <c r="D7" s="53"/>
      <c r="E7" s="53">
        <v>8.5000000000000006E-2</v>
      </c>
      <c r="F7" s="53">
        <v>8.5000000000000006E-2</v>
      </c>
      <c r="G7" s="53">
        <v>8.5000000000000006E-2</v>
      </c>
      <c r="H7" s="53">
        <v>8.5000000000000006E-2</v>
      </c>
      <c r="I7" s="53">
        <v>8.5000000000000006E-2</v>
      </c>
      <c r="J7" s="54">
        <v>8.5000000000000006E-2</v>
      </c>
      <c r="K7" s="54">
        <v>8.2500000000000004E-2</v>
      </c>
      <c r="L7" s="55">
        <v>8.2500000000000004E-2</v>
      </c>
      <c r="M7" s="55">
        <v>7.7499999999999999E-2</v>
      </c>
      <c r="N7" s="55">
        <v>7.7499999999999999E-2</v>
      </c>
      <c r="O7" s="55">
        <v>7.7499999999999999E-2</v>
      </c>
      <c r="P7" s="55">
        <v>7.7499999999999999E-2</v>
      </c>
      <c r="Q7" s="56">
        <f t="shared" si="0"/>
        <v>7.7499999999999999E-2</v>
      </c>
      <c r="R7" s="517">
        <v>7.0000000000000007E-2</v>
      </c>
      <c r="S7" s="56">
        <f t="shared" si="0"/>
        <v>7.0000000000000007E-2</v>
      </c>
      <c r="T7" s="56">
        <f t="shared" si="1"/>
        <v>7.0000000000000007E-2</v>
      </c>
      <c r="U7" s="56">
        <f t="shared" si="2"/>
        <v>7.0000000000000007E-2</v>
      </c>
      <c r="V7" s="56">
        <f t="shared" si="3"/>
        <v>7.0000000000000007E-2</v>
      </c>
      <c r="W7" s="56">
        <f t="shared" si="4"/>
        <v>7.0000000000000007E-2</v>
      </c>
      <c r="X7" s="56">
        <f t="shared" si="5"/>
        <v>7.0000000000000007E-2</v>
      </c>
      <c r="Y7" s="56">
        <f t="shared" si="6"/>
        <v>7.0000000000000007E-2</v>
      </c>
      <c r="Z7" s="57"/>
    </row>
    <row r="8" spans="1:26">
      <c r="A8" s="47"/>
      <c r="B8" s="52"/>
      <c r="C8" s="36" t="s">
        <v>52</v>
      </c>
      <c r="D8" s="53"/>
      <c r="E8" s="53">
        <f>IF(ISNUMBER(E31/E30),I31/I30,0)</f>
        <v>0.13479115059366192</v>
      </c>
      <c r="F8" s="53">
        <f>IF(ISNUMBER(F31/F30),J31/J30,0)</f>
        <v>0.13291233759307064</v>
      </c>
      <c r="G8" s="53">
        <f>IF(ISNUMBER(G31/G30),K31/K30,0)</f>
        <v>4.69960731610004E-2</v>
      </c>
      <c r="H8" s="53">
        <f>IF(ISNUMBER(H31/H30),L31/L30,0)</f>
        <v>0.10980896159627072</v>
      </c>
      <c r="I8" s="53">
        <f>IF(ISNUMBER(I31/I30),M31/M30,0)</f>
        <v>0.13171327119396362</v>
      </c>
      <c r="J8" s="53">
        <f t="shared" ref="J8:O8" si="7">IF(ISNUMBER(J31/J30),J31/J30,0)</f>
        <v>0.13291233759307064</v>
      </c>
      <c r="K8" s="53">
        <f t="shared" si="7"/>
        <v>4.69960731610004E-2</v>
      </c>
      <c r="L8" s="53">
        <f t="shared" si="7"/>
        <v>0.10980896159627072</v>
      </c>
      <c r="M8" s="53">
        <f t="shared" si="7"/>
        <v>0.13171327119396362</v>
      </c>
      <c r="N8" s="53">
        <f t="shared" si="7"/>
        <v>7.4636384573139411E-2</v>
      </c>
      <c r="O8" s="53">
        <f t="shared" si="7"/>
        <v>1.1147202126088883E-2</v>
      </c>
      <c r="P8" s="53">
        <f t="shared" ref="P8" si="8">IF(ISNUMBER(P31/P30),P31/P30,0)</f>
        <v>6.0977038425492035E-2</v>
      </c>
      <c r="Q8" s="56">
        <f>+Q7</f>
        <v>7.7499999999999999E-2</v>
      </c>
      <c r="R8" s="56">
        <f>+R7</f>
        <v>7.0000000000000007E-2</v>
      </c>
      <c r="S8" s="56">
        <f>+S7</f>
        <v>7.0000000000000007E-2</v>
      </c>
      <c r="T8" s="56">
        <f t="shared" ref="T8:Y8" si="9">+T7</f>
        <v>7.0000000000000007E-2</v>
      </c>
      <c r="U8" s="56">
        <f t="shared" si="9"/>
        <v>7.0000000000000007E-2</v>
      </c>
      <c r="V8" s="56">
        <f t="shared" si="9"/>
        <v>7.0000000000000007E-2</v>
      </c>
      <c r="W8" s="56">
        <f t="shared" si="9"/>
        <v>7.0000000000000007E-2</v>
      </c>
      <c r="X8" s="56">
        <f t="shared" si="9"/>
        <v>7.0000000000000007E-2</v>
      </c>
      <c r="Y8" s="56">
        <f t="shared" si="9"/>
        <v>7.0000000000000007E-2</v>
      </c>
      <c r="Z8" s="57"/>
    </row>
    <row r="9" spans="1:26">
      <c r="A9" s="47"/>
      <c r="B9" s="52"/>
      <c r="C9" s="36" t="s">
        <v>53</v>
      </c>
      <c r="D9" s="27"/>
      <c r="E9" s="27">
        <v>0.35</v>
      </c>
      <c r="F9" s="27">
        <v>0.35</v>
      </c>
      <c r="G9" s="27">
        <v>0.35</v>
      </c>
      <c r="H9" s="27">
        <v>0.35</v>
      </c>
      <c r="I9" s="27">
        <v>0.35</v>
      </c>
      <c r="J9" s="27">
        <v>0.35</v>
      </c>
      <c r="K9" s="27">
        <v>0.35</v>
      </c>
      <c r="L9" s="61">
        <v>0.35</v>
      </c>
      <c r="M9" s="61">
        <v>0.35</v>
      </c>
      <c r="N9" s="61">
        <v>0.35</v>
      </c>
      <c r="O9" s="61">
        <v>0.35</v>
      </c>
      <c r="P9" s="61">
        <v>0.35</v>
      </c>
      <c r="Q9" s="61">
        <v>0.35</v>
      </c>
      <c r="R9" s="61">
        <v>0.23</v>
      </c>
      <c r="S9" s="61">
        <v>0.23</v>
      </c>
      <c r="T9" s="61">
        <v>0.23</v>
      </c>
      <c r="U9" s="61">
        <v>0.23</v>
      </c>
      <c r="V9" s="61">
        <v>0.23</v>
      </c>
      <c r="W9" s="61">
        <v>0.23</v>
      </c>
      <c r="X9" s="61">
        <v>0.23</v>
      </c>
      <c r="Y9" s="61">
        <v>0.23</v>
      </c>
      <c r="Z9" s="62"/>
    </row>
    <row r="10" spans="1:26" ht="7.5" customHeight="1">
      <c r="A10" s="47"/>
      <c r="B10" s="52"/>
      <c r="C10" s="63"/>
      <c r="D10" s="63"/>
      <c r="E10" s="63"/>
      <c r="F10" s="63"/>
      <c r="G10" s="63"/>
      <c r="H10" s="64"/>
      <c r="I10" s="64"/>
      <c r="J10" s="64"/>
      <c r="K10" s="64"/>
      <c r="L10" s="64"/>
      <c r="M10" s="64"/>
      <c r="N10" s="64"/>
      <c r="O10" s="64"/>
      <c r="P10" s="64"/>
      <c r="Q10" s="64"/>
      <c r="R10" s="64"/>
      <c r="S10" s="64"/>
      <c r="T10" s="64"/>
      <c r="U10" s="64"/>
      <c r="V10" s="64"/>
      <c r="W10" s="64"/>
      <c r="X10" s="64"/>
      <c r="Y10" s="64"/>
      <c r="Z10" s="65"/>
    </row>
    <row r="11" spans="1:26">
      <c r="A11" s="47"/>
      <c r="B11" s="48" t="s">
        <v>54</v>
      </c>
      <c r="C11" s="48"/>
      <c r="D11" s="49"/>
      <c r="E11" s="49">
        <f t="shared" ref="E11:R11" si="10">+E4</f>
        <v>2005</v>
      </c>
      <c r="F11" s="49">
        <f t="shared" si="10"/>
        <v>2006</v>
      </c>
      <c r="G11" s="49">
        <f t="shared" si="10"/>
        <v>2007</v>
      </c>
      <c r="H11" s="49">
        <f t="shared" si="10"/>
        <v>2008</v>
      </c>
      <c r="I11" s="49">
        <f t="shared" si="10"/>
        <v>2009</v>
      </c>
      <c r="J11" s="49">
        <f t="shared" si="10"/>
        <v>2010</v>
      </c>
      <c r="K11" s="49">
        <f t="shared" si="10"/>
        <v>2011</v>
      </c>
      <c r="L11" s="49">
        <f t="shared" si="10"/>
        <v>2012</v>
      </c>
      <c r="M11" s="49">
        <f t="shared" si="10"/>
        <v>2013</v>
      </c>
      <c r="N11" s="49" t="str">
        <f t="shared" si="10"/>
        <v>2014</v>
      </c>
      <c r="O11" s="49">
        <f t="shared" ref="O11:P11" si="11">+O4</f>
        <v>2015</v>
      </c>
      <c r="P11" s="49">
        <f t="shared" si="11"/>
        <v>2016</v>
      </c>
      <c r="Q11" s="50">
        <f t="shared" si="10"/>
        <v>2017</v>
      </c>
      <c r="R11" s="50" t="str">
        <f t="shared" si="10"/>
        <v>2018E</v>
      </c>
      <c r="S11" s="50" t="str">
        <f>+S4</f>
        <v>2019E</v>
      </c>
      <c r="T11" s="50" t="str">
        <f t="shared" ref="T11:Y11" si="12">+T4</f>
        <v>2020E</v>
      </c>
      <c r="U11" s="50" t="str">
        <f t="shared" si="12"/>
        <v>2021E</v>
      </c>
      <c r="V11" s="50" t="str">
        <f t="shared" si="12"/>
        <v>2022E</v>
      </c>
      <c r="W11" s="50" t="str">
        <f t="shared" si="12"/>
        <v>2023E</v>
      </c>
      <c r="X11" s="50" t="str">
        <f t="shared" si="12"/>
        <v>2024E</v>
      </c>
      <c r="Y11" s="50" t="str">
        <f t="shared" si="12"/>
        <v>2025E</v>
      </c>
      <c r="Z11" s="51"/>
    </row>
    <row r="12" spans="1:26">
      <c r="A12" s="47"/>
      <c r="B12" s="66" t="s">
        <v>55</v>
      </c>
      <c r="C12" s="66"/>
      <c r="D12" s="67"/>
      <c r="E12" s="67"/>
      <c r="F12" s="67"/>
      <c r="G12" s="67"/>
      <c r="H12" s="68"/>
      <c r="I12" s="68"/>
      <c r="J12" s="68"/>
      <c r="K12" s="68"/>
      <c r="L12" s="68"/>
      <c r="M12" s="68"/>
      <c r="N12" s="68"/>
      <c r="O12" s="68"/>
      <c r="P12" s="68"/>
      <c r="Q12" s="68"/>
      <c r="R12" s="68"/>
      <c r="S12" s="68"/>
      <c r="T12" s="68"/>
      <c r="U12" s="68"/>
      <c r="V12" s="68"/>
      <c r="W12" s="68"/>
      <c r="X12" s="68"/>
      <c r="Y12" s="68"/>
      <c r="Z12" s="46"/>
    </row>
    <row r="13" spans="1:26" outlineLevel="1">
      <c r="A13" s="47"/>
      <c r="B13" s="52"/>
      <c r="C13" s="36" t="s">
        <v>56</v>
      </c>
      <c r="D13" s="69"/>
      <c r="E13" s="69">
        <v>804</v>
      </c>
      <c r="F13" s="69">
        <v>1050</v>
      </c>
      <c r="G13" s="69">
        <v>1257</v>
      </c>
      <c r="H13" s="69">
        <v>1173</v>
      </c>
      <c r="I13" s="69">
        <v>1070</v>
      </c>
      <c r="J13" s="70">
        <v>1075</v>
      </c>
      <c r="K13" s="70">
        <v>1186</v>
      </c>
      <c r="L13" s="70">
        <v>1216</v>
      </c>
      <c r="M13" s="70">
        <v>1321</v>
      </c>
      <c r="N13" s="70">
        <v>1134</v>
      </c>
      <c r="O13" s="70">
        <v>1212</v>
      </c>
      <c r="P13" s="70">
        <v>1112</v>
      </c>
      <c r="Q13" s="69">
        <f>P13</f>
        <v>1112</v>
      </c>
      <c r="R13" s="69">
        <f>Q13</f>
        <v>1112</v>
      </c>
      <c r="S13" s="69">
        <f>R13</f>
        <v>1112</v>
      </c>
      <c r="T13" s="69">
        <f t="shared" ref="T13:Y13" si="13">S13</f>
        <v>1112</v>
      </c>
      <c r="U13" s="69">
        <f t="shared" si="13"/>
        <v>1112</v>
      </c>
      <c r="V13" s="69">
        <f t="shared" si="13"/>
        <v>1112</v>
      </c>
      <c r="W13" s="69">
        <f t="shared" si="13"/>
        <v>1112</v>
      </c>
      <c r="X13" s="69">
        <f t="shared" si="13"/>
        <v>1112</v>
      </c>
      <c r="Y13" s="69">
        <f t="shared" si="13"/>
        <v>1112</v>
      </c>
      <c r="Z13" s="65"/>
    </row>
    <row r="14" spans="1:26" outlineLevel="1">
      <c r="A14" s="47"/>
      <c r="B14" s="52"/>
      <c r="C14" s="36" t="s">
        <v>57</v>
      </c>
      <c r="D14" s="69"/>
      <c r="E14" s="69">
        <v>186</v>
      </c>
      <c r="F14" s="69">
        <v>149</v>
      </c>
      <c r="G14" s="69">
        <v>142</v>
      </c>
      <c r="H14" s="69">
        <v>133</v>
      </c>
      <c r="I14" s="69">
        <v>58</v>
      </c>
      <c r="J14" s="70">
        <v>-16</v>
      </c>
      <c r="K14" s="70">
        <v>-15</v>
      </c>
      <c r="L14" s="70">
        <v>-15</v>
      </c>
      <c r="M14" s="70">
        <v>-94</v>
      </c>
      <c r="N14" s="70">
        <v>-94</v>
      </c>
      <c r="O14" s="70">
        <v>-103</v>
      </c>
      <c r="P14" s="70">
        <v>-103</v>
      </c>
      <c r="Q14" s="69">
        <f>+P14</f>
        <v>-103</v>
      </c>
      <c r="R14" s="69">
        <f>+Q14</f>
        <v>-103</v>
      </c>
      <c r="S14" s="69">
        <f>+R14</f>
        <v>-103</v>
      </c>
      <c r="T14" s="69">
        <f t="shared" ref="T14:Y14" si="14">+S14</f>
        <v>-103</v>
      </c>
      <c r="U14" s="69">
        <f t="shared" si="14"/>
        <v>-103</v>
      </c>
      <c r="V14" s="69">
        <f t="shared" si="14"/>
        <v>-103</v>
      </c>
      <c r="W14" s="69">
        <f t="shared" si="14"/>
        <v>-103</v>
      </c>
      <c r="X14" s="69">
        <f t="shared" si="14"/>
        <v>-103</v>
      </c>
      <c r="Y14" s="69">
        <f t="shared" si="14"/>
        <v>-103</v>
      </c>
      <c r="Z14" s="65"/>
    </row>
    <row r="15" spans="1:26" outlineLevel="1">
      <c r="A15" s="47"/>
      <c r="B15" s="52"/>
      <c r="C15" s="36" t="s">
        <v>58</v>
      </c>
      <c r="D15" s="69"/>
      <c r="E15" s="69">
        <v>1725</v>
      </c>
      <c r="F15" s="69">
        <v>2507</v>
      </c>
      <c r="G15" s="69">
        <v>3220</v>
      </c>
      <c r="H15" s="69">
        <v>3319</v>
      </c>
      <c r="I15" s="69">
        <v>3355</v>
      </c>
      <c r="J15" s="70">
        <v>3150</v>
      </c>
      <c r="K15" s="70">
        <v>2958</v>
      </c>
      <c r="L15" s="70">
        <v>2800</v>
      </c>
      <c r="M15" s="70">
        <v>2429</v>
      </c>
      <c r="N15" s="70">
        <v>2470</v>
      </c>
      <c r="O15" s="70">
        <v>1902</v>
      </c>
      <c r="P15" s="70">
        <v>1980</v>
      </c>
      <c r="Q15" s="69">
        <f>+Q22*P5</f>
        <v>2472.0519999999997</v>
      </c>
      <c r="R15" s="69">
        <f>+R22*Q5</f>
        <v>2447.4142879999995</v>
      </c>
      <c r="S15" s="69">
        <f>+S22*R5</f>
        <v>2425.1245166719996</v>
      </c>
      <c r="T15" s="69">
        <f t="shared" ref="T15:Y15" si="15">+T22*S5</f>
        <v>2404.3179954055677</v>
      </c>
      <c r="U15" s="69">
        <f t="shared" si="15"/>
        <v>2382.5959872034123</v>
      </c>
      <c r="V15" s="69">
        <f t="shared" si="15"/>
        <v>2359.9182106403628</v>
      </c>
      <c r="W15" s="69">
        <f t="shared" si="15"/>
        <v>2336.2426119085385</v>
      </c>
      <c r="X15" s="69">
        <f t="shared" si="15"/>
        <v>2311.5252868325142</v>
      </c>
      <c r="Y15" s="69">
        <f t="shared" si="15"/>
        <v>2285.7203994531446</v>
      </c>
      <c r="Z15" s="65"/>
    </row>
    <row r="16" spans="1:26" outlineLevel="1">
      <c r="A16" s="47"/>
      <c r="B16" s="52"/>
      <c r="C16" s="36" t="s">
        <v>59</v>
      </c>
      <c r="D16" s="69"/>
      <c r="E16" s="69">
        <v>-2736</v>
      </c>
      <c r="F16" s="69">
        <v>-3989</v>
      </c>
      <c r="G16" s="69">
        <v>-5468</v>
      </c>
      <c r="H16" s="69">
        <v>-5602</v>
      </c>
      <c r="I16" s="69">
        <v>-3766</v>
      </c>
      <c r="J16" s="70">
        <v>-3775</v>
      </c>
      <c r="K16" s="70">
        <v>-3690</v>
      </c>
      <c r="L16" s="70">
        <v>-3520</v>
      </c>
      <c r="M16" s="70">
        <v>-3312</v>
      </c>
      <c r="N16" s="70">
        <v>-3380</v>
      </c>
      <c r="O16" s="70">
        <v>-3317</v>
      </c>
      <c r="P16" s="70">
        <v>-3115</v>
      </c>
      <c r="Q16" s="69">
        <f>-Q30*Q7</f>
        <v>-4001.4025000000001</v>
      </c>
      <c r="R16" s="69">
        <f>-R30*R7</f>
        <v>-3643.388175</v>
      </c>
      <c r="S16" s="69">
        <f>-S30*S7</f>
        <v>-3653.0053472499999</v>
      </c>
      <c r="T16" s="69">
        <f t="shared" ref="T16:Y16" si="16">-T30*T7</f>
        <v>-3667.2157215575003</v>
      </c>
      <c r="U16" s="69">
        <f t="shared" si="16"/>
        <v>-3682.420822066525</v>
      </c>
      <c r="V16" s="69">
        <f t="shared" si="16"/>
        <v>-3698.6902796111817</v>
      </c>
      <c r="W16" s="69">
        <f t="shared" si="16"/>
        <v>-3716.0985991839643</v>
      </c>
      <c r="X16" s="69">
        <f t="shared" si="16"/>
        <v>-3734.7255011268421</v>
      </c>
      <c r="Y16" s="69">
        <f t="shared" si="16"/>
        <v>-3754.6562862057208</v>
      </c>
      <c r="Z16" s="65"/>
    </row>
    <row r="17" spans="1:26" outlineLevel="1">
      <c r="A17" s="47"/>
      <c r="B17" s="52"/>
      <c r="C17" s="36" t="s">
        <v>60</v>
      </c>
      <c r="D17" s="69"/>
      <c r="E17" s="69">
        <v>156</v>
      </c>
      <c r="F17" s="69">
        <v>361</v>
      </c>
      <c r="G17" s="69">
        <v>241</v>
      </c>
      <c r="H17" s="69">
        <v>22559</v>
      </c>
      <c r="I17" s="69">
        <v>-103</v>
      </c>
      <c r="J17" s="70">
        <v>1768</v>
      </c>
      <c r="K17" s="70">
        <v>4498</v>
      </c>
      <c r="L17" s="70">
        <v>5206</v>
      </c>
      <c r="M17" s="70">
        <v>-5013</v>
      </c>
      <c r="N17" s="70">
        <v>5419</v>
      </c>
      <c r="O17" s="70">
        <v>-373</v>
      </c>
      <c r="P17" s="70">
        <v>1478</v>
      </c>
      <c r="Q17" s="69">
        <f>Q25-((Q8-Q7)*Q30)</f>
        <v>0</v>
      </c>
      <c r="R17" s="69">
        <f>R25-((R8-R7)*R30)</f>
        <v>0</v>
      </c>
      <c r="S17" s="69">
        <f>S25-((S8-S7)*S30)</f>
        <v>0</v>
      </c>
      <c r="T17" s="69">
        <f t="shared" ref="T17:Y17" si="17">T25-((T8-T7)*T30)</f>
        <v>0</v>
      </c>
      <c r="U17" s="69">
        <f t="shared" si="17"/>
        <v>0</v>
      </c>
      <c r="V17" s="69">
        <f t="shared" si="17"/>
        <v>0</v>
      </c>
      <c r="W17" s="69">
        <f t="shared" si="17"/>
        <v>0</v>
      </c>
      <c r="X17" s="69">
        <f t="shared" si="17"/>
        <v>0</v>
      </c>
      <c r="Y17" s="69">
        <f t="shared" si="17"/>
        <v>0</v>
      </c>
      <c r="Z17" s="33"/>
    </row>
    <row r="18" spans="1:26">
      <c r="A18" s="47"/>
      <c r="B18" s="52"/>
      <c r="C18" s="71" t="s">
        <v>61</v>
      </c>
      <c r="D18" s="72"/>
      <c r="E18" s="72">
        <f t="shared" ref="E18:R18" si="18">SUM(E13:E17)</f>
        <v>135</v>
      </c>
      <c r="F18" s="72">
        <f t="shared" si="18"/>
        <v>78</v>
      </c>
      <c r="G18" s="72">
        <f t="shared" si="18"/>
        <v>-608</v>
      </c>
      <c r="H18" s="72">
        <f t="shared" si="18"/>
        <v>21582</v>
      </c>
      <c r="I18" s="72">
        <f t="shared" si="18"/>
        <v>614</v>
      </c>
      <c r="J18" s="72">
        <f t="shared" si="18"/>
        <v>2202</v>
      </c>
      <c r="K18" s="72">
        <f t="shared" si="18"/>
        <v>4937</v>
      </c>
      <c r="L18" s="72">
        <f t="shared" si="18"/>
        <v>5687</v>
      </c>
      <c r="M18" s="72">
        <f t="shared" si="18"/>
        <v>-4669</v>
      </c>
      <c r="N18" s="72">
        <f t="shared" si="18"/>
        <v>5549</v>
      </c>
      <c r="O18" s="72">
        <f t="shared" ref="O18:P18" si="19">SUM(O13:O17)</f>
        <v>-679</v>
      </c>
      <c r="P18" s="72">
        <f t="shared" si="19"/>
        <v>1352</v>
      </c>
      <c r="Q18" s="73">
        <f t="shared" si="18"/>
        <v>-520.35050000000047</v>
      </c>
      <c r="R18" s="73">
        <f t="shared" si="18"/>
        <v>-186.97388700000056</v>
      </c>
      <c r="S18" s="73">
        <f>SUM(S13:S17)</f>
        <v>-218.88083057800031</v>
      </c>
      <c r="T18" s="73">
        <f t="shared" ref="T18:Y18" si="20">SUM(T13:T17)</f>
        <v>-253.8977261519326</v>
      </c>
      <c r="U18" s="73">
        <f t="shared" si="20"/>
        <v>-290.82483486311276</v>
      </c>
      <c r="V18" s="73">
        <f t="shared" si="20"/>
        <v>-329.77206897081896</v>
      </c>
      <c r="W18" s="73">
        <f t="shared" si="20"/>
        <v>-370.85598727542583</v>
      </c>
      <c r="X18" s="73">
        <f t="shared" si="20"/>
        <v>-414.20021429432791</v>
      </c>
      <c r="Y18" s="73">
        <f t="shared" si="20"/>
        <v>-459.93588675257615</v>
      </c>
      <c r="Z18" s="74"/>
    </row>
    <row r="19" spans="1:26">
      <c r="A19" s="47"/>
      <c r="B19" s="52"/>
      <c r="C19" s="76" t="s">
        <v>62</v>
      </c>
      <c r="D19" s="77"/>
      <c r="E19" s="77">
        <f t="shared" ref="E19:R19" si="21">SUM(E13:E16)</f>
        <v>-21</v>
      </c>
      <c r="F19" s="77">
        <f t="shared" si="21"/>
        <v>-283</v>
      </c>
      <c r="G19" s="77">
        <f t="shared" si="21"/>
        <v>-849</v>
      </c>
      <c r="H19" s="77">
        <f t="shared" si="21"/>
        <v>-977</v>
      </c>
      <c r="I19" s="78">
        <f t="shared" si="21"/>
        <v>717</v>
      </c>
      <c r="J19" s="78">
        <f t="shared" si="21"/>
        <v>434</v>
      </c>
      <c r="K19" s="78">
        <f t="shared" si="21"/>
        <v>439</v>
      </c>
      <c r="L19" s="78">
        <f t="shared" si="21"/>
        <v>481</v>
      </c>
      <c r="M19" s="78">
        <f t="shared" si="21"/>
        <v>344</v>
      </c>
      <c r="N19" s="78">
        <f t="shared" si="21"/>
        <v>130</v>
      </c>
      <c r="O19" s="78">
        <f t="shared" ref="O19:P19" si="22">SUM(O13:O16)</f>
        <v>-306</v>
      </c>
      <c r="P19" s="78">
        <f t="shared" si="22"/>
        <v>-126</v>
      </c>
      <c r="Q19" s="78">
        <f t="shared" si="21"/>
        <v>-520.35050000000047</v>
      </c>
      <c r="R19" s="78">
        <f t="shared" si="21"/>
        <v>-186.97388700000056</v>
      </c>
      <c r="S19" s="78">
        <f>SUM(S13:S16)</f>
        <v>-218.88083057800031</v>
      </c>
      <c r="T19" s="78">
        <f t="shared" ref="T19:Y19" si="23">SUM(T13:T16)</f>
        <v>-253.8977261519326</v>
      </c>
      <c r="U19" s="78">
        <f t="shared" si="23"/>
        <v>-290.82483486311276</v>
      </c>
      <c r="V19" s="78">
        <f t="shared" si="23"/>
        <v>-329.77206897081896</v>
      </c>
      <c r="W19" s="78">
        <f t="shared" si="23"/>
        <v>-370.85598727542583</v>
      </c>
      <c r="X19" s="78">
        <f t="shared" si="23"/>
        <v>-414.20021429432791</v>
      </c>
      <c r="Y19" s="78">
        <f t="shared" si="23"/>
        <v>-459.93588675257615</v>
      </c>
      <c r="Z19" s="79"/>
    </row>
    <row r="20" spans="1:26">
      <c r="A20" s="47"/>
      <c r="B20" s="52"/>
      <c r="C20" s="80"/>
      <c r="D20" s="64"/>
      <c r="E20" s="64"/>
      <c r="F20" s="64"/>
      <c r="G20" s="64"/>
      <c r="H20" s="64"/>
      <c r="I20" s="64"/>
      <c r="J20" s="64"/>
      <c r="K20" s="64"/>
      <c r="L20" s="64"/>
      <c r="M20" s="64"/>
      <c r="N20" s="64"/>
      <c r="O20" s="64"/>
      <c r="P20" s="64"/>
      <c r="Q20" s="64"/>
      <c r="R20" s="64"/>
      <c r="S20" s="64"/>
      <c r="T20" s="64"/>
      <c r="U20" s="64"/>
      <c r="V20" s="64"/>
      <c r="W20" s="64"/>
      <c r="X20" s="64"/>
      <c r="Y20" s="64"/>
      <c r="Z20" s="79"/>
    </row>
    <row r="21" spans="1:26">
      <c r="A21" s="47"/>
      <c r="B21" s="66" t="s">
        <v>63</v>
      </c>
      <c r="C21" s="66"/>
      <c r="D21" s="67"/>
      <c r="E21" s="67"/>
      <c r="F21" s="67"/>
      <c r="G21" s="67"/>
      <c r="H21" s="64"/>
      <c r="I21" s="64"/>
      <c r="J21" s="64"/>
      <c r="K21" s="64"/>
      <c r="L21" s="64"/>
      <c r="M21" s="64"/>
      <c r="N21" s="64"/>
      <c r="O21" s="64"/>
      <c r="P21" s="64"/>
      <c r="Q21" s="64"/>
      <c r="R21" s="64"/>
      <c r="S21" s="64"/>
      <c r="T21" s="64"/>
      <c r="U21" s="64"/>
      <c r="V21" s="64"/>
      <c r="W21" s="64"/>
      <c r="X21" s="64"/>
      <c r="Y21" s="64"/>
      <c r="Z21" s="65"/>
    </row>
    <row r="22" spans="1:26" outlineLevel="1">
      <c r="A22" s="47"/>
      <c r="B22" s="52"/>
      <c r="C22" s="75" t="s">
        <v>64</v>
      </c>
      <c r="D22" s="81"/>
      <c r="E22" s="81">
        <v>28189</v>
      </c>
      <c r="F22" s="81">
        <f t="shared" ref="F22:K22" si="24">E28</f>
        <v>46176</v>
      </c>
      <c r="G22" s="81">
        <f t="shared" si="24"/>
        <v>55949</v>
      </c>
      <c r="H22" s="81">
        <f t="shared" si="24"/>
        <v>53522</v>
      </c>
      <c r="I22" s="81">
        <f t="shared" si="24"/>
        <v>50822</v>
      </c>
      <c r="J22" s="81">
        <f t="shared" si="24"/>
        <v>50850</v>
      </c>
      <c r="K22" s="81">
        <f t="shared" si="24"/>
        <v>53917</v>
      </c>
      <c r="L22" s="81">
        <f t="shared" ref="L22:S22" si="25">+K28</f>
        <v>56110</v>
      </c>
      <c r="M22" s="81">
        <f t="shared" si="25"/>
        <v>58911</v>
      </c>
      <c r="N22" s="81">
        <f t="shared" si="25"/>
        <v>56560</v>
      </c>
      <c r="O22" s="81">
        <f t="shared" si="25"/>
        <v>59543</v>
      </c>
      <c r="P22" s="81">
        <f t="shared" si="25"/>
        <v>55464</v>
      </c>
      <c r="Q22" s="81">
        <f t="shared" si="25"/>
        <v>56183</v>
      </c>
      <c r="R22" s="81">
        <f t="shared" si="25"/>
        <v>55623.051999999996</v>
      </c>
      <c r="S22" s="81">
        <f t="shared" si="25"/>
        <v>55116.466287999996</v>
      </c>
      <c r="T22" s="81">
        <f t="shared" ref="T22" si="26">+S28</f>
        <v>54643.590804671992</v>
      </c>
      <c r="U22" s="81">
        <f t="shared" ref="U22" si="27">+T28</f>
        <v>54149.908800077559</v>
      </c>
      <c r="V22" s="81">
        <f t="shared" ref="V22" si="28">+U28</f>
        <v>53634.504787280974</v>
      </c>
      <c r="W22" s="81">
        <f t="shared" ref="W22" si="29">+V28</f>
        <v>53096.422997921334</v>
      </c>
      <c r="X22" s="81">
        <f t="shared" ref="X22" si="30">+W28</f>
        <v>52534.66560982987</v>
      </c>
      <c r="Y22" s="81">
        <f t="shared" ref="Y22" si="31">+X28</f>
        <v>51948.190896662381</v>
      </c>
      <c r="Z22" s="65"/>
    </row>
    <row r="23" spans="1:26" outlineLevel="1">
      <c r="A23" s="47"/>
      <c r="B23" s="52"/>
      <c r="C23" s="36" t="s">
        <v>56</v>
      </c>
      <c r="D23" s="69"/>
      <c r="E23" s="69">
        <f t="shared" ref="E23:K23" si="32">E13</f>
        <v>804</v>
      </c>
      <c r="F23" s="69">
        <f t="shared" si="32"/>
        <v>1050</v>
      </c>
      <c r="G23" s="69">
        <f t="shared" si="32"/>
        <v>1257</v>
      </c>
      <c r="H23" s="69">
        <f t="shared" si="32"/>
        <v>1173</v>
      </c>
      <c r="I23" s="69">
        <f t="shared" si="32"/>
        <v>1070</v>
      </c>
      <c r="J23" s="70">
        <f t="shared" si="32"/>
        <v>1075</v>
      </c>
      <c r="K23" s="70">
        <f t="shared" si="32"/>
        <v>1186</v>
      </c>
      <c r="L23" s="70">
        <f t="shared" ref="L23:R23" si="33">+L13</f>
        <v>1216</v>
      </c>
      <c r="M23" s="70">
        <f t="shared" si="33"/>
        <v>1321</v>
      </c>
      <c r="N23" s="70">
        <f t="shared" si="33"/>
        <v>1134</v>
      </c>
      <c r="O23" s="69">
        <f t="shared" ref="O23:P23" si="34">+O13</f>
        <v>1212</v>
      </c>
      <c r="P23" s="69">
        <f t="shared" si="34"/>
        <v>1112</v>
      </c>
      <c r="Q23" s="69">
        <f t="shared" si="33"/>
        <v>1112</v>
      </c>
      <c r="R23" s="69">
        <f t="shared" si="33"/>
        <v>1112</v>
      </c>
      <c r="S23" s="69">
        <f>+S13</f>
        <v>1112</v>
      </c>
      <c r="T23" s="69">
        <f t="shared" ref="T23:Y23" si="35">+T13</f>
        <v>1112</v>
      </c>
      <c r="U23" s="69">
        <f t="shared" si="35"/>
        <v>1112</v>
      </c>
      <c r="V23" s="69">
        <f t="shared" si="35"/>
        <v>1112</v>
      </c>
      <c r="W23" s="69">
        <f t="shared" si="35"/>
        <v>1112</v>
      </c>
      <c r="X23" s="69">
        <f t="shared" si="35"/>
        <v>1112</v>
      </c>
      <c r="Y23" s="69">
        <f t="shared" si="35"/>
        <v>1112</v>
      </c>
      <c r="Z23" s="65"/>
    </row>
    <row r="24" spans="1:26" outlineLevel="1">
      <c r="A24" s="47"/>
      <c r="B24" s="52"/>
      <c r="C24" s="36" t="s">
        <v>58</v>
      </c>
      <c r="D24" s="69"/>
      <c r="E24" s="69">
        <f t="shared" ref="E24:K24" si="36">E15</f>
        <v>1725</v>
      </c>
      <c r="F24" s="69">
        <f t="shared" si="36"/>
        <v>2507</v>
      </c>
      <c r="G24" s="69">
        <f t="shared" si="36"/>
        <v>3220</v>
      </c>
      <c r="H24" s="69">
        <f t="shared" si="36"/>
        <v>3319</v>
      </c>
      <c r="I24" s="69">
        <f t="shared" si="36"/>
        <v>3355</v>
      </c>
      <c r="J24" s="70">
        <f t="shared" si="36"/>
        <v>3150</v>
      </c>
      <c r="K24" s="70">
        <f t="shared" si="36"/>
        <v>2958</v>
      </c>
      <c r="L24" s="70">
        <f t="shared" ref="L24:R24" si="37">+L15</f>
        <v>2800</v>
      </c>
      <c r="M24" s="70">
        <f t="shared" si="37"/>
        <v>2429</v>
      </c>
      <c r="N24" s="70">
        <f t="shared" si="37"/>
        <v>2470</v>
      </c>
      <c r="O24" s="69">
        <f t="shared" ref="O24:P24" si="38">+O15</f>
        <v>1902</v>
      </c>
      <c r="P24" s="69">
        <f t="shared" si="38"/>
        <v>1980</v>
      </c>
      <c r="Q24" s="69">
        <f t="shared" si="37"/>
        <v>2472.0519999999997</v>
      </c>
      <c r="R24" s="69">
        <f t="shared" si="37"/>
        <v>2447.4142879999995</v>
      </c>
      <c r="S24" s="69">
        <f>+S15</f>
        <v>2425.1245166719996</v>
      </c>
      <c r="T24" s="69">
        <f t="shared" ref="T24:Y24" si="39">+T15</f>
        <v>2404.3179954055677</v>
      </c>
      <c r="U24" s="69">
        <f t="shared" si="39"/>
        <v>2382.5959872034123</v>
      </c>
      <c r="V24" s="69">
        <f t="shared" si="39"/>
        <v>2359.9182106403628</v>
      </c>
      <c r="W24" s="69">
        <f t="shared" si="39"/>
        <v>2336.2426119085385</v>
      </c>
      <c r="X24" s="69">
        <f t="shared" si="39"/>
        <v>2311.5252868325142</v>
      </c>
      <c r="Y24" s="69">
        <f t="shared" si="39"/>
        <v>2285.7203994531446</v>
      </c>
      <c r="Z24" s="65"/>
    </row>
    <row r="25" spans="1:26" outlineLevel="1">
      <c r="A25" s="47"/>
      <c r="B25" s="52"/>
      <c r="C25" s="36" t="s">
        <v>65</v>
      </c>
      <c r="D25" s="69"/>
      <c r="E25" s="69">
        <v>1182</v>
      </c>
      <c r="F25" s="69">
        <v>-1499</v>
      </c>
      <c r="G25" s="69">
        <v>-2044</v>
      </c>
      <c r="H25" s="69">
        <v>-1450</v>
      </c>
      <c r="I25" s="69">
        <v>2439</v>
      </c>
      <c r="J25" s="70">
        <v>4224</v>
      </c>
      <c r="K25" s="70">
        <v>2972</v>
      </c>
      <c r="L25" s="70">
        <v>6707</v>
      </c>
      <c r="M25" s="70">
        <v>-2390</v>
      </c>
      <c r="N25" s="70">
        <v>6269</v>
      </c>
      <c r="O25" s="70">
        <v>-3079</v>
      </c>
      <c r="P25" s="70">
        <v>1485</v>
      </c>
      <c r="Q25" s="69">
        <f>P28*(-(Q5-P5))*Q6*100</f>
        <v>0</v>
      </c>
      <c r="R25" s="69">
        <f>Q28*(-(R5-Q5))*R6*100</f>
        <v>0</v>
      </c>
      <c r="S25" s="69">
        <f>R28*(-(S5-R5))*S6*100</f>
        <v>0</v>
      </c>
      <c r="T25" s="69">
        <f t="shared" ref="T25:Y25" si="40">S28*(-(T5-S5))*T6*100</f>
        <v>0</v>
      </c>
      <c r="U25" s="69">
        <f t="shared" si="40"/>
        <v>0</v>
      </c>
      <c r="V25" s="69">
        <f t="shared" si="40"/>
        <v>0</v>
      </c>
      <c r="W25" s="69">
        <f t="shared" si="40"/>
        <v>0</v>
      </c>
      <c r="X25" s="69">
        <f t="shared" si="40"/>
        <v>0</v>
      </c>
      <c r="Y25" s="69">
        <f t="shared" si="40"/>
        <v>0</v>
      </c>
      <c r="Z25" s="65"/>
    </row>
    <row r="26" spans="1:26" outlineLevel="1">
      <c r="A26" s="47"/>
      <c r="B26" s="52"/>
      <c r="C26" s="36" t="s">
        <v>66</v>
      </c>
      <c r="D26" s="69"/>
      <c r="E26" s="69">
        <v>-2679</v>
      </c>
      <c r="F26" s="69">
        <v>-3958</v>
      </c>
      <c r="G26" s="69">
        <v>-5312</v>
      </c>
      <c r="H26" s="69">
        <v>-5795</v>
      </c>
      <c r="I26" s="69">
        <v>-6269</v>
      </c>
      <c r="J26" s="70">
        <v>-5485</v>
      </c>
      <c r="K26" s="70">
        <v>-4950</v>
      </c>
      <c r="L26" s="70">
        <v>-5729</v>
      </c>
      <c r="M26" s="70">
        <v>-3966</v>
      </c>
      <c r="N26" s="70">
        <v>-6543</v>
      </c>
      <c r="O26" s="70">
        <v>-4681</v>
      </c>
      <c r="P26" s="70">
        <v>-3614</v>
      </c>
      <c r="Q26" s="70">
        <v>-4144</v>
      </c>
      <c r="R26" s="70">
        <v>-4066</v>
      </c>
      <c r="S26" s="70">
        <v>-4010</v>
      </c>
      <c r="T26" s="70">
        <v>-4010</v>
      </c>
      <c r="U26" s="70">
        <v>-4010</v>
      </c>
      <c r="V26" s="70">
        <v>-4010</v>
      </c>
      <c r="W26" s="70">
        <v>-4010</v>
      </c>
      <c r="X26" s="70">
        <v>-4010</v>
      </c>
      <c r="Y26" s="70">
        <v>-4010</v>
      </c>
      <c r="Z26" s="65"/>
    </row>
    <row r="27" spans="1:26" outlineLevel="1">
      <c r="A27" s="47"/>
      <c r="B27" s="52"/>
      <c r="C27" s="36" t="s">
        <v>67</v>
      </c>
      <c r="D27" s="69"/>
      <c r="E27" s="69">
        <f>-2+15+16942</f>
        <v>16955</v>
      </c>
      <c r="F27" s="69">
        <f>25+635+11013</f>
        <v>11673</v>
      </c>
      <c r="G27" s="69">
        <f>246+56-15+165</f>
        <v>452</v>
      </c>
      <c r="H27" s="69">
        <f>-15+70-2</f>
        <v>53</v>
      </c>
      <c r="I27" s="69">
        <f>-685+118</f>
        <v>-567</v>
      </c>
      <c r="J27" s="70">
        <v>103</v>
      </c>
      <c r="K27" s="70">
        <v>27</v>
      </c>
      <c r="L27" s="70">
        <f>-1151-149+12-905</f>
        <v>-2193</v>
      </c>
      <c r="M27" s="70">
        <v>255</v>
      </c>
      <c r="N27" s="70">
        <f>-73+17-293+2</f>
        <v>-347</v>
      </c>
      <c r="O27" s="70">
        <f>-8+470+149-42-2</f>
        <v>567</v>
      </c>
      <c r="P27" s="70">
        <f>-206-38</f>
        <v>-244</v>
      </c>
      <c r="Q27" s="69">
        <v>0</v>
      </c>
      <c r="R27" s="69">
        <v>0</v>
      </c>
      <c r="S27" s="69">
        <v>0</v>
      </c>
      <c r="T27" s="69">
        <v>0</v>
      </c>
      <c r="U27" s="69">
        <v>0</v>
      </c>
      <c r="V27" s="69">
        <v>0</v>
      </c>
      <c r="W27" s="69">
        <v>0</v>
      </c>
      <c r="X27" s="69">
        <v>0</v>
      </c>
      <c r="Y27" s="69">
        <v>0</v>
      </c>
      <c r="Z27" s="65"/>
    </row>
    <row r="28" spans="1:26">
      <c r="A28" s="47"/>
      <c r="B28" s="52"/>
      <c r="C28" s="82" t="s">
        <v>68</v>
      </c>
      <c r="D28" s="83"/>
      <c r="E28" s="83">
        <f t="shared" ref="E28:R28" si="41">SUM(E22:E27)</f>
        <v>46176</v>
      </c>
      <c r="F28" s="83">
        <f t="shared" si="41"/>
        <v>55949</v>
      </c>
      <c r="G28" s="83">
        <f t="shared" si="41"/>
        <v>53522</v>
      </c>
      <c r="H28" s="83">
        <f t="shared" si="41"/>
        <v>50822</v>
      </c>
      <c r="I28" s="83">
        <f t="shared" si="41"/>
        <v>50850</v>
      </c>
      <c r="J28" s="83">
        <f t="shared" si="41"/>
        <v>53917</v>
      </c>
      <c r="K28" s="83">
        <f t="shared" si="41"/>
        <v>56110</v>
      </c>
      <c r="L28" s="83">
        <f t="shared" si="41"/>
        <v>58911</v>
      </c>
      <c r="M28" s="83">
        <f t="shared" si="41"/>
        <v>56560</v>
      </c>
      <c r="N28" s="83">
        <f t="shared" si="41"/>
        <v>59543</v>
      </c>
      <c r="O28" s="83">
        <f t="shared" ref="O28:P28" si="42">SUM(O22:O27)</f>
        <v>55464</v>
      </c>
      <c r="P28" s="83">
        <f t="shared" si="42"/>
        <v>56183</v>
      </c>
      <c r="Q28" s="83">
        <f t="shared" si="41"/>
        <v>55623.051999999996</v>
      </c>
      <c r="R28" s="83">
        <f t="shared" si="41"/>
        <v>55116.466287999996</v>
      </c>
      <c r="S28" s="83">
        <f>SUM(S22:S27)</f>
        <v>54643.590804671992</v>
      </c>
      <c r="T28" s="83">
        <f t="shared" ref="T28:Y28" si="43">SUM(T22:T27)</f>
        <v>54149.908800077559</v>
      </c>
      <c r="U28" s="83">
        <f t="shared" si="43"/>
        <v>53634.504787280974</v>
      </c>
      <c r="V28" s="83">
        <f t="shared" si="43"/>
        <v>53096.422997921334</v>
      </c>
      <c r="W28" s="83">
        <f t="shared" si="43"/>
        <v>52534.66560982987</v>
      </c>
      <c r="X28" s="83">
        <f t="shared" si="43"/>
        <v>51948.190896662381</v>
      </c>
      <c r="Y28" s="83">
        <f t="shared" si="43"/>
        <v>51335.911296115526</v>
      </c>
      <c r="Z28" s="74"/>
    </row>
    <row r="29" spans="1:26">
      <c r="A29" s="47"/>
      <c r="B29" s="52"/>
      <c r="C29" s="63"/>
      <c r="D29" s="63"/>
      <c r="E29" s="63"/>
      <c r="F29" s="63"/>
      <c r="G29" s="63"/>
      <c r="H29" s="64"/>
      <c r="I29" s="64"/>
      <c r="J29" s="64"/>
      <c r="K29" s="64"/>
      <c r="L29" s="64"/>
      <c r="M29" s="64"/>
      <c r="N29" s="64"/>
      <c r="O29" s="64"/>
      <c r="P29" s="64"/>
      <c r="Q29" s="64"/>
      <c r="R29" s="64"/>
      <c r="S29" s="64"/>
      <c r="T29" s="64"/>
      <c r="U29" s="64"/>
      <c r="V29" s="64"/>
      <c r="W29" s="64"/>
      <c r="X29" s="64"/>
      <c r="Y29" s="64"/>
      <c r="Z29" s="65"/>
    </row>
    <row r="30" spans="1:26" outlineLevel="1">
      <c r="A30" s="47"/>
      <c r="B30" s="52"/>
      <c r="C30" s="75" t="s">
        <v>69</v>
      </c>
      <c r="D30" s="81"/>
      <c r="E30" s="81">
        <v>29813</v>
      </c>
      <c r="F30" s="81">
        <f t="shared" ref="F30:K30" si="44">E35</f>
        <v>48755</v>
      </c>
      <c r="G30" s="81">
        <f t="shared" si="44"/>
        <v>69284</v>
      </c>
      <c r="H30" s="81">
        <f t="shared" si="44"/>
        <v>70810</v>
      </c>
      <c r="I30" s="81">
        <f t="shared" si="44"/>
        <v>46828</v>
      </c>
      <c r="J30" s="81">
        <f t="shared" si="44"/>
        <v>46873</v>
      </c>
      <c r="K30" s="81">
        <f t="shared" si="44"/>
        <v>47621</v>
      </c>
      <c r="L30" s="81">
        <f t="shared" ref="L30:S30" si="45">+K35</f>
        <v>45907</v>
      </c>
      <c r="M30" s="81">
        <f t="shared" si="45"/>
        <v>45060</v>
      </c>
      <c r="N30" s="81">
        <f t="shared" si="45"/>
        <v>56447</v>
      </c>
      <c r="O30" s="81">
        <f>+N35</f>
        <v>54184</v>
      </c>
      <c r="P30" s="81">
        <f>+O35</f>
        <v>51216</v>
      </c>
      <c r="Q30" s="81">
        <f t="shared" si="45"/>
        <v>51631</v>
      </c>
      <c r="R30" s="81">
        <f t="shared" si="45"/>
        <v>52048.402499999997</v>
      </c>
      <c r="S30" s="81">
        <f t="shared" si="45"/>
        <v>52185.790674999997</v>
      </c>
      <c r="T30" s="81">
        <f t="shared" ref="T30" si="46">+S35</f>
        <v>52388.796022249997</v>
      </c>
      <c r="U30" s="81">
        <f t="shared" ref="U30" si="47">+T35</f>
        <v>52606.011743807496</v>
      </c>
      <c r="V30" s="81">
        <f t="shared" ref="V30" si="48">+U35</f>
        <v>52838.43256587402</v>
      </c>
      <c r="W30" s="81">
        <f t="shared" ref="W30" si="49">+V35</f>
        <v>53087.122845485203</v>
      </c>
      <c r="X30" s="81">
        <f t="shared" ref="X30" si="50">+W35</f>
        <v>53353.221444669165</v>
      </c>
      <c r="Y30" s="81">
        <f t="shared" ref="Y30" si="51">+X35</f>
        <v>53637.946945796008</v>
      </c>
      <c r="Z30" s="65"/>
    </row>
    <row r="31" spans="1:26" outlineLevel="1">
      <c r="A31" s="47"/>
      <c r="B31" s="52"/>
      <c r="C31" s="36" t="s">
        <v>70</v>
      </c>
      <c r="D31" s="69"/>
      <c r="E31" s="84">
        <v>2704</v>
      </c>
      <c r="F31" s="84">
        <v>6311</v>
      </c>
      <c r="G31" s="84">
        <v>6833</v>
      </c>
      <c r="H31" s="84">
        <v>-18190</v>
      </c>
      <c r="I31" s="69">
        <v>6312</v>
      </c>
      <c r="J31" s="70">
        <v>6230</v>
      </c>
      <c r="K31" s="70">
        <v>2238</v>
      </c>
      <c r="L31" s="70">
        <v>5041</v>
      </c>
      <c r="M31" s="70">
        <v>5935</v>
      </c>
      <c r="N31" s="70">
        <v>4213</v>
      </c>
      <c r="O31" s="70">
        <v>604</v>
      </c>
      <c r="P31" s="70">
        <v>3123</v>
      </c>
      <c r="Q31" s="69">
        <f>Q8*Q30</f>
        <v>4001.4025000000001</v>
      </c>
      <c r="R31" s="69">
        <f>R8*R30</f>
        <v>3643.388175</v>
      </c>
      <c r="S31" s="69">
        <f>S8*S30</f>
        <v>3653.0053472499999</v>
      </c>
      <c r="T31" s="69">
        <f t="shared" ref="T31:Y31" si="52">T8*T30</f>
        <v>3667.2157215575003</v>
      </c>
      <c r="U31" s="69">
        <f t="shared" si="52"/>
        <v>3682.420822066525</v>
      </c>
      <c r="V31" s="69">
        <f t="shared" si="52"/>
        <v>3698.6902796111817</v>
      </c>
      <c r="W31" s="69">
        <f t="shared" si="52"/>
        <v>3716.0985991839643</v>
      </c>
      <c r="X31" s="69">
        <f t="shared" si="52"/>
        <v>3734.7255011268421</v>
      </c>
      <c r="Y31" s="69">
        <f t="shared" si="52"/>
        <v>3754.6562862057208</v>
      </c>
      <c r="Z31" s="65"/>
    </row>
    <row r="32" spans="1:26" outlineLevel="1">
      <c r="A32" s="47"/>
      <c r="B32" s="52"/>
      <c r="C32" s="36" t="s">
        <v>71</v>
      </c>
      <c r="D32" s="69"/>
      <c r="E32" s="69">
        <v>0</v>
      </c>
      <c r="F32" s="69">
        <v>0</v>
      </c>
      <c r="G32" s="69">
        <v>0</v>
      </c>
      <c r="H32" s="69">
        <v>0</v>
      </c>
      <c r="I32" s="69">
        <v>2</v>
      </c>
      <c r="J32" s="70">
        <v>0</v>
      </c>
      <c r="K32" s="70">
        <v>1000</v>
      </c>
      <c r="L32" s="70">
        <v>3</v>
      </c>
      <c r="M32" s="70">
        <f>209+9209</f>
        <v>9418</v>
      </c>
      <c r="N32" s="70">
        <f>562+9021-9209</f>
        <v>374</v>
      </c>
      <c r="O32" s="70">
        <f>735</f>
        <v>735</v>
      </c>
      <c r="P32" s="70">
        <v>910</v>
      </c>
      <c r="Q32" s="70">
        <v>560</v>
      </c>
      <c r="R32" s="70">
        <v>560</v>
      </c>
      <c r="S32" s="70">
        <v>560</v>
      </c>
      <c r="T32" s="70">
        <v>560</v>
      </c>
      <c r="U32" s="70">
        <v>560</v>
      </c>
      <c r="V32" s="70">
        <v>560</v>
      </c>
      <c r="W32" s="70">
        <v>560</v>
      </c>
      <c r="X32" s="70">
        <v>560</v>
      </c>
      <c r="Y32" s="70">
        <v>560</v>
      </c>
      <c r="Z32" s="65"/>
    </row>
    <row r="33" spans="1:26" outlineLevel="1">
      <c r="A33" s="47"/>
      <c r="B33" s="52"/>
      <c r="C33" s="36" t="s">
        <v>66</v>
      </c>
      <c r="D33" s="69"/>
      <c r="E33" s="69">
        <f t="shared" ref="E33:R33" si="53">E26</f>
        <v>-2679</v>
      </c>
      <c r="F33" s="69">
        <f t="shared" si="53"/>
        <v>-3958</v>
      </c>
      <c r="G33" s="69">
        <f t="shared" si="53"/>
        <v>-5312</v>
      </c>
      <c r="H33" s="69">
        <f t="shared" si="53"/>
        <v>-5795</v>
      </c>
      <c r="I33" s="69">
        <f t="shared" si="53"/>
        <v>-6269</v>
      </c>
      <c r="J33" s="70">
        <f t="shared" si="53"/>
        <v>-5485</v>
      </c>
      <c r="K33" s="70">
        <f t="shared" si="53"/>
        <v>-4950</v>
      </c>
      <c r="L33" s="70">
        <f t="shared" si="53"/>
        <v>-5729</v>
      </c>
      <c r="M33" s="70">
        <f t="shared" si="53"/>
        <v>-3966</v>
      </c>
      <c r="N33" s="70">
        <f t="shared" si="53"/>
        <v>-6543</v>
      </c>
      <c r="O33" s="69">
        <f t="shared" ref="O33:P33" si="54">O26</f>
        <v>-4681</v>
      </c>
      <c r="P33" s="69">
        <f t="shared" si="54"/>
        <v>-3614</v>
      </c>
      <c r="Q33" s="69">
        <f t="shared" si="53"/>
        <v>-4144</v>
      </c>
      <c r="R33" s="69">
        <f t="shared" si="53"/>
        <v>-4066</v>
      </c>
      <c r="S33" s="69">
        <f>S26</f>
        <v>-4010</v>
      </c>
      <c r="T33" s="69">
        <f t="shared" ref="T33:Y33" si="55">T26</f>
        <v>-4010</v>
      </c>
      <c r="U33" s="69">
        <f t="shared" si="55"/>
        <v>-4010</v>
      </c>
      <c r="V33" s="69">
        <f t="shared" si="55"/>
        <v>-4010</v>
      </c>
      <c r="W33" s="69">
        <f t="shared" si="55"/>
        <v>-4010</v>
      </c>
      <c r="X33" s="69">
        <f t="shared" si="55"/>
        <v>-4010</v>
      </c>
      <c r="Y33" s="69">
        <f t="shared" si="55"/>
        <v>-4010</v>
      </c>
      <c r="Z33" s="65"/>
    </row>
    <row r="34" spans="1:26" outlineLevel="1">
      <c r="A34" s="47"/>
      <c r="B34" s="52"/>
      <c r="C34" s="36" t="s">
        <v>72</v>
      </c>
      <c r="D34" s="69"/>
      <c r="E34" s="69">
        <v>18917</v>
      </c>
      <c r="F34" s="69">
        <f>17628+548</f>
        <v>18176</v>
      </c>
      <c r="G34" s="69">
        <v>5</v>
      </c>
      <c r="H34" s="69">
        <v>3</v>
      </c>
      <c r="I34" s="69">
        <v>0</v>
      </c>
      <c r="J34" s="70">
        <v>3</v>
      </c>
      <c r="K34" s="70">
        <v>-2</v>
      </c>
      <c r="L34" s="70">
        <f>-165+3</f>
        <v>-162</v>
      </c>
      <c r="M34" s="70">
        <v>0</v>
      </c>
      <c r="N34" s="70">
        <f>-308+1</f>
        <v>-307</v>
      </c>
      <c r="O34" s="70">
        <f>-42-2+418</f>
        <v>374</v>
      </c>
      <c r="P34" s="70">
        <v>-4</v>
      </c>
      <c r="Q34" s="69">
        <v>0</v>
      </c>
      <c r="R34" s="69">
        <v>0</v>
      </c>
      <c r="S34" s="69">
        <v>0</v>
      </c>
      <c r="T34" s="69">
        <v>0</v>
      </c>
      <c r="U34" s="69">
        <v>0</v>
      </c>
      <c r="V34" s="69">
        <v>0</v>
      </c>
      <c r="W34" s="69">
        <v>0</v>
      </c>
      <c r="X34" s="69">
        <v>0</v>
      </c>
      <c r="Y34" s="69">
        <v>0</v>
      </c>
      <c r="Z34" s="65"/>
    </row>
    <row r="35" spans="1:26">
      <c r="A35" s="47"/>
      <c r="B35" s="52"/>
      <c r="C35" s="82" t="s">
        <v>73</v>
      </c>
      <c r="D35" s="83"/>
      <c r="E35" s="83">
        <f t="shared" ref="E35:L35" si="56">SUM(E30:E34)</f>
        <v>48755</v>
      </c>
      <c r="F35" s="83">
        <f t="shared" si="56"/>
        <v>69284</v>
      </c>
      <c r="G35" s="83">
        <f t="shared" si="56"/>
        <v>70810</v>
      </c>
      <c r="H35" s="83">
        <f t="shared" si="56"/>
        <v>46828</v>
      </c>
      <c r="I35" s="83">
        <f t="shared" si="56"/>
        <v>46873</v>
      </c>
      <c r="J35" s="83">
        <f t="shared" si="56"/>
        <v>47621</v>
      </c>
      <c r="K35" s="83">
        <f t="shared" si="56"/>
        <v>45907</v>
      </c>
      <c r="L35" s="83">
        <f t="shared" si="56"/>
        <v>45060</v>
      </c>
      <c r="M35" s="83">
        <f t="shared" ref="M35:S35" si="57">SUM(M30:M34)</f>
        <v>56447</v>
      </c>
      <c r="N35" s="83">
        <f t="shared" si="57"/>
        <v>54184</v>
      </c>
      <c r="O35" s="83">
        <f t="shared" ref="O35:P35" si="58">SUM(O30:O34)</f>
        <v>51216</v>
      </c>
      <c r="P35" s="83">
        <f t="shared" si="58"/>
        <v>51631</v>
      </c>
      <c r="Q35" s="83">
        <f t="shared" si="57"/>
        <v>52048.402499999997</v>
      </c>
      <c r="R35" s="83">
        <f t="shared" si="57"/>
        <v>52185.790674999997</v>
      </c>
      <c r="S35" s="83">
        <f t="shared" si="57"/>
        <v>52388.796022249997</v>
      </c>
      <c r="T35" s="83">
        <f t="shared" ref="T35:Y35" si="59">SUM(T30:T34)</f>
        <v>52606.011743807496</v>
      </c>
      <c r="U35" s="83">
        <f t="shared" si="59"/>
        <v>52838.43256587402</v>
      </c>
      <c r="V35" s="83">
        <f t="shared" si="59"/>
        <v>53087.122845485203</v>
      </c>
      <c r="W35" s="83">
        <f t="shared" si="59"/>
        <v>53353.221444669165</v>
      </c>
      <c r="X35" s="83">
        <f t="shared" si="59"/>
        <v>53637.946945796008</v>
      </c>
      <c r="Y35" s="83">
        <f t="shared" si="59"/>
        <v>53942.603232001726</v>
      </c>
      <c r="Z35" s="74"/>
    </row>
    <row r="36" spans="1:26">
      <c r="A36" s="47"/>
      <c r="B36" s="52"/>
      <c r="C36" s="63"/>
      <c r="D36" s="63"/>
      <c r="E36" s="63"/>
      <c r="F36" s="63"/>
      <c r="G36" s="63"/>
      <c r="H36" s="64"/>
      <c r="I36" s="64"/>
      <c r="J36" s="64"/>
      <c r="K36" s="64"/>
      <c r="L36" s="64"/>
      <c r="M36" s="64"/>
      <c r="N36" s="64"/>
      <c r="O36" s="64"/>
      <c r="P36" s="64"/>
      <c r="Q36" s="64"/>
      <c r="R36" s="64"/>
      <c r="S36" s="64"/>
      <c r="T36" s="64"/>
      <c r="U36" s="64"/>
      <c r="V36" s="64"/>
      <c r="W36" s="64"/>
      <c r="X36" s="64"/>
      <c r="Y36" s="64"/>
      <c r="Z36" s="65"/>
    </row>
    <row r="37" spans="1:26">
      <c r="A37" s="47"/>
      <c r="B37" s="52"/>
      <c r="C37" s="85" t="s">
        <v>74</v>
      </c>
      <c r="D37" s="86"/>
      <c r="E37" s="86">
        <f t="shared" ref="E37:R37" si="60">IF(ISERROR(E28-E35),0,E28-E35)</f>
        <v>-2579</v>
      </c>
      <c r="F37" s="86">
        <f t="shared" si="60"/>
        <v>-13335</v>
      </c>
      <c r="G37" s="86">
        <f t="shared" si="60"/>
        <v>-17288</v>
      </c>
      <c r="H37" s="86">
        <f t="shared" si="60"/>
        <v>3994</v>
      </c>
      <c r="I37" s="86">
        <f t="shared" si="60"/>
        <v>3977</v>
      </c>
      <c r="J37" s="86">
        <f t="shared" si="60"/>
        <v>6296</v>
      </c>
      <c r="K37" s="86">
        <f t="shared" si="60"/>
        <v>10203</v>
      </c>
      <c r="L37" s="86">
        <f t="shared" si="60"/>
        <v>13851</v>
      </c>
      <c r="M37" s="86">
        <f t="shared" si="60"/>
        <v>113</v>
      </c>
      <c r="N37" s="86">
        <f t="shared" si="60"/>
        <v>5359</v>
      </c>
      <c r="O37" s="86">
        <f t="shared" ref="O37:P37" si="61">IF(ISERROR(O28-O35),0,O28-O35)</f>
        <v>4248</v>
      </c>
      <c r="P37" s="86">
        <f t="shared" si="61"/>
        <v>4552</v>
      </c>
      <c r="Q37" s="86">
        <f t="shared" si="60"/>
        <v>3574.6494999999995</v>
      </c>
      <c r="R37" s="86">
        <f t="shared" si="60"/>
        <v>2930.6756129999994</v>
      </c>
      <c r="S37" s="86">
        <f>IF(ISERROR(S28-S35),0,S28-S35)</f>
        <v>2254.7947824219955</v>
      </c>
      <c r="T37" s="86">
        <f t="shared" ref="T37:Y37" si="62">IF(ISERROR(T28-T35),0,T28-T35)</f>
        <v>1543.8970562700633</v>
      </c>
      <c r="U37" s="86">
        <f t="shared" si="62"/>
        <v>796.07222140695376</v>
      </c>
      <c r="V37" s="86">
        <f t="shared" si="62"/>
        <v>9.3001524361316115</v>
      </c>
      <c r="W37" s="86">
        <f t="shared" si="62"/>
        <v>-818.55583483929513</v>
      </c>
      <c r="X37" s="86">
        <f t="shared" si="62"/>
        <v>-1689.7560491336262</v>
      </c>
      <c r="Y37" s="86">
        <f t="shared" si="62"/>
        <v>-2606.6919358861996</v>
      </c>
      <c r="Z37" s="74"/>
    </row>
    <row r="38" spans="1:26">
      <c r="A38" s="47"/>
      <c r="B38" s="52"/>
      <c r="C38" s="80" t="s">
        <v>75</v>
      </c>
      <c r="D38" s="87"/>
      <c r="E38" s="87">
        <f t="shared" ref="E38:R38" si="63">IF(ISERROR(E35/E28),"NA",E35/E28)</f>
        <v>1.0558515246015245</v>
      </c>
      <c r="F38" s="87">
        <f t="shared" si="63"/>
        <v>1.2383420615203131</v>
      </c>
      <c r="G38" s="87">
        <f t="shared" si="63"/>
        <v>1.3230073614588393</v>
      </c>
      <c r="H38" s="87">
        <f t="shared" si="63"/>
        <v>0.92141198693479198</v>
      </c>
      <c r="I38" s="87">
        <f t="shared" si="63"/>
        <v>0.9217895771878073</v>
      </c>
      <c r="J38" s="87">
        <f t="shared" si="63"/>
        <v>0.88322792440232212</v>
      </c>
      <c r="K38" s="87">
        <f t="shared" si="63"/>
        <v>0.81816075565852786</v>
      </c>
      <c r="L38" s="87">
        <f t="shared" si="63"/>
        <v>0.76488261954473702</v>
      </c>
      <c r="M38" s="87">
        <f t="shared" si="63"/>
        <v>0.99800212164073554</v>
      </c>
      <c r="N38" s="87">
        <f t="shared" si="63"/>
        <v>0.90999781670389468</v>
      </c>
      <c r="O38" s="87">
        <f t="shared" ref="O38:P38" si="64">IF(ISERROR(O35/O28),"NA",O35/O28)</f>
        <v>0.9234097793163133</v>
      </c>
      <c r="P38" s="87">
        <f t="shared" si="64"/>
        <v>0.91897905060249541</v>
      </c>
      <c r="Q38" s="87">
        <f t="shared" si="63"/>
        <v>0.93573438760605943</v>
      </c>
      <c r="R38" s="87">
        <f t="shared" si="63"/>
        <v>0.94682758510521436</v>
      </c>
      <c r="S38" s="87">
        <f>IF(ISERROR(S35/S28),"NA",S35/S28)</f>
        <v>0.95873633578580253</v>
      </c>
      <c r="T38" s="87">
        <f t="shared" ref="T38:Y38" si="65">IF(ISERROR(T35/T28),"NA",T35/T28)</f>
        <v>0.97148846433019564</v>
      </c>
      <c r="U38" s="87">
        <f t="shared" si="65"/>
        <v>0.98515746114251923</v>
      </c>
      <c r="V38" s="87">
        <f t="shared" si="65"/>
        <v>0.99982484408720917</v>
      </c>
      <c r="W38" s="87">
        <f t="shared" si="65"/>
        <v>1.0155812514524911</v>
      </c>
      <c r="X38" s="87">
        <f t="shared" si="65"/>
        <v>1.0325277169419618</v>
      </c>
      <c r="Y38" s="87">
        <f t="shared" si="65"/>
        <v>1.0507771630048659</v>
      </c>
      <c r="Z38" s="88"/>
    </row>
    <row r="39" spans="1:26" ht="6" customHeight="1">
      <c r="A39" s="47"/>
      <c r="B39" s="52"/>
      <c r="C39" s="63"/>
      <c r="D39" s="63"/>
      <c r="E39" s="63"/>
      <c r="F39" s="63"/>
      <c r="G39" s="63"/>
      <c r="H39" s="89"/>
      <c r="I39" s="89"/>
      <c r="J39" s="89"/>
      <c r="K39" s="89"/>
      <c r="L39" s="89"/>
      <c r="M39" s="89"/>
      <c r="N39" s="89"/>
      <c r="O39" s="89"/>
      <c r="P39" s="89"/>
      <c r="Q39" s="89"/>
      <c r="R39" s="89"/>
      <c r="S39" s="89"/>
      <c r="T39" s="89"/>
      <c r="U39" s="89"/>
      <c r="V39" s="89"/>
      <c r="W39" s="89"/>
      <c r="X39" s="89"/>
      <c r="Y39" s="89"/>
      <c r="Z39" s="90"/>
    </row>
    <row r="40" spans="1:26">
      <c r="A40" s="47"/>
      <c r="B40" s="52"/>
      <c r="C40" s="36" t="s">
        <v>76</v>
      </c>
      <c r="D40" s="69"/>
      <c r="E40" s="69">
        <f t="shared" ref="E40:S40" si="66">IF(ISERROR(E37*E9),0,E37*E9)</f>
        <v>-902.65</v>
      </c>
      <c r="F40" s="69">
        <f t="shared" si="66"/>
        <v>-4667.25</v>
      </c>
      <c r="G40" s="69">
        <f t="shared" si="66"/>
        <v>-6050.7999999999993</v>
      </c>
      <c r="H40" s="69">
        <f t="shared" si="66"/>
        <v>1397.8999999999999</v>
      </c>
      <c r="I40" s="69">
        <f t="shared" si="66"/>
        <v>1391.9499999999998</v>
      </c>
      <c r="J40" s="69">
        <f t="shared" si="66"/>
        <v>2203.6</v>
      </c>
      <c r="K40" s="69">
        <f t="shared" si="66"/>
        <v>3571.0499999999997</v>
      </c>
      <c r="L40" s="69">
        <f t="shared" si="66"/>
        <v>4847.8499999999995</v>
      </c>
      <c r="M40" s="69">
        <f t="shared" si="66"/>
        <v>39.549999999999997</v>
      </c>
      <c r="N40" s="69">
        <f t="shared" si="66"/>
        <v>1875.6499999999999</v>
      </c>
      <c r="O40" s="69">
        <f t="shared" ref="O40:P40" si="67">IF(ISERROR(O37*O9),0,O37*O9)</f>
        <v>1486.8</v>
      </c>
      <c r="P40" s="69">
        <f t="shared" si="67"/>
        <v>1593.1999999999998</v>
      </c>
      <c r="Q40" s="69">
        <f t="shared" si="66"/>
        <v>1251.1273249999997</v>
      </c>
      <c r="R40" s="69">
        <f t="shared" si="66"/>
        <v>674.05539098999986</v>
      </c>
      <c r="S40" s="69">
        <f t="shared" si="66"/>
        <v>518.60279995705901</v>
      </c>
      <c r="T40" s="69">
        <f t="shared" ref="T40:Y40" si="68">IF(ISERROR(T37*T9),0,T37*T9)</f>
        <v>355.09632294211457</v>
      </c>
      <c r="U40" s="69">
        <f t="shared" si="68"/>
        <v>183.09661092359937</v>
      </c>
      <c r="V40" s="69">
        <f t="shared" si="68"/>
        <v>2.1390350603102708</v>
      </c>
      <c r="W40" s="69">
        <f t="shared" si="68"/>
        <v>-188.26784201303789</v>
      </c>
      <c r="X40" s="69">
        <f t="shared" si="68"/>
        <v>-388.64389130073403</v>
      </c>
      <c r="Y40" s="69">
        <f t="shared" si="68"/>
        <v>-599.53914525382595</v>
      </c>
      <c r="Z40" s="74"/>
    </row>
    <row r="41" spans="1:26" ht="6" customHeight="1">
      <c r="A41" s="47"/>
      <c r="B41" s="52"/>
      <c r="C41" s="63"/>
      <c r="D41" s="63"/>
      <c r="E41" s="63"/>
      <c r="F41" s="63"/>
      <c r="G41" s="63"/>
      <c r="H41" s="91"/>
      <c r="I41" s="91"/>
      <c r="J41" s="91"/>
      <c r="K41" s="91"/>
      <c r="L41" s="91"/>
      <c r="M41" s="91"/>
      <c r="N41" s="91"/>
      <c r="O41" s="91"/>
      <c r="P41" s="91"/>
      <c r="Q41" s="91"/>
      <c r="R41" s="91"/>
      <c r="S41" s="91"/>
      <c r="T41" s="91"/>
      <c r="U41" s="91"/>
      <c r="V41" s="91"/>
      <c r="W41" s="91"/>
      <c r="X41" s="91"/>
      <c r="Y41" s="91"/>
      <c r="Z41" s="92"/>
    </row>
    <row r="42" spans="1:26">
      <c r="A42" s="47"/>
      <c r="B42" s="66" t="s">
        <v>77</v>
      </c>
      <c r="C42" s="66"/>
      <c r="D42" s="67"/>
      <c r="E42" s="67"/>
      <c r="F42" s="67"/>
      <c r="G42" s="67"/>
      <c r="H42" s="91"/>
      <c r="I42" s="91"/>
      <c r="J42" s="91"/>
      <c r="K42" s="91"/>
      <c r="L42" s="91"/>
      <c r="M42" s="91"/>
      <c r="N42" s="91"/>
      <c r="O42" s="91"/>
      <c r="P42" s="91"/>
      <c r="Q42" s="91"/>
      <c r="R42" s="91"/>
      <c r="S42" s="91"/>
      <c r="T42" s="91"/>
      <c r="U42" s="91"/>
      <c r="V42" s="91"/>
      <c r="W42" s="91"/>
      <c r="X42" s="91"/>
      <c r="Y42" s="91"/>
      <c r="Z42" s="92"/>
    </row>
    <row r="43" spans="1:26">
      <c r="A43" s="47"/>
      <c r="B43" s="52"/>
      <c r="C43" s="80" t="s">
        <v>78</v>
      </c>
      <c r="D43" s="93"/>
      <c r="E43" s="93">
        <f t="shared" ref="E43:S43" si="69">IF(ISERROR(-E32*(1-E9)),0,(-E32*(1-E9)))</f>
        <v>0</v>
      </c>
      <c r="F43" s="93">
        <f t="shared" si="69"/>
        <v>0</v>
      </c>
      <c r="G43" s="93">
        <f t="shared" si="69"/>
        <v>0</v>
      </c>
      <c r="H43" s="93">
        <f t="shared" si="69"/>
        <v>0</v>
      </c>
      <c r="I43" s="93">
        <f t="shared" si="69"/>
        <v>-1.3</v>
      </c>
      <c r="J43" s="93">
        <f t="shared" si="69"/>
        <v>0</v>
      </c>
      <c r="K43" s="93">
        <f t="shared" si="69"/>
        <v>-650</v>
      </c>
      <c r="L43" s="93">
        <f t="shared" si="69"/>
        <v>-1.9500000000000002</v>
      </c>
      <c r="M43" s="93">
        <f t="shared" si="69"/>
        <v>-6121.7</v>
      </c>
      <c r="N43" s="93">
        <f t="shared" si="69"/>
        <v>-243.1</v>
      </c>
      <c r="O43" s="93">
        <f t="shared" ref="O43:P43" si="70">IF(ISERROR(-O32*(1-O9)),0,(-O32*(1-O9)))</f>
        <v>-477.75</v>
      </c>
      <c r="P43" s="93">
        <f t="shared" si="70"/>
        <v>-591.5</v>
      </c>
      <c r="Q43" s="93">
        <f t="shared" si="69"/>
        <v>-364</v>
      </c>
      <c r="R43" s="93">
        <f t="shared" si="69"/>
        <v>-431.2</v>
      </c>
      <c r="S43" s="93">
        <f t="shared" si="69"/>
        <v>-431.2</v>
      </c>
      <c r="T43" s="93">
        <f t="shared" ref="T43:Y43" si="71">IF(ISERROR(-T32*(1-T9)),0,(-T32*(1-T9)))</f>
        <v>-431.2</v>
      </c>
      <c r="U43" s="93">
        <f t="shared" si="71"/>
        <v>-431.2</v>
      </c>
      <c r="V43" s="93">
        <f t="shared" si="71"/>
        <v>-431.2</v>
      </c>
      <c r="W43" s="93">
        <f t="shared" si="71"/>
        <v>-431.2</v>
      </c>
      <c r="X43" s="93">
        <f t="shared" si="71"/>
        <v>-431.2</v>
      </c>
      <c r="Y43" s="93">
        <f t="shared" si="71"/>
        <v>-431.2</v>
      </c>
      <c r="Z43" s="94"/>
    </row>
    <row r="44" spans="1:26">
      <c r="A44" s="47"/>
      <c r="B44" s="52"/>
      <c r="C44" s="80"/>
      <c r="D44" s="95"/>
      <c r="E44" s="95"/>
      <c r="F44" s="95"/>
      <c r="G44" s="95"/>
      <c r="H44" s="95"/>
      <c r="I44" s="95"/>
      <c r="J44" s="95"/>
      <c r="K44" s="95"/>
      <c r="L44" s="95"/>
      <c r="M44" s="95"/>
      <c r="N44" s="95"/>
      <c r="O44" s="95"/>
      <c r="P44" s="95"/>
      <c r="Q44" s="95"/>
      <c r="R44" s="95"/>
      <c r="S44" s="95"/>
      <c r="T44" s="95"/>
      <c r="U44" s="95"/>
      <c r="V44" s="95"/>
      <c r="W44" s="95"/>
      <c r="X44" s="95"/>
      <c r="Y44" s="95"/>
      <c r="Z44" s="94"/>
    </row>
    <row r="45" spans="1:26" ht="7.5" customHeight="1">
      <c r="A45" s="47"/>
      <c r="B45" s="52"/>
      <c r="C45" s="63"/>
      <c r="D45" s="63"/>
      <c r="E45" s="63"/>
      <c r="F45" s="63"/>
      <c r="G45" s="63"/>
      <c r="H45" s="68"/>
      <c r="I45" s="68"/>
      <c r="J45" s="68"/>
      <c r="K45" s="68"/>
      <c r="L45" s="68"/>
      <c r="M45" s="68"/>
      <c r="N45" s="68"/>
      <c r="O45" s="68"/>
      <c r="P45" s="68"/>
      <c r="Q45" s="68"/>
      <c r="R45" s="68"/>
      <c r="S45" s="68"/>
      <c r="T45" s="68"/>
      <c r="U45" s="68"/>
      <c r="V45" s="68"/>
      <c r="W45" s="68"/>
      <c r="X45" s="68"/>
      <c r="Y45" s="68"/>
      <c r="Z45" s="46"/>
    </row>
    <row r="46" spans="1:26">
      <c r="A46" s="47"/>
      <c r="B46" s="48" t="s">
        <v>79</v>
      </c>
      <c r="C46" s="48"/>
      <c r="D46" s="49"/>
      <c r="E46" s="49">
        <f t="shared" ref="E46:K46" si="72">+E11</f>
        <v>2005</v>
      </c>
      <c r="F46" s="49">
        <f t="shared" si="72"/>
        <v>2006</v>
      </c>
      <c r="G46" s="49">
        <f t="shared" si="72"/>
        <v>2007</v>
      </c>
      <c r="H46" s="49">
        <f t="shared" si="72"/>
        <v>2008</v>
      </c>
      <c r="I46" s="49">
        <f t="shared" si="72"/>
        <v>2009</v>
      </c>
      <c r="J46" s="49">
        <f t="shared" si="72"/>
        <v>2010</v>
      </c>
      <c r="K46" s="49">
        <f t="shared" si="72"/>
        <v>2011</v>
      </c>
      <c r="L46" s="49">
        <v>2012</v>
      </c>
      <c r="M46" s="49">
        <v>2013</v>
      </c>
      <c r="N46" s="49">
        <v>2014</v>
      </c>
      <c r="O46" s="49">
        <f>+O4</f>
        <v>2015</v>
      </c>
      <c r="P46" s="49">
        <f>+P4</f>
        <v>2016</v>
      </c>
      <c r="Q46" s="50">
        <f>+Q11</f>
        <v>2017</v>
      </c>
      <c r="R46" s="50" t="str">
        <f>+R11</f>
        <v>2018E</v>
      </c>
      <c r="S46" s="50" t="str">
        <f>+S11</f>
        <v>2019E</v>
      </c>
      <c r="T46" s="50" t="str">
        <f t="shared" ref="T46:Y46" si="73">+T11</f>
        <v>2020E</v>
      </c>
      <c r="U46" s="50" t="str">
        <f t="shared" si="73"/>
        <v>2021E</v>
      </c>
      <c r="V46" s="50" t="str">
        <f t="shared" si="73"/>
        <v>2022E</v>
      </c>
      <c r="W46" s="50" t="str">
        <f t="shared" si="73"/>
        <v>2023E</v>
      </c>
      <c r="X46" s="50" t="str">
        <f t="shared" si="73"/>
        <v>2024E</v>
      </c>
      <c r="Y46" s="50" t="str">
        <f t="shared" si="73"/>
        <v>2025E</v>
      </c>
      <c r="Z46" s="51"/>
    </row>
    <row r="47" spans="1:26">
      <c r="A47" s="47"/>
      <c r="B47" s="96" t="s">
        <v>80</v>
      </c>
      <c r="C47" s="96"/>
      <c r="D47" s="97"/>
      <c r="E47" s="97"/>
      <c r="F47" s="97"/>
      <c r="G47" s="97"/>
      <c r="H47" s="98"/>
      <c r="I47" s="98"/>
      <c r="J47" s="98"/>
      <c r="K47" s="98"/>
      <c r="L47" s="98"/>
      <c r="M47" s="98"/>
      <c r="N47" s="98"/>
      <c r="O47" s="98"/>
      <c r="P47" s="98"/>
      <c r="Q47" s="98"/>
      <c r="R47" s="98"/>
      <c r="S47" s="98"/>
      <c r="T47" s="98"/>
      <c r="U47" s="98"/>
      <c r="V47" s="98"/>
      <c r="W47" s="98"/>
      <c r="X47" s="98"/>
      <c r="Y47" s="98"/>
      <c r="Z47" s="99"/>
    </row>
    <row r="48" spans="1:26" ht="15.75" customHeight="1">
      <c r="A48" s="47"/>
      <c r="B48" s="100"/>
      <c r="C48" s="101" t="s">
        <v>81</v>
      </c>
      <c r="D48" s="98"/>
      <c r="E48" s="98"/>
      <c r="F48" s="98"/>
      <c r="G48" s="98"/>
      <c r="H48" s="98"/>
      <c r="I48" s="98"/>
      <c r="J48" s="98"/>
      <c r="K48" s="98"/>
      <c r="L48" s="64"/>
      <c r="M48" s="64"/>
      <c r="N48" s="64"/>
      <c r="O48" s="64"/>
      <c r="P48" s="64"/>
      <c r="Q48" s="69">
        <f>+Q43</f>
        <v>-364</v>
      </c>
      <c r="R48" s="69">
        <f>+R43</f>
        <v>-431.2</v>
      </c>
      <c r="S48" s="69">
        <f>+S43</f>
        <v>-431.2</v>
      </c>
      <c r="T48" s="69">
        <f t="shared" ref="T48:Y48" si="74">+T43</f>
        <v>-431.2</v>
      </c>
      <c r="U48" s="69">
        <f t="shared" si="74"/>
        <v>-431.2</v>
      </c>
      <c r="V48" s="69">
        <f t="shared" si="74"/>
        <v>-431.2</v>
      </c>
      <c r="W48" s="69">
        <f t="shared" si="74"/>
        <v>-431.2</v>
      </c>
      <c r="X48" s="69">
        <f t="shared" si="74"/>
        <v>-431.2</v>
      </c>
      <c r="Y48" s="69">
        <f t="shared" si="74"/>
        <v>-431.2</v>
      </c>
      <c r="Z48" s="65"/>
    </row>
    <row r="49" spans="1:34" ht="15.75" customHeight="1">
      <c r="A49" s="47"/>
      <c r="B49" s="100"/>
      <c r="C49" s="102" t="s">
        <v>82</v>
      </c>
      <c r="D49" s="102"/>
      <c r="E49" s="102"/>
      <c r="F49" s="102"/>
      <c r="G49" s="102"/>
      <c r="H49" s="102"/>
      <c r="I49" s="102"/>
      <c r="J49" s="102"/>
      <c r="K49" s="102"/>
      <c r="L49" s="103"/>
      <c r="M49" s="103"/>
      <c r="N49" s="103"/>
      <c r="O49" s="103"/>
      <c r="P49" s="103"/>
      <c r="Q49" s="103">
        <f>Q40-P40</f>
        <v>-342.07267500000012</v>
      </c>
      <c r="R49" s="103">
        <f>R40-Q40</f>
        <v>-577.07193400999984</v>
      </c>
      <c r="S49" s="103">
        <f>S40-R40</f>
        <v>-155.45259103294086</v>
      </c>
      <c r="T49" s="103">
        <f t="shared" ref="T49:Y49" si="75">T40-S40</f>
        <v>-163.50647701494444</v>
      </c>
      <c r="U49" s="103">
        <f t="shared" si="75"/>
        <v>-171.9997120185152</v>
      </c>
      <c r="V49" s="103">
        <f t="shared" si="75"/>
        <v>-180.95757586328909</v>
      </c>
      <c r="W49" s="103">
        <f t="shared" si="75"/>
        <v>-190.40687707334817</v>
      </c>
      <c r="X49" s="103">
        <f t="shared" si="75"/>
        <v>-200.37604928769613</v>
      </c>
      <c r="Y49" s="103">
        <f t="shared" si="75"/>
        <v>-210.89525395309192</v>
      </c>
      <c r="Z49" s="65"/>
    </row>
    <row r="50" spans="1:34" ht="15.75" customHeight="1">
      <c r="A50" s="47"/>
      <c r="B50" s="100"/>
      <c r="C50" s="104" t="s">
        <v>83</v>
      </c>
      <c r="D50" s="105"/>
      <c r="E50" s="105"/>
      <c r="F50" s="105"/>
      <c r="G50" s="105"/>
      <c r="H50" s="105"/>
      <c r="I50" s="105"/>
      <c r="J50" s="105"/>
      <c r="K50" s="105"/>
      <c r="L50" s="106"/>
      <c r="M50" s="106"/>
      <c r="N50" s="106"/>
      <c r="O50" s="106"/>
      <c r="P50" s="106"/>
      <c r="Q50" s="73">
        <f>SUM(Q48:Q49)</f>
        <v>-706.07267500000012</v>
      </c>
      <c r="R50" s="73">
        <f>SUM(R48:R49)</f>
        <v>-1008.2719340099998</v>
      </c>
      <c r="S50" s="73">
        <f>SUM(S48:S49)</f>
        <v>-586.65259103294079</v>
      </c>
      <c r="T50" s="73">
        <f t="shared" ref="T50:Y50" si="76">SUM(T48:T49)</f>
        <v>-594.70647701494443</v>
      </c>
      <c r="U50" s="73">
        <f t="shared" si="76"/>
        <v>-603.19971201851513</v>
      </c>
      <c r="V50" s="73">
        <f t="shared" si="76"/>
        <v>-612.15757586328914</v>
      </c>
      <c r="W50" s="73">
        <f t="shared" si="76"/>
        <v>-621.60687707334819</v>
      </c>
      <c r="X50" s="73">
        <f t="shared" si="76"/>
        <v>-631.57604928769615</v>
      </c>
      <c r="Y50" s="73">
        <f t="shared" si="76"/>
        <v>-642.09525395309197</v>
      </c>
      <c r="Z50" s="74"/>
    </row>
    <row r="51" spans="1:34">
      <c r="A51" s="47"/>
      <c r="B51" s="52"/>
      <c r="C51" s="63"/>
      <c r="D51" s="63"/>
      <c r="E51" s="63"/>
      <c r="F51" s="63"/>
      <c r="G51" s="63"/>
      <c r="H51" s="91"/>
      <c r="I51" s="91"/>
      <c r="J51" s="91"/>
      <c r="K51" s="91"/>
      <c r="L51" s="91"/>
      <c r="M51" s="91"/>
      <c r="N51" s="91"/>
      <c r="O51" s="91"/>
      <c r="P51" s="91"/>
      <c r="Q51" s="91"/>
      <c r="R51" s="91"/>
      <c r="S51" s="91"/>
      <c r="T51" s="91"/>
      <c r="U51" s="91"/>
      <c r="V51" s="91"/>
      <c r="W51" s="91"/>
      <c r="X51" s="91"/>
      <c r="Y51" s="91"/>
      <c r="Z51" s="92"/>
    </row>
    <row r="52" spans="1:34">
      <c r="A52" s="47"/>
      <c r="B52" s="96" t="s">
        <v>84</v>
      </c>
      <c r="C52" s="96"/>
      <c r="D52" s="97"/>
      <c r="E52" s="97"/>
      <c r="F52" s="97"/>
      <c r="G52" s="97"/>
      <c r="H52" s="98"/>
      <c r="I52" s="98"/>
      <c r="J52" s="98"/>
      <c r="K52" s="98"/>
      <c r="L52" s="64"/>
      <c r="M52" s="64"/>
      <c r="N52" s="64"/>
      <c r="O52" s="64"/>
      <c r="P52" s="64"/>
      <c r="Q52" s="64"/>
      <c r="R52" s="64"/>
      <c r="S52" s="64"/>
      <c r="T52" s="64"/>
      <c r="U52" s="64"/>
      <c r="V52" s="64"/>
      <c r="W52" s="64"/>
      <c r="X52" s="64"/>
      <c r="Y52" s="64"/>
      <c r="Z52" s="65"/>
    </row>
    <row r="53" spans="1:34" ht="15.75" customHeight="1">
      <c r="A53" s="47"/>
      <c r="B53" s="100"/>
      <c r="C53" s="101" t="s">
        <v>85</v>
      </c>
      <c r="D53" s="98"/>
      <c r="E53" s="98"/>
      <c r="F53" s="98"/>
      <c r="G53" s="98"/>
      <c r="H53" s="98"/>
      <c r="I53" s="98"/>
      <c r="J53" s="98"/>
      <c r="K53" s="98"/>
      <c r="L53" s="64"/>
      <c r="M53" s="64"/>
      <c r="N53" s="64"/>
      <c r="O53" s="64"/>
      <c r="P53" s="64"/>
      <c r="Q53" s="69">
        <f>Q37-P37</f>
        <v>-977.35050000000047</v>
      </c>
      <c r="R53" s="69">
        <f>R37-Q37</f>
        <v>-643.9738870000001</v>
      </c>
      <c r="S53" s="69">
        <f>S37-R37</f>
        <v>-675.88083057800395</v>
      </c>
      <c r="T53" s="69">
        <f t="shared" ref="T53:Y53" si="77">T37-S37</f>
        <v>-710.89772615193215</v>
      </c>
      <c r="U53" s="69">
        <f t="shared" si="77"/>
        <v>-747.82483486310957</v>
      </c>
      <c r="V53" s="69">
        <f t="shared" si="77"/>
        <v>-786.77206897082215</v>
      </c>
      <c r="W53" s="69">
        <f t="shared" si="77"/>
        <v>-827.85598727542674</v>
      </c>
      <c r="X53" s="69">
        <f t="shared" si="77"/>
        <v>-871.20021429433109</v>
      </c>
      <c r="Y53" s="69">
        <f t="shared" si="77"/>
        <v>-916.93588675257342</v>
      </c>
      <c r="Z53" s="65"/>
    </row>
    <row r="54" spans="1:34" ht="15.75" customHeight="1">
      <c r="A54" s="47"/>
      <c r="B54" s="100"/>
      <c r="C54" s="98" t="s">
        <v>87</v>
      </c>
      <c r="D54" s="98"/>
      <c r="E54" s="98"/>
      <c r="F54" s="98"/>
      <c r="G54" s="98"/>
      <c r="H54" s="98"/>
      <c r="I54" s="98"/>
      <c r="J54" s="98"/>
      <c r="K54" s="98"/>
      <c r="L54" s="64"/>
      <c r="M54" s="64"/>
      <c r="N54" s="64"/>
      <c r="O54" s="64"/>
      <c r="P54" s="64"/>
      <c r="Q54" s="69">
        <f>-Q18*(1-Q9)</f>
        <v>338.22782500000034</v>
      </c>
      <c r="R54" s="69">
        <f>-R18*(1-R9)</f>
        <v>143.96989299000043</v>
      </c>
      <c r="S54" s="69">
        <f>-S18*(1-S9)</f>
        <v>168.53823954506024</v>
      </c>
      <c r="T54" s="69">
        <f t="shared" ref="T54:Y54" si="78">-T18*(1-T9)</f>
        <v>195.50124913698812</v>
      </c>
      <c r="U54" s="69">
        <f t="shared" si="78"/>
        <v>223.93512284459683</v>
      </c>
      <c r="V54" s="69">
        <f t="shared" si="78"/>
        <v>253.92449310753059</v>
      </c>
      <c r="W54" s="69">
        <f t="shared" si="78"/>
        <v>285.55911020207787</v>
      </c>
      <c r="X54" s="69">
        <f t="shared" si="78"/>
        <v>318.9341650066325</v>
      </c>
      <c r="Y54" s="69">
        <f t="shared" si="78"/>
        <v>354.15063279948367</v>
      </c>
      <c r="Z54" s="65"/>
    </row>
    <row r="55" spans="1:34" ht="15.75" customHeight="1">
      <c r="A55" s="47"/>
      <c r="B55" s="100"/>
      <c r="C55" s="102" t="s">
        <v>88</v>
      </c>
      <c r="D55" s="102"/>
      <c r="E55" s="102"/>
      <c r="F55" s="102"/>
      <c r="G55" s="102"/>
      <c r="H55" s="102"/>
      <c r="I55" s="102"/>
      <c r="J55" s="102"/>
      <c r="K55" s="102"/>
      <c r="L55" s="103"/>
      <c r="M55" s="103"/>
      <c r="N55" s="103"/>
      <c r="O55" s="103"/>
      <c r="P55" s="103"/>
      <c r="Q55" s="103">
        <f>IF(ISERROR((Q16+Q31)*(1-Q9)+(-Q25*(1-Q9))+((Q14)*(1-Q9))),0,(Q16+Q31)*(1-Q9)+((Q14)*(1-Q9)))</f>
        <v>-66.95</v>
      </c>
      <c r="R55" s="103">
        <f>IF(ISERROR((R16+R31)*(1-R9)+(-R25*(1-R9))+((R14)*(1-R9))),0,(R16+R31)*(1-R9)+((R14)*(1-R9)))</f>
        <v>-79.31</v>
      </c>
      <c r="S55" s="103">
        <f>IF(ISERROR((S16+S31)*(1-S9)+(-S25*(1-S9))+((S14)*(1-S9))),0,(S16+S31)*(1-S9)+((S14)*(1-S9)))</f>
        <v>-79.31</v>
      </c>
      <c r="T55" s="103">
        <f t="shared" ref="T55:Y55" si="79">IF(ISERROR((T16+T31)*(1-T9)+(-T25*(1-T9))+((T14)*(1-T9))),0,(T16+T31)*(1-T9)+((T14)*(1-T9)))</f>
        <v>-79.31</v>
      </c>
      <c r="U55" s="103">
        <f t="shared" si="79"/>
        <v>-79.31</v>
      </c>
      <c r="V55" s="103">
        <f t="shared" si="79"/>
        <v>-79.31</v>
      </c>
      <c r="W55" s="103">
        <f t="shared" si="79"/>
        <v>-79.31</v>
      </c>
      <c r="X55" s="103">
        <f t="shared" si="79"/>
        <v>-79.31</v>
      </c>
      <c r="Y55" s="103">
        <f t="shared" si="79"/>
        <v>-79.31</v>
      </c>
      <c r="Z55" s="65"/>
    </row>
    <row r="56" spans="1:34" ht="15.75" customHeight="1">
      <c r="A56" s="47"/>
      <c r="B56" s="100"/>
      <c r="C56" s="104" t="s">
        <v>89</v>
      </c>
      <c r="D56" s="105"/>
      <c r="E56" s="105"/>
      <c r="F56" s="105"/>
      <c r="G56" s="105"/>
      <c r="H56" s="105"/>
      <c r="I56" s="105"/>
      <c r="J56" s="105"/>
      <c r="K56" s="105"/>
      <c r="L56" s="106"/>
      <c r="M56" s="106"/>
      <c r="N56" s="106"/>
      <c r="O56" s="106"/>
      <c r="P56" s="106"/>
      <c r="Q56" s="73">
        <f>SUM(Q53:Q55)</f>
        <v>-706.07267500000012</v>
      </c>
      <c r="R56" s="73">
        <f>SUM(R53:R55)</f>
        <v>-579.31399400999976</v>
      </c>
      <c r="S56" s="73">
        <f>SUM(S53:S55)</f>
        <v>-586.65259103294375</v>
      </c>
      <c r="T56" s="73">
        <f t="shared" ref="T56:Y56" si="80">SUM(T53:T55)</f>
        <v>-594.70647701494408</v>
      </c>
      <c r="U56" s="73">
        <f t="shared" si="80"/>
        <v>-603.19971201851263</v>
      </c>
      <c r="V56" s="73">
        <f t="shared" si="80"/>
        <v>-612.15757586329164</v>
      </c>
      <c r="W56" s="73">
        <f t="shared" si="80"/>
        <v>-621.60687707334887</v>
      </c>
      <c r="X56" s="73">
        <f t="shared" si="80"/>
        <v>-631.57604928769865</v>
      </c>
      <c r="Y56" s="73">
        <f t="shared" si="80"/>
        <v>-642.0952539530897</v>
      </c>
      <c r="Z56" s="74"/>
    </row>
    <row r="57" spans="1:34" ht="24.75" customHeight="1">
      <c r="A57" s="47"/>
      <c r="B57" s="107"/>
      <c r="C57" s="108" t="s">
        <v>12</v>
      </c>
      <c r="D57" s="109"/>
      <c r="E57" s="109"/>
      <c r="F57" s="109"/>
      <c r="G57" s="109"/>
      <c r="H57" s="110"/>
      <c r="I57" s="110"/>
      <c r="J57" s="110"/>
      <c r="K57" s="110"/>
      <c r="L57" s="111"/>
      <c r="M57" s="111"/>
      <c r="N57" s="111"/>
      <c r="O57" s="111"/>
      <c r="P57" s="111"/>
      <c r="Q57" s="112">
        <f>ROUND(Q50-Q56,0)</f>
        <v>0</v>
      </c>
      <c r="R57" s="112">
        <f>ROUND(R50-R56,0)</f>
        <v>-429</v>
      </c>
      <c r="S57" s="112">
        <f>ROUND(S50-S56,0)</f>
        <v>0</v>
      </c>
      <c r="T57" s="112">
        <f t="shared" ref="T57:Y57" si="81">ROUND(T50-T56,0)</f>
        <v>0</v>
      </c>
      <c r="U57" s="112">
        <f t="shared" si="81"/>
        <v>0</v>
      </c>
      <c r="V57" s="112">
        <f t="shared" si="81"/>
        <v>0</v>
      </c>
      <c r="W57" s="112">
        <f t="shared" si="81"/>
        <v>0</v>
      </c>
      <c r="X57" s="112">
        <f t="shared" si="81"/>
        <v>0</v>
      </c>
      <c r="Y57" s="112">
        <f t="shared" si="81"/>
        <v>0</v>
      </c>
      <c r="Z57" s="113"/>
    </row>
    <row r="58" spans="1:34">
      <c r="A58" s="38"/>
      <c r="B58" s="114"/>
      <c r="C58" s="115"/>
      <c r="D58" s="116"/>
      <c r="E58" s="116"/>
      <c r="F58" s="116"/>
      <c r="G58" s="116"/>
      <c r="H58" s="117"/>
      <c r="I58" s="117"/>
      <c r="J58" s="117"/>
      <c r="K58" s="117"/>
      <c r="L58" s="117"/>
      <c r="M58" s="117"/>
      <c r="N58" s="117"/>
      <c r="O58" s="117"/>
      <c r="P58" s="117"/>
      <c r="Q58" s="117"/>
      <c r="R58" s="117"/>
      <c r="S58" s="117"/>
      <c r="T58" s="117"/>
      <c r="U58" s="117"/>
      <c r="V58" s="117"/>
      <c r="W58" s="117"/>
      <c r="X58" s="117"/>
      <c r="Y58" s="117"/>
      <c r="Z58" s="117"/>
    </row>
    <row r="59" spans="1:34">
      <c r="A59" s="38"/>
      <c r="B59" s="116"/>
      <c r="C59" s="6" t="s">
        <v>90</v>
      </c>
      <c r="D59" s="145"/>
      <c r="E59" s="145"/>
      <c r="F59" s="145"/>
      <c r="G59" s="145"/>
      <c r="H59" s="23">
        <v>2008</v>
      </c>
      <c r="I59" s="23">
        <v>2009</v>
      </c>
      <c r="J59" s="23">
        <v>2010</v>
      </c>
      <c r="K59" s="23">
        <v>2011</v>
      </c>
      <c r="L59" s="23">
        <v>2012</v>
      </c>
      <c r="M59" s="146">
        <v>2013</v>
      </c>
      <c r="N59" s="473" t="str">
        <f>+N4</f>
        <v>2014</v>
      </c>
      <c r="O59" s="473">
        <f>+O4</f>
        <v>2015</v>
      </c>
      <c r="P59" s="473">
        <f>+P4</f>
        <v>2016</v>
      </c>
      <c r="Q59" s="146" t="s">
        <v>176</v>
      </c>
      <c r="R59" s="146" t="s">
        <v>177</v>
      </c>
      <c r="S59" s="118"/>
      <c r="T59" s="118"/>
      <c r="U59" s="118"/>
      <c r="V59" s="118"/>
      <c r="W59" s="118"/>
      <c r="X59" s="118"/>
      <c r="Y59" s="118"/>
      <c r="Z59" s="118"/>
      <c r="AG59" s="150"/>
      <c r="AH59" s="150"/>
    </row>
    <row r="60" spans="1:34">
      <c r="A60" s="38"/>
      <c r="B60" s="116"/>
      <c r="C60" s="145" t="s">
        <v>91</v>
      </c>
      <c r="D60" s="145"/>
      <c r="E60" s="145"/>
      <c r="F60" s="145"/>
      <c r="G60" s="145"/>
      <c r="H60" s="147">
        <v>0.59</v>
      </c>
      <c r="I60" s="147">
        <v>0.6</v>
      </c>
      <c r="J60" s="147">
        <v>0.56000000000000005</v>
      </c>
      <c r="K60" s="147">
        <v>0.39</v>
      </c>
      <c r="L60" s="147">
        <f>0.26+0.16</f>
        <v>0.42000000000000004</v>
      </c>
      <c r="M60" s="147">
        <f>0.25+0.16</f>
        <v>0.41000000000000003</v>
      </c>
      <c r="N60" s="147">
        <f>0.23+0.14</f>
        <v>0.37</v>
      </c>
      <c r="O60" s="147">
        <f>0.23+0.14</f>
        <v>0.37</v>
      </c>
      <c r="P60" s="147">
        <f>0.23+0.14</f>
        <v>0.37</v>
      </c>
      <c r="Q60" s="148"/>
      <c r="R60" s="148"/>
      <c r="S60" s="117"/>
      <c r="T60" s="117"/>
      <c r="U60" s="117"/>
      <c r="V60" s="117"/>
      <c r="W60" s="117"/>
      <c r="X60" s="117"/>
      <c r="Y60" s="117"/>
      <c r="Z60" s="117"/>
      <c r="AG60" s="150"/>
      <c r="AH60" s="150"/>
    </row>
    <row r="61" spans="1:34">
      <c r="A61" s="38"/>
      <c r="B61" s="116"/>
      <c r="C61" s="145" t="s">
        <v>92</v>
      </c>
      <c r="D61" s="145"/>
      <c r="E61" s="145"/>
      <c r="F61" s="145"/>
      <c r="G61" s="145"/>
      <c r="H61" s="147">
        <v>0.3</v>
      </c>
      <c r="I61" s="147">
        <v>0.3</v>
      </c>
      <c r="J61" s="147">
        <v>0.34</v>
      </c>
      <c r="K61" s="147">
        <v>0.34</v>
      </c>
      <c r="L61" s="147">
        <v>0.34</v>
      </c>
      <c r="M61" s="147">
        <v>0.33</v>
      </c>
      <c r="N61" s="147">
        <v>0.38</v>
      </c>
      <c r="O61" s="147">
        <v>0.38</v>
      </c>
      <c r="P61" s="147">
        <v>0.38</v>
      </c>
      <c r="Q61" s="148"/>
      <c r="R61" s="148"/>
      <c r="S61" s="117"/>
      <c r="T61" s="117"/>
      <c r="U61" s="117"/>
      <c r="V61" s="117"/>
      <c r="W61" s="117"/>
      <c r="X61" s="117"/>
      <c r="Y61" s="117"/>
      <c r="Z61" s="117"/>
      <c r="AG61" s="150"/>
      <c r="AH61" s="150"/>
    </row>
    <row r="62" spans="1:34">
      <c r="A62" s="38"/>
      <c r="B62" s="116"/>
      <c r="C62" s="145" t="s">
        <v>93</v>
      </c>
      <c r="D62" s="145"/>
      <c r="E62" s="145"/>
      <c r="F62" s="145"/>
      <c r="G62" s="145"/>
      <c r="H62" s="147">
        <v>0.11</v>
      </c>
      <c r="I62" s="147">
        <v>0.08</v>
      </c>
      <c r="J62" s="147">
        <v>0.09</v>
      </c>
      <c r="K62" s="147">
        <v>0.11</v>
      </c>
      <c r="L62" s="147">
        <v>0.11</v>
      </c>
      <c r="M62" s="147">
        <v>0.11</v>
      </c>
      <c r="N62" s="147">
        <v>0.11</v>
      </c>
      <c r="O62" s="147">
        <v>0.11</v>
      </c>
      <c r="P62" s="147">
        <v>0.11</v>
      </c>
      <c r="Q62" s="148"/>
      <c r="R62" s="148"/>
      <c r="S62" s="117"/>
      <c r="T62" s="117"/>
      <c r="U62" s="117"/>
      <c r="V62" s="117"/>
      <c r="W62" s="117"/>
      <c r="X62" s="117"/>
      <c r="Y62" s="117"/>
      <c r="Z62" s="117"/>
      <c r="AG62" s="150"/>
      <c r="AH62" s="150"/>
    </row>
    <row r="63" spans="1:34">
      <c r="A63" s="38"/>
      <c r="B63" s="116"/>
      <c r="C63" s="145" t="s">
        <v>94</v>
      </c>
      <c r="D63" s="145"/>
      <c r="E63" s="145"/>
      <c r="F63" s="145"/>
      <c r="G63" s="145"/>
      <c r="H63" s="147">
        <v>0</v>
      </c>
      <c r="I63" s="147">
        <v>0.02</v>
      </c>
      <c r="J63" s="147">
        <v>0.01</v>
      </c>
      <c r="K63" s="147">
        <v>0.16</v>
      </c>
      <c r="L63" s="147">
        <v>0.13</v>
      </c>
      <c r="M63" s="147">
        <f>0.12+0.03</f>
        <v>0.15</v>
      </c>
      <c r="N63" s="147">
        <f>0.12+0.02</f>
        <v>0.13999999999999999</v>
      </c>
      <c r="O63" s="147">
        <f>0.12+0.02</f>
        <v>0.13999999999999999</v>
      </c>
      <c r="P63" s="147">
        <f>0.12+0.02</f>
        <v>0.13999999999999999</v>
      </c>
      <c r="Q63" s="148"/>
      <c r="R63" s="148"/>
      <c r="S63" s="117"/>
      <c r="T63" s="117"/>
      <c r="U63" s="117"/>
      <c r="V63" s="117"/>
      <c r="W63" s="117"/>
      <c r="X63" s="117"/>
      <c r="Y63" s="117"/>
      <c r="Z63" s="117"/>
      <c r="AG63" s="150"/>
      <c r="AH63" s="150"/>
    </row>
    <row r="64" spans="1:34">
      <c r="A64" s="38"/>
      <c r="B64" s="116"/>
      <c r="C64" s="145" t="s">
        <v>20</v>
      </c>
      <c r="D64" s="145"/>
      <c r="E64" s="145"/>
      <c r="F64" s="145"/>
      <c r="G64" s="145"/>
      <c r="H64" s="149">
        <f t="shared" ref="H64:M64" si="82">SUM(H60:H63)</f>
        <v>0.99999999999999989</v>
      </c>
      <c r="I64" s="149">
        <f t="shared" si="82"/>
        <v>0.99999999999999989</v>
      </c>
      <c r="J64" s="149">
        <f t="shared" si="82"/>
        <v>1</v>
      </c>
      <c r="K64" s="149">
        <f t="shared" si="82"/>
        <v>1</v>
      </c>
      <c r="L64" s="149">
        <f t="shared" si="82"/>
        <v>1</v>
      </c>
      <c r="M64" s="148">
        <f t="shared" si="82"/>
        <v>1</v>
      </c>
      <c r="N64" s="148">
        <f>SUM(N60:N63)</f>
        <v>1</v>
      </c>
      <c r="O64" s="148">
        <f>SUM(O60:O63)</f>
        <v>1</v>
      </c>
      <c r="P64" s="148">
        <f>SUM(P60:P63)</f>
        <v>1</v>
      </c>
      <c r="Q64" s="148"/>
      <c r="R64" s="148"/>
      <c r="S64" s="117"/>
      <c r="T64" s="117"/>
      <c r="U64" s="117"/>
      <c r="V64" s="117"/>
      <c r="W64" s="117"/>
      <c r="X64" s="117"/>
      <c r="Y64" s="117"/>
      <c r="Z64" s="117"/>
      <c r="AG64" s="150"/>
      <c r="AH64" s="150"/>
    </row>
    <row r="65" spans="1:34">
      <c r="A65" s="38"/>
      <c r="B65" s="116"/>
      <c r="C65" s="116"/>
      <c r="D65" s="116"/>
      <c r="E65" s="116"/>
      <c r="F65" s="116"/>
      <c r="G65" s="116"/>
      <c r="H65" s="117"/>
      <c r="I65" s="117"/>
      <c r="J65" s="117"/>
      <c r="K65" s="117"/>
      <c r="L65" s="117"/>
      <c r="M65" s="117"/>
      <c r="N65" s="117"/>
      <c r="O65" s="117"/>
      <c r="P65" s="117"/>
      <c r="Q65" s="117"/>
      <c r="R65" s="117"/>
      <c r="S65" s="117"/>
      <c r="T65" s="117"/>
      <c r="U65" s="117"/>
      <c r="V65" s="117"/>
      <c r="W65" s="117"/>
      <c r="X65" s="117"/>
      <c r="Y65" s="117"/>
      <c r="Z65" s="117"/>
      <c r="AG65" s="150"/>
      <c r="AH65" s="150"/>
    </row>
    <row r="66" spans="1:34">
      <c r="A66" s="38"/>
      <c r="B66" s="116"/>
      <c r="C66" s="116"/>
      <c r="D66" s="116"/>
      <c r="E66" s="116"/>
      <c r="F66" s="116"/>
      <c r="G66" s="116"/>
      <c r="H66" s="117"/>
      <c r="I66" s="117"/>
      <c r="J66" s="117"/>
      <c r="K66" s="117"/>
      <c r="L66" s="117"/>
      <c r="M66" s="117"/>
      <c r="N66" s="117"/>
      <c r="O66" s="117"/>
      <c r="P66" s="117"/>
      <c r="Q66" s="117"/>
      <c r="R66" s="117"/>
      <c r="S66" s="117"/>
      <c r="T66" s="117"/>
      <c r="U66" s="117"/>
      <c r="V66" s="117"/>
      <c r="W66" s="117"/>
      <c r="X66" s="117"/>
      <c r="Y66" s="117"/>
      <c r="Z66" s="117"/>
    </row>
    <row r="67" spans="1:34">
      <c r="A67" s="38"/>
      <c r="B67" s="116"/>
      <c r="C67" s="116"/>
      <c r="D67" s="116"/>
      <c r="E67" s="116"/>
      <c r="F67" s="116"/>
      <c r="G67" s="116"/>
      <c r="H67" s="117"/>
      <c r="I67" s="117"/>
      <c r="J67" s="117"/>
      <c r="K67" s="117"/>
      <c r="L67" s="117"/>
      <c r="M67" s="117"/>
      <c r="N67" s="117"/>
      <c r="O67" s="117"/>
      <c r="P67" s="117"/>
      <c r="Q67" s="117"/>
      <c r="R67" s="117"/>
      <c r="S67" s="117"/>
      <c r="T67" s="117"/>
      <c r="U67" s="117"/>
      <c r="V67" s="117"/>
      <c r="W67" s="117"/>
      <c r="X67" s="117"/>
      <c r="Y67" s="117"/>
      <c r="Z67" s="117"/>
    </row>
    <row r="68" spans="1:34">
      <c r="O68" s="452"/>
      <c r="P68" s="456"/>
    </row>
    <row r="69" spans="1:34">
      <c r="O69" s="452"/>
      <c r="P69" s="456"/>
    </row>
    <row r="70" spans="1:34">
      <c r="O70" s="452"/>
      <c r="P70" s="456"/>
    </row>
    <row r="71" spans="1:34">
      <c r="O71" s="452"/>
      <c r="P71" s="456"/>
    </row>
    <row r="72" spans="1:34">
      <c r="O72" s="452"/>
      <c r="P72" s="456"/>
    </row>
    <row r="73" spans="1:34">
      <c r="O73" s="452"/>
      <c r="P73" s="456"/>
    </row>
    <row r="74" spans="1:34">
      <c r="O74" s="452"/>
    </row>
    <row r="75" spans="1:34">
      <c r="O75" s="452"/>
    </row>
    <row r="76" spans="1:34">
      <c r="O76" s="452"/>
    </row>
  </sheetData>
  <phoneticPr fontId="30" type="noConversion"/>
  <pageMargins left="0.39" right="0.41" top="0.51" bottom="0.5" header="0.3" footer="0.5"/>
  <pageSetup scale="55" orientation="portrait" r:id="rId1"/>
  <headerFooter alignWithMargins="0"/>
  <rowBreaks count="1" manualBreakCount="1">
    <brk id="45" max="16383"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tabColor indexed="44"/>
    <pageSetUpPr fitToPage="1"/>
  </sheetPr>
  <dimension ref="A1:AH71"/>
  <sheetViews>
    <sheetView showGridLines="0" workbookViewId="0"/>
  </sheetViews>
  <sheetFormatPr defaultColWidth="7.109375" defaultRowHeight="15" outlineLevelRow="1" outlineLevelCol="1"/>
  <cols>
    <col min="1" max="1" width="1" customWidth="1"/>
    <col min="2" max="2" width="1.33203125" customWidth="1"/>
    <col min="3" max="3" width="32.6640625" customWidth="1"/>
    <col min="4" max="4" width="8.109375" hidden="1" customWidth="1" outlineLevel="1"/>
    <col min="5" max="5" width="9.6640625" hidden="1" customWidth="1" outlineLevel="1"/>
    <col min="6" max="6" width="8.88671875" hidden="1" customWidth="1" outlineLevel="1"/>
    <col min="7" max="7" width="10.44140625" hidden="1" customWidth="1" outlineLevel="1"/>
    <col min="8" max="8" width="7.88671875" hidden="1" customWidth="1" outlineLevel="1"/>
    <col min="9" max="9" width="7.6640625" hidden="1" customWidth="1" outlineLevel="1"/>
    <col min="10" max="10" width="7.6640625" hidden="1" customWidth="1" outlineLevel="1" collapsed="1"/>
    <col min="11" max="11" width="7" hidden="1" customWidth="1" outlineLevel="1"/>
    <col min="12" max="12" width="7" customWidth="1" collapsed="1"/>
    <col min="13" max="16" width="7.88671875" customWidth="1"/>
    <col min="17" max="19" width="7.88671875" customWidth="1" outlineLevel="1"/>
    <col min="20" max="25" width="7.88671875" style="474" customWidth="1" outlineLevel="1"/>
    <col min="26" max="26" width="2.109375" customWidth="1"/>
    <col min="27" max="27" width="32" hidden="1" customWidth="1" outlineLevel="1"/>
    <col min="28" max="28" width="9.77734375" hidden="1" customWidth="1" outlineLevel="1"/>
    <col min="29" max="30" width="8.77734375" hidden="1" customWidth="1" outlineLevel="1"/>
    <col min="31" max="31" width="14.109375" hidden="1" customWidth="1" outlineLevel="1"/>
    <col min="32" max="32" width="8" hidden="1" customWidth="1" outlineLevel="1"/>
    <col min="33" max="33" width="4.109375" customWidth="1" collapsed="1"/>
    <col min="34" max="34" width="5.44140625" customWidth="1"/>
    <col min="35" max="35" width="8.5546875" customWidth="1"/>
    <col min="36" max="36" width="10.44140625" customWidth="1"/>
    <col min="37" max="37" width="4.21875" customWidth="1"/>
    <col min="38" max="38" width="6.33203125" customWidth="1"/>
    <col min="39" max="39" width="8.6640625" customWidth="1"/>
    <col min="43" max="43" width="8.109375" customWidth="1"/>
    <col min="47" max="47" width="4.5546875" customWidth="1"/>
    <col min="50" max="50" width="4.44140625" customWidth="1"/>
    <col min="51" max="51" width="6.21875" customWidth="1"/>
    <col min="52" max="52" width="5.88671875" customWidth="1"/>
    <col min="53" max="53" width="6.77734375" customWidth="1"/>
    <col min="55" max="55" width="5.88671875" customWidth="1"/>
    <col min="61" max="61" width="10.33203125" customWidth="1"/>
    <col min="80" max="80" width="10.33203125" customWidth="1"/>
    <col min="81" max="81" width="8.21875" customWidth="1"/>
  </cols>
  <sheetData>
    <row r="1" spans="1:26" ht="15" customHeight="1">
      <c r="A1" s="32" t="s">
        <v>46</v>
      </c>
      <c r="B1" s="32"/>
      <c r="C1" s="32"/>
      <c r="D1" s="119"/>
      <c r="E1" s="119"/>
      <c r="F1" s="119"/>
      <c r="G1" s="119"/>
      <c r="H1" s="120"/>
      <c r="I1" s="37"/>
      <c r="J1" s="37"/>
      <c r="K1" s="37"/>
      <c r="L1" s="37"/>
      <c r="M1" s="37"/>
      <c r="N1" s="37"/>
      <c r="O1" s="37"/>
      <c r="P1" s="37"/>
      <c r="Q1" s="37"/>
      <c r="R1" s="37"/>
      <c r="S1" s="37"/>
      <c r="T1" s="37"/>
      <c r="U1" s="37"/>
      <c r="V1" s="37"/>
      <c r="W1" s="37"/>
      <c r="X1" s="37"/>
      <c r="Y1" s="37"/>
      <c r="Z1" s="101"/>
    </row>
    <row r="2" spans="1:26">
      <c r="A2" s="40" t="s">
        <v>95</v>
      </c>
      <c r="B2" s="40"/>
      <c r="C2" s="40"/>
      <c r="D2" s="121"/>
      <c r="E2" s="121"/>
      <c r="F2" s="121"/>
      <c r="G2" s="121"/>
      <c r="H2" s="85"/>
      <c r="I2" s="43"/>
      <c r="J2" s="43"/>
      <c r="K2" s="43"/>
      <c r="L2" s="122"/>
      <c r="M2" s="43"/>
      <c r="N2" s="43"/>
      <c r="O2" s="43"/>
      <c r="P2" s="43"/>
      <c r="Q2" s="43"/>
      <c r="R2" s="43"/>
      <c r="S2" s="43"/>
      <c r="T2" s="43"/>
      <c r="U2" s="43"/>
      <c r="V2" s="43"/>
      <c r="W2" s="43"/>
      <c r="X2" s="43"/>
      <c r="Y2" s="43"/>
      <c r="Z2" s="98"/>
    </row>
    <row r="3" spans="1:26" ht="12.75" customHeight="1" outlineLevel="1">
      <c r="T3"/>
      <c r="U3"/>
      <c r="V3"/>
      <c r="W3"/>
      <c r="X3"/>
      <c r="Y3"/>
    </row>
    <row r="4" spans="1:26">
      <c r="A4" s="47"/>
      <c r="B4" s="48" t="s">
        <v>48</v>
      </c>
      <c r="C4" s="48"/>
      <c r="D4" s="49"/>
      <c r="E4" s="49">
        <v>2005</v>
      </c>
      <c r="F4" s="49">
        <v>2006</v>
      </c>
      <c r="G4" s="49">
        <v>2007</v>
      </c>
      <c r="H4" s="49">
        <v>2008</v>
      </c>
      <c r="I4" s="49">
        <v>2009</v>
      </c>
      <c r="J4" s="49">
        <v>2010</v>
      </c>
      <c r="K4" s="49">
        <v>2011</v>
      </c>
      <c r="L4" s="49">
        <v>2012</v>
      </c>
      <c r="M4" s="49">
        <v>2013</v>
      </c>
      <c r="N4" s="49" t="s">
        <v>267</v>
      </c>
      <c r="O4" s="49">
        <f>'Income Statement'!F6</f>
        <v>2015</v>
      </c>
      <c r="P4" s="49">
        <f>'Income Statement'!G6</f>
        <v>2016</v>
      </c>
      <c r="Q4" s="50">
        <f>'Income Statement'!H6</f>
        <v>2017</v>
      </c>
      <c r="R4" s="50" t="str">
        <f>'Income Statement'!I6</f>
        <v>2018E</v>
      </c>
      <c r="S4" s="50" t="str">
        <f>'Income Statement'!J6</f>
        <v>2019E</v>
      </c>
      <c r="T4" s="50" t="str">
        <f>'Income Statement'!K6</f>
        <v>2020E</v>
      </c>
      <c r="U4" s="50" t="str">
        <f>'Income Statement'!L6</f>
        <v>2021E</v>
      </c>
      <c r="V4" s="50" t="str">
        <f>'Income Statement'!M6</f>
        <v>2022E</v>
      </c>
      <c r="W4" s="50" t="str">
        <f>'Income Statement'!N6</f>
        <v>2023E</v>
      </c>
      <c r="X4" s="50" t="str">
        <f>'Income Statement'!O6</f>
        <v>2024E</v>
      </c>
      <c r="Y4" s="50" t="str">
        <f>'Income Statement'!P6</f>
        <v>2025E</v>
      </c>
      <c r="Z4" s="51"/>
    </row>
    <row r="5" spans="1:26">
      <c r="A5" s="47"/>
      <c r="B5" s="123"/>
      <c r="C5" s="36" t="s">
        <v>96</v>
      </c>
      <c r="D5" s="28"/>
      <c r="E5" s="53">
        <v>5.7500000000000002E-2</v>
      </c>
      <c r="F5" s="53">
        <v>0.06</v>
      </c>
      <c r="G5" s="53">
        <v>6.5000000000000002E-2</v>
      </c>
      <c r="H5" s="53">
        <v>7.0000000000000007E-2</v>
      </c>
      <c r="I5" s="53">
        <v>6.5000000000000002E-2</v>
      </c>
      <c r="J5" s="54">
        <v>5.7999999999999996E-2</v>
      </c>
      <c r="K5" s="54">
        <v>5.2999999999999999E-2</v>
      </c>
      <c r="L5" s="54">
        <v>4.2999999999999997E-2</v>
      </c>
      <c r="M5" s="54">
        <v>0.05</v>
      </c>
      <c r="N5" s="54">
        <f>+M5-0.008</f>
        <v>4.2000000000000003E-2</v>
      </c>
      <c r="O5" s="54">
        <v>4.4999999999999998E-2</v>
      </c>
      <c r="P5" s="54">
        <v>4.2999999999999997E-2</v>
      </c>
      <c r="Q5" s="124">
        <f>P5</f>
        <v>4.2999999999999997E-2</v>
      </c>
      <c r="R5" s="124">
        <f>Q5</f>
        <v>4.2999999999999997E-2</v>
      </c>
      <c r="S5" s="124">
        <f>R5</f>
        <v>4.2999999999999997E-2</v>
      </c>
      <c r="T5" s="124">
        <f t="shared" ref="T5:Y5" si="0">S5</f>
        <v>4.2999999999999997E-2</v>
      </c>
      <c r="U5" s="124">
        <f t="shared" si="0"/>
        <v>4.2999999999999997E-2</v>
      </c>
      <c r="V5" s="124">
        <f t="shared" si="0"/>
        <v>4.2999999999999997E-2</v>
      </c>
      <c r="W5" s="124">
        <f t="shared" si="0"/>
        <v>4.2999999999999997E-2</v>
      </c>
      <c r="X5" s="124">
        <f t="shared" si="0"/>
        <v>4.2999999999999997E-2</v>
      </c>
      <c r="Y5" s="124">
        <f t="shared" si="0"/>
        <v>4.2999999999999997E-2</v>
      </c>
      <c r="Z5" s="62"/>
    </row>
    <row r="6" spans="1:26" hidden="1" outlineLevel="1">
      <c r="A6" s="47"/>
      <c r="B6" s="123"/>
      <c r="C6" s="36" t="s">
        <v>50</v>
      </c>
      <c r="D6" s="125"/>
      <c r="E6" s="125"/>
      <c r="F6" s="125"/>
      <c r="G6" s="125"/>
      <c r="H6" s="58"/>
      <c r="I6" s="58"/>
      <c r="J6" s="126"/>
      <c r="K6" s="126"/>
      <c r="L6" s="127"/>
      <c r="M6" s="127"/>
      <c r="N6" s="127">
        <v>0.12</v>
      </c>
      <c r="O6" s="127">
        <v>0.12</v>
      </c>
      <c r="P6" s="127">
        <v>0.12</v>
      </c>
      <c r="Q6" s="60">
        <f t="shared" ref="Q6:S7" si="1">+P6</f>
        <v>0.12</v>
      </c>
      <c r="R6" s="60">
        <f t="shared" si="1"/>
        <v>0.12</v>
      </c>
      <c r="S6" s="60">
        <f t="shared" si="1"/>
        <v>0.12</v>
      </c>
      <c r="T6" s="60">
        <f t="shared" ref="T6:T7" si="2">+S6</f>
        <v>0.12</v>
      </c>
      <c r="U6" s="60">
        <f t="shared" ref="U6:U7" si="3">+T6</f>
        <v>0.12</v>
      </c>
      <c r="V6" s="60">
        <f t="shared" ref="V6:V7" si="4">+U6</f>
        <v>0.12</v>
      </c>
      <c r="W6" s="60">
        <f t="shared" ref="W6:W7" si="5">+V6</f>
        <v>0.12</v>
      </c>
      <c r="X6" s="60">
        <f t="shared" ref="X6:X7" si="6">+W6</f>
        <v>0.12</v>
      </c>
      <c r="Y6" s="60">
        <f t="shared" ref="Y6:Y7" si="7">+X6</f>
        <v>0.12</v>
      </c>
      <c r="Z6" s="57"/>
    </row>
    <row r="7" spans="1:26" collapsed="1">
      <c r="A7" s="47"/>
      <c r="B7" s="123"/>
      <c r="C7" s="36" t="s">
        <v>51</v>
      </c>
      <c r="D7" s="28"/>
      <c r="E7" s="128">
        <v>8.5000000000000006E-2</v>
      </c>
      <c r="F7" s="128">
        <v>8.5000000000000006E-2</v>
      </c>
      <c r="G7" s="128">
        <v>8.5000000000000006E-2</v>
      </c>
      <c r="H7" s="129">
        <v>8.5000000000000006E-2</v>
      </c>
      <c r="I7" s="129">
        <v>8.5000000000000006E-2</v>
      </c>
      <c r="J7" s="55">
        <v>8.5000000000000006E-2</v>
      </c>
      <c r="K7" s="55">
        <v>8.2500000000000004E-2</v>
      </c>
      <c r="L7" s="55">
        <f>+K7</f>
        <v>8.2500000000000004E-2</v>
      </c>
      <c r="M7" s="55">
        <v>7.7499999999999999E-2</v>
      </c>
      <c r="N7" s="55">
        <v>7.7499999999999999E-2</v>
      </c>
      <c r="O7" s="55">
        <v>5.7500000000000002E-2</v>
      </c>
      <c r="P7" s="55">
        <v>5.7500000000000002E-2</v>
      </c>
      <c r="Q7" s="56">
        <f t="shared" si="1"/>
        <v>5.7500000000000002E-2</v>
      </c>
      <c r="R7" s="56">
        <f t="shared" si="1"/>
        <v>5.7500000000000002E-2</v>
      </c>
      <c r="S7" s="56">
        <f t="shared" si="1"/>
        <v>5.7500000000000002E-2</v>
      </c>
      <c r="T7" s="56">
        <f t="shared" si="2"/>
        <v>5.7500000000000002E-2</v>
      </c>
      <c r="U7" s="56">
        <f t="shared" si="3"/>
        <v>5.7500000000000002E-2</v>
      </c>
      <c r="V7" s="56">
        <f t="shared" si="4"/>
        <v>5.7500000000000002E-2</v>
      </c>
      <c r="W7" s="56">
        <f t="shared" si="5"/>
        <v>5.7500000000000002E-2</v>
      </c>
      <c r="X7" s="56">
        <f t="shared" si="6"/>
        <v>5.7500000000000002E-2</v>
      </c>
      <c r="Y7" s="56">
        <f t="shared" si="7"/>
        <v>5.7500000000000002E-2</v>
      </c>
      <c r="Z7" s="57"/>
    </row>
    <row r="8" spans="1:26">
      <c r="A8" s="47"/>
      <c r="B8" s="123"/>
      <c r="C8" s="36" t="s">
        <v>52</v>
      </c>
      <c r="D8" s="128"/>
      <c r="E8" s="128">
        <f t="shared" ref="E8:L8" si="8">IF(ISNUMBER(E31/E30),E31/E30,0)</f>
        <v>7.7887712839392539E-2</v>
      </c>
      <c r="F8" s="128">
        <f t="shared" si="8"/>
        <v>0.12078479460453709</v>
      </c>
      <c r="G8" s="128">
        <f t="shared" si="8"/>
        <v>7.0516185476815402E-2</v>
      </c>
      <c r="H8" s="129">
        <f t="shared" si="8"/>
        <v>-0.27578092828989942</v>
      </c>
      <c r="I8" s="129">
        <f t="shared" si="8"/>
        <v>0.19567567567567568</v>
      </c>
      <c r="J8" s="129">
        <f t="shared" si="8"/>
        <v>0.12785546773212889</v>
      </c>
      <c r="K8" s="129">
        <f t="shared" si="8"/>
        <v>-1.757276221856123E-2</v>
      </c>
      <c r="L8" s="129">
        <f t="shared" si="8"/>
        <v>0.12800808897876642</v>
      </c>
      <c r="M8" s="129">
        <f>IF(ISNUMBER(M31/M30),M31/M30,0)</f>
        <v>0.14491662183969875</v>
      </c>
      <c r="N8" s="129">
        <f>IF(ISNUMBER(N31/N30),N31/N30,0)</f>
        <v>4.2857142857142858E-2</v>
      </c>
      <c r="O8" s="129">
        <f>IF(ISNUMBER(O31/O30),O31/O30,0)</f>
        <v>8.1570226867193479E-3</v>
      </c>
      <c r="P8" s="129">
        <f>IF(ISNUMBER(P31/P30),P31/P30,0)</f>
        <v>6.1010343276870035E-2</v>
      </c>
      <c r="Q8" s="56">
        <f>+Q7</f>
        <v>5.7500000000000002E-2</v>
      </c>
      <c r="R8" s="56">
        <f>+R7</f>
        <v>5.7500000000000002E-2</v>
      </c>
      <c r="S8" s="56">
        <f>+S7</f>
        <v>5.7500000000000002E-2</v>
      </c>
      <c r="T8" s="56">
        <f t="shared" ref="T8:Y8" si="9">+T7</f>
        <v>5.7500000000000002E-2</v>
      </c>
      <c r="U8" s="56">
        <f t="shared" si="9"/>
        <v>5.7500000000000002E-2</v>
      </c>
      <c r="V8" s="56">
        <f t="shared" si="9"/>
        <v>5.7500000000000002E-2</v>
      </c>
      <c r="W8" s="56">
        <f t="shared" si="9"/>
        <v>5.7500000000000002E-2</v>
      </c>
      <c r="X8" s="56">
        <f t="shared" si="9"/>
        <v>5.7500000000000002E-2</v>
      </c>
      <c r="Y8" s="56">
        <f t="shared" si="9"/>
        <v>5.7500000000000002E-2</v>
      </c>
      <c r="Z8" s="57"/>
    </row>
    <row r="9" spans="1:26">
      <c r="A9" s="47"/>
      <c r="B9" s="123"/>
      <c r="C9" s="36" t="s">
        <v>53</v>
      </c>
      <c r="D9" s="28"/>
      <c r="E9" s="28">
        <v>0.35</v>
      </c>
      <c r="F9" s="28">
        <v>0.35</v>
      </c>
      <c r="G9" s="28">
        <v>0.35</v>
      </c>
      <c r="H9" s="27">
        <v>0.35</v>
      </c>
      <c r="I9" s="27">
        <v>0.35</v>
      </c>
      <c r="J9" s="130">
        <v>0.35</v>
      </c>
      <c r="K9" s="130">
        <v>0.35</v>
      </c>
      <c r="L9" s="130">
        <v>0.35</v>
      </c>
      <c r="M9" s="130">
        <v>0.35</v>
      </c>
      <c r="N9" s="130">
        <v>0.35</v>
      </c>
      <c r="O9" s="130">
        <v>0.35</v>
      </c>
      <c r="P9" s="130">
        <v>0.35</v>
      </c>
      <c r="Q9" s="61">
        <v>0.35</v>
      </c>
      <c r="R9" s="61">
        <v>0.23</v>
      </c>
      <c r="S9" s="61">
        <v>0.23</v>
      </c>
      <c r="T9" s="61">
        <v>0.23</v>
      </c>
      <c r="U9" s="61">
        <v>0.23</v>
      </c>
      <c r="V9" s="61">
        <v>0.23</v>
      </c>
      <c r="W9" s="61">
        <v>0.23</v>
      </c>
      <c r="X9" s="61">
        <v>0.23</v>
      </c>
      <c r="Y9" s="61">
        <v>0.23</v>
      </c>
      <c r="Z9" s="62"/>
    </row>
    <row r="10" spans="1:26" ht="7.5" customHeight="1">
      <c r="A10" s="47"/>
      <c r="B10" s="123"/>
      <c r="C10" s="31"/>
      <c r="D10" s="31"/>
      <c r="E10" s="31"/>
      <c r="F10" s="31"/>
      <c r="G10" s="31"/>
      <c r="H10" s="64"/>
      <c r="I10" s="64"/>
      <c r="J10" s="64"/>
      <c r="K10" s="64"/>
      <c r="L10" s="64"/>
      <c r="M10" s="64"/>
      <c r="N10" s="64"/>
      <c r="O10" s="64"/>
      <c r="P10" s="64"/>
      <c r="Q10" s="64"/>
      <c r="R10" s="64"/>
      <c r="S10" s="64"/>
      <c r="T10" s="64"/>
      <c r="U10" s="64"/>
      <c r="V10" s="64"/>
      <c r="W10" s="64"/>
      <c r="X10" s="64"/>
      <c r="Y10" s="64"/>
      <c r="Z10" s="65"/>
    </row>
    <row r="11" spans="1:26">
      <c r="A11" s="47"/>
      <c r="B11" s="48" t="s">
        <v>54</v>
      </c>
      <c r="C11" s="48"/>
      <c r="D11" s="49"/>
      <c r="E11" s="49">
        <f t="shared" ref="E11:R11" si="10">+E4</f>
        <v>2005</v>
      </c>
      <c r="F11" s="49">
        <f t="shared" si="10"/>
        <v>2006</v>
      </c>
      <c r="G11" s="49">
        <f t="shared" si="10"/>
        <v>2007</v>
      </c>
      <c r="H11" s="49">
        <f t="shared" si="10"/>
        <v>2008</v>
      </c>
      <c r="I11" s="49">
        <f t="shared" si="10"/>
        <v>2009</v>
      </c>
      <c r="J11" s="49">
        <f t="shared" si="10"/>
        <v>2010</v>
      </c>
      <c r="K11" s="49">
        <f t="shared" si="10"/>
        <v>2011</v>
      </c>
      <c r="L11" s="49">
        <f t="shared" si="10"/>
        <v>2012</v>
      </c>
      <c r="M11" s="49">
        <f t="shared" si="10"/>
        <v>2013</v>
      </c>
      <c r="N11" s="49" t="str">
        <f t="shared" si="10"/>
        <v>2014</v>
      </c>
      <c r="O11" s="49">
        <f t="shared" ref="O11:P11" si="11">+O4</f>
        <v>2015</v>
      </c>
      <c r="P11" s="49">
        <f t="shared" si="11"/>
        <v>2016</v>
      </c>
      <c r="Q11" s="50">
        <f t="shared" si="10"/>
        <v>2017</v>
      </c>
      <c r="R11" s="50" t="str">
        <f t="shared" si="10"/>
        <v>2018E</v>
      </c>
      <c r="S11" s="50" t="str">
        <f>+S4</f>
        <v>2019E</v>
      </c>
      <c r="T11" s="50" t="str">
        <f t="shared" ref="T11:Y11" si="12">+T4</f>
        <v>2020E</v>
      </c>
      <c r="U11" s="50" t="str">
        <f t="shared" si="12"/>
        <v>2021E</v>
      </c>
      <c r="V11" s="50" t="str">
        <f t="shared" si="12"/>
        <v>2022E</v>
      </c>
      <c r="W11" s="50" t="str">
        <f t="shared" si="12"/>
        <v>2023E</v>
      </c>
      <c r="X11" s="50" t="str">
        <f t="shared" si="12"/>
        <v>2024E</v>
      </c>
      <c r="Y11" s="50" t="str">
        <f t="shared" si="12"/>
        <v>2025E</v>
      </c>
      <c r="Z11" s="51"/>
    </row>
    <row r="12" spans="1:26" ht="15" customHeight="1">
      <c r="A12" s="47"/>
      <c r="B12" s="66" t="s">
        <v>55</v>
      </c>
      <c r="C12" s="66"/>
      <c r="D12" s="66"/>
      <c r="E12" s="66"/>
      <c r="F12" s="66"/>
      <c r="G12" s="66"/>
      <c r="H12" s="68"/>
      <c r="I12" s="68"/>
      <c r="J12" s="68"/>
      <c r="K12" s="68"/>
      <c r="L12" s="68"/>
      <c r="M12" s="68"/>
      <c r="N12" s="68"/>
      <c r="O12" s="68"/>
      <c r="P12" s="68"/>
      <c r="Q12" s="68"/>
      <c r="R12" s="68"/>
      <c r="S12" s="68"/>
      <c r="T12" s="68"/>
      <c r="U12" s="68"/>
      <c r="V12" s="68"/>
      <c r="W12" s="68"/>
      <c r="X12" s="68"/>
      <c r="Y12" s="68"/>
      <c r="Z12" s="46"/>
    </row>
    <row r="13" spans="1:26" outlineLevel="1">
      <c r="A13" s="47"/>
      <c r="B13" s="123"/>
      <c r="C13" s="36" t="s">
        <v>56</v>
      </c>
      <c r="D13" s="69"/>
      <c r="E13" s="84">
        <v>390</v>
      </c>
      <c r="F13" s="84">
        <v>435</v>
      </c>
      <c r="G13" s="84">
        <v>511</v>
      </c>
      <c r="H13" s="84">
        <v>429</v>
      </c>
      <c r="I13" s="69">
        <v>334</v>
      </c>
      <c r="J13" s="70">
        <v>348</v>
      </c>
      <c r="K13" s="70">
        <v>362</v>
      </c>
      <c r="L13" s="70">
        <v>336</v>
      </c>
      <c r="M13" s="70">
        <v>352</v>
      </c>
      <c r="N13" s="70">
        <v>233</v>
      </c>
      <c r="O13" s="70">
        <v>222</v>
      </c>
      <c r="P13" s="70">
        <v>192</v>
      </c>
      <c r="Q13" s="69">
        <f>P13</f>
        <v>192</v>
      </c>
      <c r="R13" s="69">
        <f>Q13</f>
        <v>192</v>
      </c>
      <c r="S13" s="69">
        <f>R13</f>
        <v>192</v>
      </c>
      <c r="T13" s="69">
        <f t="shared" ref="T13:Y13" si="13">S13</f>
        <v>192</v>
      </c>
      <c r="U13" s="69">
        <f t="shared" si="13"/>
        <v>192</v>
      </c>
      <c r="V13" s="69">
        <f t="shared" si="13"/>
        <v>192</v>
      </c>
      <c r="W13" s="69">
        <f t="shared" si="13"/>
        <v>192</v>
      </c>
      <c r="X13" s="69">
        <f t="shared" si="13"/>
        <v>192</v>
      </c>
      <c r="Y13" s="69">
        <f t="shared" si="13"/>
        <v>192</v>
      </c>
      <c r="Z13" s="65"/>
    </row>
    <row r="14" spans="1:26" outlineLevel="1">
      <c r="A14" s="47"/>
      <c r="B14" s="123"/>
      <c r="C14" s="36" t="s">
        <v>57</v>
      </c>
      <c r="D14" s="69"/>
      <c r="E14" s="84">
        <v>-344</v>
      </c>
      <c r="F14" s="84">
        <v>-359</v>
      </c>
      <c r="G14" s="84">
        <v>-359</v>
      </c>
      <c r="H14" s="84">
        <v>-360</v>
      </c>
      <c r="I14" s="69">
        <v>-469</v>
      </c>
      <c r="J14" s="70">
        <v>-624</v>
      </c>
      <c r="K14" s="70">
        <v>-694</v>
      </c>
      <c r="L14" s="70">
        <v>-927</v>
      </c>
      <c r="M14" s="70">
        <v>-1161</v>
      </c>
      <c r="N14" s="70">
        <v>-1448</v>
      </c>
      <c r="O14" s="70">
        <v>-1278</v>
      </c>
      <c r="P14" s="70">
        <v>-1277</v>
      </c>
      <c r="Q14" s="69">
        <f>+P14</f>
        <v>-1277</v>
      </c>
      <c r="R14" s="69">
        <f>+Q14</f>
        <v>-1277</v>
      </c>
      <c r="S14" s="69">
        <f>+R14</f>
        <v>-1277</v>
      </c>
      <c r="T14" s="69">
        <f t="shared" ref="T14:Y14" si="14">+S14</f>
        <v>-1277</v>
      </c>
      <c r="U14" s="69">
        <f t="shared" si="14"/>
        <v>-1277</v>
      </c>
      <c r="V14" s="69">
        <f t="shared" si="14"/>
        <v>-1277</v>
      </c>
      <c r="W14" s="69">
        <f t="shared" si="14"/>
        <v>-1277</v>
      </c>
      <c r="X14" s="69">
        <f t="shared" si="14"/>
        <v>-1277</v>
      </c>
      <c r="Y14" s="69">
        <f t="shared" si="14"/>
        <v>-1277</v>
      </c>
      <c r="Z14" s="65"/>
    </row>
    <row r="15" spans="1:26" outlineLevel="1">
      <c r="A15" s="47"/>
      <c r="B15" s="123"/>
      <c r="C15" s="36" t="s">
        <v>58</v>
      </c>
      <c r="D15" s="69"/>
      <c r="E15" s="84">
        <v>1496</v>
      </c>
      <c r="F15" s="84">
        <v>1943</v>
      </c>
      <c r="G15" s="84">
        <v>2588</v>
      </c>
      <c r="H15" s="84">
        <v>2550</v>
      </c>
      <c r="I15" s="69">
        <v>2434</v>
      </c>
      <c r="J15" s="70">
        <v>2257</v>
      </c>
      <c r="K15" s="70">
        <v>2051</v>
      </c>
      <c r="L15" s="70">
        <v>1725</v>
      </c>
      <c r="M15" s="70">
        <v>1532</v>
      </c>
      <c r="N15" s="70">
        <v>1458</v>
      </c>
      <c r="O15" s="70">
        <v>967</v>
      </c>
      <c r="P15" s="70">
        <v>972</v>
      </c>
      <c r="Q15" s="69">
        <f>+Q22*P5</f>
        <v>1119.1609999999998</v>
      </c>
      <c r="R15" s="69">
        <f>+R22*Q5</f>
        <v>1089.540923</v>
      </c>
      <c r="S15" s="69">
        <f>+S22*R5</f>
        <v>1060.2811826889999</v>
      </c>
      <c r="T15" s="69">
        <f t="shared" ref="T15:Y15" si="15">+T22*S5</f>
        <v>1030.1932735446269</v>
      </c>
      <c r="U15" s="69">
        <f t="shared" si="15"/>
        <v>998.81158430704591</v>
      </c>
      <c r="V15" s="69">
        <f t="shared" si="15"/>
        <v>966.0804824322488</v>
      </c>
      <c r="W15" s="69">
        <f t="shared" si="15"/>
        <v>931.94194317683548</v>
      </c>
      <c r="X15" s="69">
        <f t="shared" si="15"/>
        <v>896.33544673343943</v>
      </c>
      <c r="Y15" s="69">
        <f t="shared" si="15"/>
        <v>859.19787094297737</v>
      </c>
      <c r="Z15" s="65"/>
    </row>
    <row r="16" spans="1:26" outlineLevel="1">
      <c r="A16" s="47"/>
      <c r="B16" s="123"/>
      <c r="C16" s="36" t="s">
        <v>59</v>
      </c>
      <c r="D16" s="69"/>
      <c r="E16" s="84">
        <v>-781</v>
      </c>
      <c r="F16" s="84">
        <v>-935</v>
      </c>
      <c r="G16" s="84">
        <v>-1348</v>
      </c>
      <c r="H16" s="84">
        <v>-1327</v>
      </c>
      <c r="I16" s="69">
        <v>-784</v>
      </c>
      <c r="J16" s="70">
        <v>-943</v>
      </c>
      <c r="K16" s="70">
        <v>-1040</v>
      </c>
      <c r="L16" s="70">
        <v>-811</v>
      </c>
      <c r="M16" s="70">
        <v>-706</v>
      </c>
      <c r="N16" s="70">
        <v>-653</v>
      </c>
      <c r="O16" s="70">
        <v>-421</v>
      </c>
      <c r="P16" s="70">
        <v>-355</v>
      </c>
      <c r="Q16" s="69">
        <f>-Q30*Q7</f>
        <v>-340.45750000000004</v>
      </c>
      <c r="R16" s="69">
        <f>-R30*R7</f>
        <v>-245.03380625000003</v>
      </c>
      <c r="S16" s="69">
        <f>-S30*S7</f>
        <v>-146.30825010937505</v>
      </c>
      <c r="T16" s="69">
        <f t="shared" ref="T16:Y16" si="16">-T30*T7</f>
        <v>-157.48097449066412</v>
      </c>
      <c r="U16" s="69">
        <f t="shared" si="16"/>
        <v>-169.29613052387731</v>
      </c>
      <c r="V16" s="69">
        <f t="shared" si="16"/>
        <v>-181.79065802900027</v>
      </c>
      <c r="W16" s="69">
        <f t="shared" si="16"/>
        <v>-195.00362086566778</v>
      </c>
      <c r="X16" s="69">
        <f t="shared" si="16"/>
        <v>-208.97632906544371</v>
      </c>
      <c r="Y16" s="69">
        <f t="shared" si="16"/>
        <v>-223.75246798670671</v>
      </c>
      <c r="Z16" s="65"/>
    </row>
    <row r="17" spans="1:26" ht="13.5" customHeight="1" outlineLevel="1">
      <c r="A17" s="47"/>
      <c r="B17" s="123"/>
      <c r="C17" s="36" t="s">
        <v>60</v>
      </c>
      <c r="D17" s="69"/>
      <c r="E17" s="69">
        <v>440</v>
      </c>
      <c r="F17" s="69">
        <v>473</v>
      </c>
      <c r="G17" s="69">
        <v>294</v>
      </c>
      <c r="H17" s="69">
        <v>-1</v>
      </c>
      <c r="I17" s="69">
        <v>124</v>
      </c>
      <c r="J17" s="70">
        <v>510</v>
      </c>
      <c r="K17" s="70">
        <v>1672</v>
      </c>
      <c r="L17" s="70">
        <v>4247</v>
      </c>
      <c r="M17" s="70">
        <v>-2738</v>
      </c>
      <c r="N17" s="70">
        <v>2093</v>
      </c>
      <c r="O17" s="70">
        <v>-1632</v>
      </c>
      <c r="P17" s="70">
        <v>-581</v>
      </c>
      <c r="Q17" s="69">
        <f>Q25-((Q8-Q7)*Q30)</f>
        <v>0</v>
      </c>
      <c r="R17" s="69">
        <f>R25-((R8-R7)*R30)</f>
        <v>0</v>
      </c>
      <c r="S17" s="69">
        <f>S25-((S8-S7)*S30)</f>
        <v>0</v>
      </c>
      <c r="T17" s="69">
        <f t="shared" ref="T17:Y17" si="17">T25-((T8-T7)*T30)</f>
        <v>0</v>
      </c>
      <c r="U17" s="69">
        <f t="shared" si="17"/>
        <v>0</v>
      </c>
      <c r="V17" s="69">
        <f t="shared" si="17"/>
        <v>0</v>
      </c>
      <c r="W17" s="69">
        <f t="shared" si="17"/>
        <v>0</v>
      </c>
      <c r="X17" s="69">
        <f t="shared" si="17"/>
        <v>0</v>
      </c>
      <c r="Y17" s="69">
        <f t="shared" si="17"/>
        <v>0</v>
      </c>
      <c r="Z17" s="33"/>
    </row>
    <row r="18" spans="1:26">
      <c r="A18" s="47"/>
      <c r="B18" s="123"/>
      <c r="C18" s="80" t="s">
        <v>97</v>
      </c>
      <c r="D18" s="73"/>
      <c r="E18" s="73">
        <f t="shared" ref="E18:R18" si="18">SUM(E13:E17)</f>
        <v>1201</v>
      </c>
      <c r="F18" s="73">
        <f t="shared" si="18"/>
        <v>1557</v>
      </c>
      <c r="G18" s="73">
        <f t="shared" si="18"/>
        <v>1686</v>
      </c>
      <c r="H18" s="73">
        <f t="shared" si="18"/>
        <v>1291</v>
      </c>
      <c r="I18" s="73">
        <f t="shared" si="18"/>
        <v>1639</v>
      </c>
      <c r="J18" s="73">
        <f t="shared" si="18"/>
        <v>1548</v>
      </c>
      <c r="K18" s="73">
        <f t="shared" si="18"/>
        <v>2351</v>
      </c>
      <c r="L18" s="73">
        <f t="shared" si="18"/>
        <v>4570</v>
      </c>
      <c r="M18" s="73">
        <f t="shared" si="18"/>
        <v>-2721</v>
      </c>
      <c r="N18" s="73">
        <f t="shared" si="18"/>
        <v>1683</v>
      </c>
      <c r="O18" s="73">
        <f t="shared" ref="O18:P18" si="19">SUM(O13:O17)</f>
        <v>-2142</v>
      </c>
      <c r="P18" s="73">
        <f t="shared" si="19"/>
        <v>-1049</v>
      </c>
      <c r="Q18" s="73">
        <f t="shared" si="18"/>
        <v>-306.29650000000021</v>
      </c>
      <c r="R18" s="73">
        <f t="shared" si="18"/>
        <v>-240.49288325000001</v>
      </c>
      <c r="S18" s="73">
        <f>SUM(S13:S17)</f>
        <v>-171.02706742037512</v>
      </c>
      <c r="T18" s="73">
        <f t="shared" ref="T18:Y18" si="20">SUM(T13:T17)</f>
        <v>-212.28770094603723</v>
      </c>
      <c r="U18" s="73">
        <f t="shared" si="20"/>
        <v>-255.4845462168314</v>
      </c>
      <c r="V18" s="73">
        <f t="shared" si="20"/>
        <v>-300.71017559675147</v>
      </c>
      <c r="W18" s="73">
        <f t="shared" si="20"/>
        <v>-348.06167768883233</v>
      </c>
      <c r="X18" s="73">
        <f t="shared" si="20"/>
        <v>-397.64088233200425</v>
      </c>
      <c r="Y18" s="73">
        <f t="shared" si="20"/>
        <v>-449.55459704372936</v>
      </c>
      <c r="Z18" s="74"/>
    </row>
    <row r="19" spans="1:26">
      <c r="A19" s="47"/>
      <c r="B19" s="123"/>
      <c r="C19" s="76" t="s">
        <v>98</v>
      </c>
      <c r="D19" s="78"/>
      <c r="E19" s="78">
        <f t="shared" ref="E19:R19" si="21">SUM(E13:E16)</f>
        <v>761</v>
      </c>
      <c r="F19" s="78">
        <f t="shared" si="21"/>
        <v>1084</v>
      </c>
      <c r="G19" s="78">
        <f t="shared" si="21"/>
        <v>1392</v>
      </c>
      <c r="H19" s="78">
        <f t="shared" si="21"/>
        <v>1292</v>
      </c>
      <c r="I19" s="78">
        <f t="shared" si="21"/>
        <v>1515</v>
      </c>
      <c r="J19" s="78">
        <f t="shared" si="21"/>
        <v>1038</v>
      </c>
      <c r="K19" s="78">
        <f t="shared" si="21"/>
        <v>679</v>
      </c>
      <c r="L19" s="78">
        <f t="shared" si="21"/>
        <v>323</v>
      </c>
      <c r="M19" s="78">
        <f t="shared" si="21"/>
        <v>17</v>
      </c>
      <c r="N19" s="78">
        <f t="shared" si="21"/>
        <v>-410</v>
      </c>
      <c r="O19" s="78">
        <f t="shared" ref="O19:P19" si="22">SUM(O13:O16)</f>
        <v>-510</v>
      </c>
      <c r="P19" s="78">
        <f t="shared" si="22"/>
        <v>-468</v>
      </c>
      <c r="Q19" s="78">
        <f t="shared" si="21"/>
        <v>-306.29650000000021</v>
      </c>
      <c r="R19" s="78">
        <f t="shared" si="21"/>
        <v>-240.49288325000001</v>
      </c>
      <c r="S19" s="78">
        <f>SUM(S13:S16)</f>
        <v>-171.02706742037512</v>
      </c>
      <c r="T19" s="78">
        <f t="shared" ref="T19:Y19" si="23">SUM(T13:T16)</f>
        <v>-212.28770094603723</v>
      </c>
      <c r="U19" s="78">
        <f t="shared" si="23"/>
        <v>-255.4845462168314</v>
      </c>
      <c r="V19" s="78">
        <f t="shared" si="23"/>
        <v>-300.71017559675147</v>
      </c>
      <c r="W19" s="78">
        <f t="shared" si="23"/>
        <v>-348.06167768883233</v>
      </c>
      <c r="X19" s="78">
        <f t="shared" si="23"/>
        <v>-397.64088233200425</v>
      </c>
      <c r="Y19" s="78">
        <f t="shared" si="23"/>
        <v>-449.55459704372936</v>
      </c>
      <c r="Z19" s="74"/>
    </row>
    <row r="20" spans="1:26">
      <c r="A20" s="47"/>
      <c r="B20" s="123"/>
      <c r="C20" s="131"/>
      <c r="D20" s="132"/>
      <c r="E20" s="133"/>
      <c r="F20" s="133"/>
      <c r="G20" s="133"/>
      <c r="H20" s="134"/>
      <c r="I20" s="135"/>
      <c r="J20" s="135"/>
      <c r="K20" s="135"/>
      <c r="L20" s="135"/>
      <c r="M20" s="135"/>
      <c r="N20" s="135"/>
      <c r="O20" s="135"/>
      <c r="P20" s="135"/>
      <c r="Q20" s="135"/>
      <c r="R20" s="135"/>
      <c r="S20" s="135"/>
      <c r="T20" s="135"/>
      <c r="U20" s="135"/>
      <c r="V20" s="135"/>
      <c r="W20" s="135"/>
      <c r="X20" s="135"/>
      <c r="Y20" s="135"/>
      <c r="Z20" s="79"/>
    </row>
    <row r="21" spans="1:26">
      <c r="A21" s="47"/>
      <c r="B21" s="66" t="s">
        <v>63</v>
      </c>
      <c r="C21" s="66"/>
      <c r="D21" s="66"/>
      <c r="E21" s="66"/>
      <c r="F21" s="66"/>
      <c r="G21" s="66"/>
      <c r="H21" s="64"/>
      <c r="I21" s="64"/>
      <c r="J21" s="64"/>
      <c r="K21" s="64"/>
      <c r="L21" s="64"/>
      <c r="M21" s="64"/>
      <c r="N21" s="64"/>
      <c r="O21" s="64"/>
      <c r="P21" s="64"/>
      <c r="Q21" s="64"/>
      <c r="R21" s="64"/>
      <c r="S21" s="64"/>
      <c r="T21" s="64"/>
      <c r="U21" s="64"/>
      <c r="V21" s="64"/>
      <c r="W21" s="64"/>
      <c r="X21" s="64"/>
      <c r="Y21" s="64"/>
      <c r="Z21" s="65"/>
    </row>
    <row r="22" spans="1:26" outlineLevel="1">
      <c r="A22" s="47"/>
      <c r="B22" s="123"/>
      <c r="C22" s="75" t="s">
        <v>64</v>
      </c>
      <c r="D22" s="81"/>
      <c r="E22" s="81">
        <v>25114</v>
      </c>
      <c r="F22" s="81">
        <f t="shared" ref="F22:K22" si="24">E28</f>
        <v>35225</v>
      </c>
      <c r="G22" s="81">
        <f t="shared" si="24"/>
        <v>44137</v>
      </c>
      <c r="H22" s="81">
        <f t="shared" si="24"/>
        <v>40385</v>
      </c>
      <c r="I22" s="81">
        <f t="shared" si="24"/>
        <v>37531</v>
      </c>
      <c r="J22" s="81">
        <f t="shared" si="24"/>
        <v>36225</v>
      </c>
      <c r="K22" s="81">
        <f t="shared" si="24"/>
        <v>36638</v>
      </c>
      <c r="L22" s="81">
        <f>+K28</f>
        <v>34953</v>
      </c>
      <c r="M22" s="81">
        <f>+L28</f>
        <v>37431</v>
      </c>
      <c r="N22" s="81">
        <f t="shared" ref="N22:S22" si="25">+M28</f>
        <v>30285</v>
      </c>
      <c r="O22" s="81">
        <f t="shared" si="25"/>
        <v>30709</v>
      </c>
      <c r="P22" s="81">
        <f t="shared" si="25"/>
        <v>27898</v>
      </c>
      <c r="Q22" s="81">
        <f t="shared" si="25"/>
        <v>26027</v>
      </c>
      <c r="R22" s="81">
        <f t="shared" si="25"/>
        <v>25338.161</v>
      </c>
      <c r="S22" s="81">
        <f t="shared" si="25"/>
        <v>24657.701923000001</v>
      </c>
      <c r="T22" s="81">
        <f t="shared" ref="T22" si="26">+S28</f>
        <v>23957.983105689</v>
      </c>
      <c r="U22" s="81">
        <f t="shared" ref="U22" si="27">+T28</f>
        <v>23228.176379233628</v>
      </c>
      <c r="V22" s="81">
        <f t="shared" ref="V22" si="28">+U28</f>
        <v>22466.987963540672</v>
      </c>
      <c r="W22" s="81">
        <f t="shared" ref="W22" si="29">+V28</f>
        <v>21673.06844597292</v>
      </c>
      <c r="X22" s="81">
        <f t="shared" ref="X22" si="30">+W28</f>
        <v>20845.010389149757</v>
      </c>
      <c r="Y22" s="81">
        <f t="shared" ref="Y22" si="31">+X28</f>
        <v>19981.345835883196</v>
      </c>
      <c r="Z22" s="65"/>
    </row>
    <row r="23" spans="1:26" outlineLevel="1">
      <c r="A23" s="47"/>
      <c r="B23" s="123"/>
      <c r="C23" s="36" t="s">
        <v>56</v>
      </c>
      <c r="D23" s="69"/>
      <c r="E23" s="69">
        <f t="shared" ref="E23:K23" si="32">E13</f>
        <v>390</v>
      </c>
      <c r="F23" s="69">
        <f t="shared" si="32"/>
        <v>435</v>
      </c>
      <c r="G23" s="69">
        <f t="shared" si="32"/>
        <v>511</v>
      </c>
      <c r="H23" s="69">
        <f t="shared" si="32"/>
        <v>429</v>
      </c>
      <c r="I23" s="69">
        <f t="shared" si="32"/>
        <v>334</v>
      </c>
      <c r="J23" s="70">
        <f t="shared" si="32"/>
        <v>348</v>
      </c>
      <c r="K23" s="70">
        <f t="shared" si="32"/>
        <v>362</v>
      </c>
      <c r="L23" s="70">
        <f t="shared" ref="L23:S23" si="33">+L13</f>
        <v>336</v>
      </c>
      <c r="M23" s="70">
        <f t="shared" si="33"/>
        <v>352</v>
      </c>
      <c r="N23" s="70">
        <f t="shared" si="33"/>
        <v>233</v>
      </c>
      <c r="O23" s="69">
        <f t="shared" ref="O23:P23" si="34">+O13</f>
        <v>222</v>
      </c>
      <c r="P23" s="69">
        <f t="shared" si="34"/>
        <v>192</v>
      </c>
      <c r="Q23" s="69">
        <f t="shared" si="33"/>
        <v>192</v>
      </c>
      <c r="R23" s="69">
        <f t="shared" si="33"/>
        <v>192</v>
      </c>
      <c r="S23" s="69">
        <f t="shared" si="33"/>
        <v>192</v>
      </c>
      <c r="T23" s="69">
        <f t="shared" ref="T23:Y23" si="35">+T13</f>
        <v>192</v>
      </c>
      <c r="U23" s="69">
        <f t="shared" si="35"/>
        <v>192</v>
      </c>
      <c r="V23" s="69">
        <f t="shared" si="35"/>
        <v>192</v>
      </c>
      <c r="W23" s="69">
        <f t="shared" si="35"/>
        <v>192</v>
      </c>
      <c r="X23" s="69">
        <f t="shared" si="35"/>
        <v>192</v>
      </c>
      <c r="Y23" s="69">
        <f t="shared" si="35"/>
        <v>192</v>
      </c>
      <c r="Z23" s="65"/>
    </row>
    <row r="24" spans="1:26" outlineLevel="1">
      <c r="A24" s="47"/>
      <c r="B24" s="123"/>
      <c r="C24" s="36" t="s">
        <v>58</v>
      </c>
      <c r="D24" s="69"/>
      <c r="E24" s="69">
        <f t="shared" ref="E24:K24" si="36">E15</f>
        <v>1496</v>
      </c>
      <c r="F24" s="69">
        <f t="shared" si="36"/>
        <v>1943</v>
      </c>
      <c r="G24" s="69">
        <f t="shared" si="36"/>
        <v>2588</v>
      </c>
      <c r="H24" s="69">
        <f t="shared" si="36"/>
        <v>2550</v>
      </c>
      <c r="I24" s="69">
        <f t="shared" si="36"/>
        <v>2434</v>
      </c>
      <c r="J24" s="70">
        <f t="shared" si="36"/>
        <v>2257</v>
      </c>
      <c r="K24" s="70">
        <f t="shared" si="36"/>
        <v>2051</v>
      </c>
      <c r="L24" s="70">
        <f t="shared" ref="L24:S24" si="37">+L15</f>
        <v>1725</v>
      </c>
      <c r="M24" s="70">
        <f t="shared" si="37"/>
        <v>1532</v>
      </c>
      <c r="N24" s="70">
        <f t="shared" si="37"/>
        <v>1458</v>
      </c>
      <c r="O24" s="69">
        <f t="shared" ref="O24:P24" si="38">+O15</f>
        <v>967</v>
      </c>
      <c r="P24" s="69">
        <f t="shared" si="38"/>
        <v>972</v>
      </c>
      <c r="Q24" s="69">
        <f t="shared" si="37"/>
        <v>1119.1609999999998</v>
      </c>
      <c r="R24" s="69">
        <f t="shared" si="37"/>
        <v>1089.540923</v>
      </c>
      <c r="S24" s="69">
        <f t="shared" si="37"/>
        <v>1060.2811826889999</v>
      </c>
      <c r="T24" s="69">
        <f t="shared" ref="T24:Y24" si="39">+T15</f>
        <v>1030.1932735446269</v>
      </c>
      <c r="U24" s="69">
        <f t="shared" si="39"/>
        <v>998.81158430704591</v>
      </c>
      <c r="V24" s="69">
        <f t="shared" si="39"/>
        <v>966.0804824322488</v>
      </c>
      <c r="W24" s="69">
        <f t="shared" si="39"/>
        <v>931.94194317683548</v>
      </c>
      <c r="X24" s="69">
        <f t="shared" si="39"/>
        <v>896.33544673343943</v>
      </c>
      <c r="Y24" s="69">
        <f t="shared" si="39"/>
        <v>859.19787094297737</v>
      </c>
      <c r="Z24" s="65"/>
    </row>
    <row r="25" spans="1:26" outlineLevel="1">
      <c r="A25" s="47"/>
      <c r="B25" s="123"/>
      <c r="C25" s="36" t="s">
        <v>65</v>
      </c>
      <c r="D25" s="69"/>
      <c r="E25" s="69">
        <v>613</v>
      </c>
      <c r="F25" s="69">
        <v>-3386</v>
      </c>
      <c r="G25" s="69">
        <v>-4752</v>
      </c>
      <c r="H25" s="69">
        <v>-3406</v>
      </c>
      <c r="I25" s="69">
        <v>1402</v>
      </c>
      <c r="J25" s="70">
        <v>1046</v>
      </c>
      <c r="K25" s="70">
        <v>478</v>
      </c>
      <c r="L25" s="70">
        <v>4844</v>
      </c>
      <c r="M25" s="70">
        <v>-2098</v>
      </c>
      <c r="N25" s="70">
        <v>1822</v>
      </c>
      <c r="O25" s="70">
        <v>-1988</v>
      </c>
      <c r="P25" s="70">
        <v>-529</v>
      </c>
      <c r="Q25" s="69">
        <f>P28*(-(Q5-P5))*Q6*100</f>
        <v>0</v>
      </c>
      <c r="R25" s="69">
        <f>Q28*(-(R5-Q5))*R6*100</f>
        <v>0</v>
      </c>
      <c r="S25" s="69">
        <f>R28*(-(S5-R5))*S6*100</f>
        <v>0</v>
      </c>
      <c r="T25" s="69">
        <f t="shared" ref="T25:Y25" si="40">S28*(-(T5-S5))*T6*100</f>
        <v>0</v>
      </c>
      <c r="U25" s="69">
        <f t="shared" si="40"/>
        <v>0</v>
      </c>
      <c r="V25" s="69">
        <f t="shared" si="40"/>
        <v>0</v>
      </c>
      <c r="W25" s="69">
        <f t="shared" si="40"/>
        <v>0</v>
      </c>
      <c r="X25" s="69">
        <f t="shared" si="40"/>
        <v>0</v>
      </c>
      <c r="Y25" s="69">
        <f t="shared" si="40"/>
        <v>0</v>
      </c>
      <c r="Z25" s="65"/>
    </row>
    <row r="26" spans="1:26" outlineLevel="1">
      <c r="A26" s="47"/>
      <c r="B26" s="123"/>
      <c r="C26" s="36" t="s">
        <v>66</v>
      </c>
      <c r="D26" s="69"/>
      <c r="E26" s="69">
        <v>-1234</v>
      </c>
      <c r="F26" s="69">
        <v>-1772</v>
      </c>
      <c r="G26" s="69">
        <v>-2316</v>
      </c>
      <c r="H26" s="69">
        <v>-2548</v>
      </c>
      <c r="I26" s="69">
        <v>-2370</v>
      </c>
      <c r="J26" s="70">
        <v>-2536</v>
      </c>
      <c r="K26" s="70">
        <v>-2750</v>
      </c>
      <c r="L26" s="70">
        <v>-2608</v>
      </c>
      <c r="M26" s="70">
        <v>-2473</v>
      </c>
      <c r="N26" s="70">
        <v>-2298</v>
      </c>
      <c r="O26" s="70">
        <v>-1958</v>
      </c>
      <c r="P26" s="70">
        <v>-1941</v>
      </c>
      <c r="Q26" s="70">
        <v>-2000</v>
      </c>
      <c r="R26" s="70">
        <v>-1962</v>
      </c>
      <c r="S26" s="70">
        <v>-1952</v>
      </c>
      <c r="T26" s="70">
        <v>-1952</v>
      </c>
      <c r="U26" s="70">
        <v>-1952</v>
      </c>
      <c r="V26" s="70">
        <v>-1952</v>
      </c>
      <c r="W26" s="70">
        <v>-1952</v>
      </c>
      <c r="X26" s="70">
        <v>-1952</v>
      </c>
      <c r="Y26" s="70">
        <v>-1952</v>
      </c>
      <c r="Z26" s="65"/>
    </row>
    <row r="27" spans="1:26" outlineLevel="1">
      <c r="A27" s="47"/>
      <c r="B27" s="123"/>
      <c r="C27" s="36" t="s">
        <v>67</v>
      </c>
      <c r="D27" s="69"/>
      <c r="E27" s="69">
        <f>-442+2-77+9129+234</f>
        <v>8846</v>
      </c>
      <c r="F27" s="69">
        <f>2+209+11461+20</f>
        <v>11692</v>
      </c>
      <c r="G27" s="69">
        <f>7+210</f>
        <v>217</v>
      </c>
      <c r="H27" s="69">
        <f>-4+5+120</f>
        <v>121</v>
      </c>
      <c r="I27" s="69">
        <f>9-3115</f>
        <v>-3106</v>
      </c>
      <c r="J27" s="70">
        <f>-742+7+33</f>
        <v>-702</v>
      </c>
      <c r="K27" s="70">
        <f>-1830+4</f>
        <v>-1826</v>
      </c>
      <c r="L27" s="70">
        <f>-2768+5-207+1151</f>
        <v>-1819</v>
      </c>
      <c r="M27" s="70">
        <f>-4460+1</f>
        <v>-4459</v>
      </c>
      <c r="N27" s="70">
        <f>-174-617</f>
        <v>-791</v>
      </c>
      <c r="O27" s="70">
        <f>-74+20</f>
        <v>-54</v>
      </c>
      <c r="P27" s="70">
        <f>-600+35</f>
        <v>-565</v>
      </c>
      <c r="Q27" s="70">
        <v>0</v>
      </c>
      <c r="R27" s="70">
        <v>0</v>
      </c>
      <c r="S27" s="70">
        <v>0</v>
      </c>
      <c r="T27" s="70">
        <v>0</v>
      </c>
      <c r="U27" s="70">
        <v>0</v>
      </c>
      <c r="V27" s="70">
        <v>0</v>
      </c>
      <c r="W27" s="70">
        <v>0</v>
      </c>
      <c r="X27" s="70">
        <v>0</v>
      </c>
      <c r="Y27" s="70">
        <v>0</v>
      </c>
      <c r="Z27" s="65"/>
    </row>
    <row r="28" spans="1:26">
      <c r="A28" s="47"/>
      <c r="B28" s="123"/>
      <c r="C28" s="82" t="s">
        <v>68</v>
      </c>
      <c r="D28" s="83"/>
      <c r="E28" s="83">
        <v>35225</v>
      </c>
      <c r="F28" s="83">
        <f t="shared" ref="F28:R28" si="41">SUM(F22:F27)</f>
        <v>44137</v>
      </c>
      <c r="G28" s="83">
        <f t="shared" si="41"/>
        <v>40385</v>
      </c>
      <c r="H28" s="83">
        <f t="shared" si="41"/>
        <v>37531</v>
      </c>
      <c r="I28" s="83">
        <f t="shared" si="41"/>
        <v>36225</v>
      </c>
      <c r="J28" s="83">
        <f t="shared" si="41"/>
        <v>36638</v>
      </c>
      <c r="K28" s="83">
        <f t="shared" si="41"/>
        <v>34953</v>
      </c>
      <c r="L28" s="83">
        <f t="shared" si="41"/>
        <v>37431</v>
      </c>
      <c r="M28" s="83">
        <f t="shared" si="41"/>
        <v>30285</v>
      </c>
      <c r="N28" s="83">
        <f t="shared" si="41"/>
        <v>30709</v>
      </c>
      <c r="O28" s="83">
        <f t="shared" ref="O28:P28" si="42">SUM(O22:O27)</f>
        <v>27898</v>
      </c>
      <c r="P28" s="83">
        <f t="shared" si="42"/>
        <v>26027</v>
      </c>
      <c r="Q28" s="83">
        <f t="shared" si="41"/>
        <v>25338.161</v>
      </c>
      <c r="R28" s="83">
        <f t="shared" si="41"/>
        <v>24657.701923000001</v>
      </c>
      <c r="S28" s="83">
        <f>SUM(S22:S27)</f>
        <v>23957.983105689</v>
      </c>
      <c r="T28" s="83">
        <f t="shared" ref="T28:Y28" si="43">SUM(T22:T27)</f>
        <v>23228.176379233628</v>
      </c>
      <c r="U28" s="83">
        <f t="shared" si="43"/>
        <v>22466.987963540672</v>
      </c>
      <c r="V28" s="83">
        <f t="shared" si="43"/>
        <v>21673.06844597292</v>
      </c>
      <c r="W28" s="83">
        <f t="shared" si="43"/>
        <v>20845.010389149757</v>
      </c>
      <c r="X28" s="83">
        <f t="shared" si="43"/>
        <v>19981.345835883196</v>
      </c>
      <c r="Y28" s="83">
        <f t="shared" si="43"/>
        <v>19080.543706826174</v>
      </c>
      <c r="Z28" s="74"/>
    </row>
    <row r="29" spans="1:26">
      <c r="A29" s="47"/>
      <c r="B29" s="123"/>
      <c r="C29" s="31"/>
      <c r="D29" s="31"/>
      <c r="E29" s="31"/>
      <c r="F29" s="31"/>
      <c r="G29" s="31"/>
      <c r="H29" s="64"/>
      <c r="I29" s="64"/>
      <c r="J29" s="64"/>
      <c r="K29" s="64"/>
      <c r="L29" s="64"/>
      <c r="M29" s="64"/>
      <c r="N29" s="64"/>
      <c r="O29" s="64"/>
      <c r="P29" s="64"/>
      <c r="Q29" s="64"/>
      <c r="R29" s="64"/>
      <c r="S29" s="64"/>
      <c r="T29" s="64"/>
      <c r="U29" s="64"/>
      <c r="V29" s="64"/>
      <c r="W29" s="64"/>
      <c r="X29" s="64"/>
      <c r="Y29" s="64"/>
      <c r="Z29" s="65"/>
    </row>
    <row r="30" spans="1:26" outlineLevel="1">
      <c r="A30" s="47"/>
      <c r="B30" s="123"/>
      <c r="C30" s="75" t="s">
        <v>69</v>
      </c>
      <c r="D30" s="81"/>
      <c r="E30" s="81">
        <v>8692</v>
      </c>
      <c r="F30" s="81">
        <f t="shared" ref="F30:K30" si="44">E35</f>
        <v>11417</v>
      </c>
      <c r="G30" s="81">
        <f t="shared" si="44"/>
        <v>17145</v>
      </c>
      <c r="H30" s="81">
        <f t="shared" si="44"/>
        <v>16999</v>
      </c>
      <c r="I30" s="81">
        <f t="shared" si="44"/>
        <v>10175</v>
      </c>
      <c r="J30" s="81">
        <f t="shared" si="44"/>
        <v>11513</v>
      </c>
      <c r="K30" s="81">
        <f t="shared" si="44"/>
        <v>12747</v>
      </c>
      <c r="L30" s="81">
        <f t="shared" ref="L30:S30" si="45">+K35</f>
        <v>9890</v>
      </c>
      <c r="M30" s="81">
        <f t="shared" si="45"/>
        <v>9295</v>
      </c>
      <c r="N30" s="81">
        <f t="shared" si="45"/>
        <v>8960</v>
      </c>
      <c r="O30" s="81">
        <f t="shared" si="45"/>
        <v>7846</v>
      </c>
      <c r="P30" s="81">
        <f t="shared" si="45"/>
        <v>6671</v>
      </c>
      <c r="Q30" s="81">
        <f t="shared" si="45"/>
        <v>5921</v>
      </c>
      <c r="R30" s="81">
        <f t="shared" si="45"/>
        <v>4261.4575000000004</v>
      </c>
      <c r="S30" s="81">
        <f t="shared" si="45"/>
        <v>2544.4913062500009</v>
      </c>
      <c r="T30" s="81">
        <f t="shared" ref="T30" si="46">+S35</f>
        <v>2738.7995563593759</v>
      </c>
      <c r="U30" s="81">
        <f t="shared" ref="U30" si="47">+T35</f>
        <v>2944.2805308500401</v>
      </c>
      <c r="V30" s="81">
        <f t="shared" ref="V30" si="48">+U35</f>
        <v>3161.5766613739174</v>
      </c>
      <c r="W30" s="81">
        <f t="shared" ref="W30" si="49">+V35</f>
        <v>3391.3673194029179</v>
      </c>
      <c r="X30" s="81">
        <f t="shared" ref="X30" si="50">+W35</f>
        <v>3634.3709402685859</v>
      </c>
      <c r="Y30" s="81">
        <f t="shared" ref="Y30" si="51">+X35</f>
        <v>3891.3472693340295</v>
      </c>
      <c r="Z30" s="65"/>
    </row>
    <row r="31" spans="1:26" outlineLevel="1">
      <c r="A31" s="47"/>
      <c r="B31" s="123"/>
      <c r="C31" s="36" t="s">
        <v>70</v>
      </c>
      <c r="D31" s="69"/>
      <c r="E31" s="84">
        <v>677</v>
      </c>
      <c r="F31" s="84">
        <v>1379</v>
      </c>
      <c r="G31" s="84">
        <v>1209</v>
      </c>
      <c r="H31" s="84">
        <v>-4688</v>
      </c>
      <c r="I31" s="69">
        <v>1991</v>
      </c>
      <c r="J31" s="70">
        <v>1472</v>
      </c>
      <c r="K31" s="70">
        <v>-224</v>
      </c>
      <c r="L31" s="70">
        <v>1266</v>
      </c>
      <c r="M31" s="70">
        <v>1347</v>
      </c>
      <c r="N31" s="70">
        <v>384</v>
      </c>
      <c r="O31" s="70">
        <v>64</v>
      </c>
      <c r="P31" s="70">
        <v>407</v>
      </c>
      <c r="Q31" s="69">
        <f>IF(Q8=Q7,-Q16,Q8*Q30)</f>
        <v>340.45750000000004</v>
      </c>
      <c r="R31" s="69">
        <f>IF(R8=R7,-R16,R8*R30)</f>
        <v>245.03380625000003</v>
      </c>
      <c r="S31" s="69">
        <f>IF(S8=S7,-S16,S8*S30)</f>
        <v>146.30825010937505</v>
      </c>
      <c r="T31" s="69">
        <f t="shared" ref="T31:Y31" si="52">IF(T8=T7,-T16,T8*T30)</f>
        <v>157.48097449066412</v>
      </c>
      <c r="U31" s="69">
        <f t="shared" si="52"/>
        <v>169.29613052387731</v>
      </c>
      <c r="V31" s="69">
        <f t="shared" si="52"/>
        <v>181.79065802900027</v>
      </c>
      <c r="W31" s="69">
        <f t="shared" si="52"/>
        <v>195.00362086566778</v>
      </c>
      <c r="X31" s="69">
        <f t="shared" si="52"/>
        <v>208.97632906544371</v>
      </c>
      <c r="Y31" s="69">
        <f t="shared" si="52"/>
        <v>223.75246798670671</v>
      </c>
      <c r="Z31" s="65"/>
    </row>
    <row r="32" spans="1:26" outlineLevel="1">
      <c r="A32" s="47"/>
      <c r="B32" s="123"/>
      <c r="C32" s="36" t="s">
        <v>71</v>
      </c>
      <c r="D32" s="69"/>
      <c r="E32" s="69">
        <v>0</v>
      </c>
      <c r="F32" s="69">
        <v>0</v>
      </c>
      <c r="G32" s="69">
        <v>255</v>
      </c>
      <c r="H32" s="69">
        <v>165</v>
      </c>
      <c r="I32" s="69">
        <v>195</v>
      </c>
      <c r="J32" s="70">
        <v>0</v>
      </c>
      <c r="K32" s="70">
        <v>0</v>
      </c>
      <c r="L32" s="70">
        <v>0</v>
      </c>
      <c r="M32" s="70">
        <v>0</v>
      </c>
      <c r="N32" s="70">
        <v>0</v>
      </c>
      <c r="O32" s="70">
        <v>0</v>
      </c>
      <c r="P32" s="70">
        <v>0</v>
      </c>
      <c r="Q32" s="70">
        <v>0</v>
      </c>
      <c r="R32" s="70">
        <v>0</v>
      </c>
      <c r="S32" s="70">
        <v>0</v>
      </c>
      <c r="T32" s="70">
        <v>0</v>
      </c>
      <c r="U32" s="70">
        <v>0</v>
      </c>
      <c r="V32" s="70">
        <v>0</v>
      </c>
      <c r="W32" s="70">
        <v>0</v>
      </c>
      <c r="X32" s="70">
        <v>0</v>
      </c>
      <c r="Y32" s="70">
        <v>0</v>
      </c>
      <c r="Z32" s="65"/>
    </row>
    <row r="33" spans="1:26" outlineLevel="1">
      <c r="A33" s="47"/>
      <c r="B33" s="123"/>
      <c r="C33" s="36" t="s">
        <v>66</v>
      </c>
      <c r="D33" s="69"/>
      <c r="E33" s="69">
        <v>-381</v>
      </c>
      <c r="F33" s="69">
        <v>-920</v>
      </c>
      <c r="G33" s="69">
        <v>-1694</v>
      </c>
      <c r="H33" s="69">
        <v>-2301</v>
      </c>
      <c r="I33" s="69">
        <v>-823</v>
      </c>
      <c r="J33" s="70">
        <v>-244</v>
      </c>
      <c r="K33" s="70">
        <v>-2633</v>
      </c>
      <c r="L33" s="70">
        <v>-1842</v>
      </c>
      <c r="M33" s="70">
        <v>-1682</v>
      </c>
      <c r="N33" s="70">
        <v>-1498</v>
      </c>
      <c r="O33" s="70">
        <v>-1239</v>
      </c>
      <c r="P33" s="70">
        <v>-1156</v>
      </c>
      <c r="Q33" s="69">
        <f>+Q26</f>
        <v>-2000</v>
      </c>
      <c r="R33" s="69">
        <f>+R26</f>
        <v>-1962</v>
      </c>
      <c r="S33" s="69">
        <f>+S26</f>
        <v>-1952</v>
      </c>
      <c r="T33" s="69">
        <f t="shared" ref="T33:Y33" si="53">+T26</f>
        <v>-1952</v>
      </c>
      <c r="U33" s="69">
        <f t="shared" si="53"/>
        <v>-1952</v>
      </c>
      <c r="V33" s="69">
        <f t="shared" si="53"/>
        <v>-1952</v>
      </c>
      <c r="W33" s="69">
        <f t="shared" si="53"/>
        <v>-1952</v>
      </c>
      <c r="X33" s="69">
        <f t="shared" si="53"/>
        <v>-1952</v>
      </c>
      <c r="Y33" s="69">
        <f t="shared" si="53"/>
        <v>-1952</v>
      </c>
      <c r="Z33" s="65"/>
    </row>
    <row r="34" spans="1:26" outlineLevel="1">
      <c r="A34" s="47"/>
      <c r="B34" s="123"/>
      <c r="C34" s="36" t="s">
        <v>72</v>
      </c>
      <c r="D34" s="69"/>
      <c r="E34" s="69">
        <v>2429</v>
      </c>
      <c r="F34" s="69">
        <v>5269</v>
      </c>
      <c r="G34" s="69">
        <v>84</v>
      </c>
      <c r="H34" s="69">
        <v>0</v>
      </c>
      <c r="I34" s="69">
        <v>-25</v>
      </c>
      <c r="J34" s="70">
        <v>6</v>
      </c>
      <c r="K34" s="70">
        <v>0</v>
      </c>
      <c r="L34" s="70">
        <v>-19</v>
      </c>
      <c r="M34" s="70">
        <v>0</v>
      </c>
      <c r="N34" s="70">
        <v>0</v>
      </c>
      <c r="O34" s="70">
        <v>0</v>
      </c>
      <c r="P34" s="70">
        <v>-1</v>
      </c>
      <c r="Q34" s="70">
        <v>0</v>
      </c>
      <c r="R34" s="70">
        <v>0</v>
      </c>
      <c r="S34" s="70">
        <v>2000</v>
      </c>
      <c r="T34" s="70">
        <v>2000</v>
      </c>
      <c r="U34" s="70">
        <v>2000</v>
      </c>
      <c r="V34" s="70">
        <v>2000</v>
      </c>
      <c r="W34" s="70">
        <v>2000</v>
      </c>
      <c r="X34" s="70">
        <v>2000</v>
      </c>
      <c r="Y34" s="70">
        <v>2000</v>
      </c>
      <c r="Z34" s="65"/>
    </row>
    <row r="35" spans="1:26">
      <c r="A35" s="47"/>
      <c r="B35" s="123"/>
      <c r="C35" s="82" t="s">
        <v>73</v>
      </c>
      <c r="D35" s="83"/>
      <c r="E35" s="83">
        <f t="shared" ref="E35:R35" si="54">SUM(E30:E34)</f>
        <v>11417</v>
      </c>
      <c r="F35" s="83">
        <f t="shared" si="54"/>
        <v>17145</v>
      </c>
      <c r="G35" s="83">
        <f t="shared" si="54"/>
        <v>16999</v>
      </c>
      <c r="H35" s="83">
        <f t="shared" si="54"/>
        <v>10175</v>
      </c>
      <c r="I35" s="83">
        <f t="shared" si="54"/>
        <v>11513</v>
      </c>
      <c r="J35" s="83">
        <f t="shared" si="54"/>
        <v>12747</v>
      </c>
      <c r="K35" s="83">
        <f t="shared" si="54"/>
        <v>9890</v>
      </c>
      <c r="L35" s="83">
        <f t="shared" si="54"/>
        <v>9295</v>
      </c>
      <c r="M35" s="83">
        <f t="shared" si="54"/>
        <v>8960</v>
      </c>
      <c r="N35" s="83">
        <f t="shared" si="54"/>
        <v>7846</v>
      </c>
      <c r="O35" s="83">
        <f t="shared" ref="O35:P35" si="55">SUM(O30:O34)</f>
        <v>6671</v>
      </c>
      <c r="P35" s="83">
        <f t="shared" si="55"/>
        <v>5921</v>
      </c>
      <c r="Q35" s="83">
        <f t="shared" si="54"/>
        <v>4261.4575000000004</v>
      </c>
      <c r="R35" s="83">
        <f t="shared" si="54"/>
        <v>2544.4913062500009</v>
      </c>
      <c r="S35" s="83">
        <f>SUM(S30:S34)</f>
        <v>2738.7995563593759</v>
      </c>
      <c r="T35" s="83">
        <f t="shared" ref="T35:Y35" si="56">SUM(T30:T34)</f>
        <v>2944.2805308500401</v>
      </c>
      <c r="U35" s="83">
        <f t="shared" si="56"/>
        <v>3161.5766613739174</v>
      </c>
      <c r="V35" s="83">
        <f t="shared" si="56"/>
        <v>3391.3673194029179</v>
      </c>
      <c r="W35" s="83">
        <f t="shared" si="56"/>
        <v>3634.3709402685859</v>
      </c>
      <c r="X35" s="83">
        <f t="shared" si="56"/>
        <v>3891.3472693340295</v>
      </c>
      <c r="Y35" s="83">
        <f t="shared" si="56"/>
        <v>4163.0997373207365</v>
      </c>
      <c r="Z35" s="74"/>
    </row>
    <row r="36" spans="1:26">
      <c r="A36" s="47"/>
      <c r="B36" s="123"/>
      <c r="C36" s="63"/>
      <c r="D36" s="63"/>
      <c r="E36" s="63"/>
      <c r="F36" s="63"/>
      <c r="G36" s="63"/>
      <c r="H36" s="64"/>
      <c r="I36" s="64"/>
      <c r="J36" s="64"/>
      <c r="K36" s="64"/>
      <c r="L36" s="64"/>
      <c r="M36" s="64"/>
      <c r="N36" s="64"/>
      <c r="O36" s="64"/>
      <c r="P36" s="64"/>
      <c r="Q36" s="64"/>
      <c r="R36" s="64"/>
      <c r="S36" s="64"/>
      <c r="T36" s="64"/>
      <c r="U36" s="64"/>
      <c r="V36" s="64"/>
      <c r="W36" s="64"/>
      <c r="X36" s="64"/>
      <c r="Y36" s="64"/>
      <c r="Z36" s="65"/>
    </row>
    <row r="37" spans="1:26">
      <c r="A37" s="47"/>
      <c r="B37" s="123"/>
      <c r="C37" s="85" t="s">
        <v>74</v>
      </c>
      <c r="D37" s="86"/>
      <c r="E37" s="86">
        <f t="shared" ref="E37:R37" si="57">IF(ISERROR(E28-E35),0,E28-E35)</f>
        <v>23808</v>
      </c>
      <c r="F37" s="86">
        <f t="shared" si="57"/>
        <v>26992</v>
      </c>
      <c r="G37" s="86">
        <f t="shared" si="57"/>
        <v>23386</v>
      </c>
      <c r="H37" s="86">
        <f t="shared" si="57"/>
        <v>27356</v>
      </c>
      <c r="I37" s="86">
        <f t="shared" si="57"/>
        <v>24712</v>
      </c>
      <c r="J37" s="86">
        <f t="shared" si="57"/>
        <v>23891</v>
      </c>
      <c r="K37" s="86">
        <f t="shared" si="57"/>
        <v>25063</v>
      </c>
      <c r="L37" s="86">
        <f t="shared" si="57"/>
        <v>28136</v>
      </c>
      <c r="M37" s="86">
        <f t="shared" si="57"/>
        <v>21325</v>
      </c>
      <c r="N37" s="86">
        <f t="shared" si="57"/>
        <v>22863</v>
      </c>
      <c r="O37" s="86">
        <f t="shared" ref="O37:P37" si="58">IF(ISERROR(O28-O35),0,O28-O35)</f>
        <v>21227</v>
      </c>
      <c r="P37" s="86">
        <f t="shared" si="58"/>
        <v>20106</v>
      </c>
      <c r="Q37" s="86">
        <f t="shared" si="57"/>
        <v>21076.7035</v>
      </c>
      <c r="R37" s="86">
        <f t="shared" si="57"/>
        <v>22113.210616749999</v>
      </c>
      <c r="S37" s="86">
        <f>IF(ISERROR(S28-S35),0,S28-S35)</f>
        <v>21219.183549329624</v>
      </c>
      <c r="T37" s="86">
        <f t="shared" ref="T37:Y37" si="59">IF(ISERROR(T28-T35),0,T28-T35)</f>
        <v>20283.895848383589</v>
      </c>
      <c r="U37" s="86">
        <f t="shared" si="59"/>
        <v>19305.411302166754</v>
      </c>
      <c r="V37" s="86">
        <f t="shared" si="59"/>
        <v>18281.701126570002</v>
      </c>
      <c r="W37" s="86">
        <f t="shared" si="59"/>
        <v>17210.639448881171</v>
      </c>
      <c r="X37" s="86">
        <f t="shared" si="59"/>
        <v>16089.998566549166</v>
      </c>
      <c r="Y37" s="86">
        <f t="shared" si="59"/>
        <v>14917.443969505439</v>
      </c>
      <c r="Z37" s="74"/>
    </row>
    <row r="38" spans="1:26">
      <c r="A38" s="47"/>
      <c r="B38" s="123"/>
      <c r="C38" s="80" t="s">
        <v>75</v>
      </c>
      <c r="D38" s="87"/>
      <c r="E38" s="87">
        <f t="shared" ref="E38:R38" si="60">IF(ISERROR(E35/E28),"NA",E35/E28)</f>
        <v>0.32411639460610364</v>
      </c>
      <c r="F38" s="87">
        <f t="shared" si="60"/>
        <v>0.38844960010875229</v>
      </c>
      <c r="G38" s="87">
        <f t="shared" si="60"/>
        <v>0.42092361025133096</v>
      </c>
      <c r="H38" s="87">
        <f t="shared" si="60"/>
        <v>0.27110921638112495</v>
      </c>
      <c r="I38" s="87">
        <f t="shared" si="60"/>
        <v>0.31781918564527262</v>
      </c>
      <c r="J38" s="87">
        <f t="shared" si="60"/>
        <v>0.34791746274359953</v>
      </c>
      <c r="K38" s="87">
        <f t="shared" si="60"/>
        <v>0.28295139186908136</v>
      </c>
      <c r="L38" s="87">
        <f t="shared" si="60"/>
        <v>0.24832358205765276</v>
      </c>
      <c r="M38" s="87">
        <f t="shared" si="60"/>
        <v>0.29585603434043256</v>
      </c>
      <c r="N38" s="87">
        <f t="shared" si="60"/>
        <v>0.25549513172034255</v>
      </c>
      <c r="O38" s="87">
        <f t="shared" ref="O38:P38" si="61">IF(ISERROR(O35/O28),"NA",O35/O28)</f>
        <v>0.23912108394867015</v>
      </c>
      <c r="P38" s="87">
        <f t="shared" si="61"/>
        <v>0.22749452491643293</v>
      </c>
      <c r="Q38" s="87">
        <f t="shared" si="60"/>
        <v>0.1681833776334439</v>
      </c>
      <c r="R38" s="87">
        <f t="shared" si="60"/>
        <v>0.10319255680013603</v>
      </c>
      <c r="S38" s="87">
        <f>IF(ISERROR(S35/S28),"NA",S35/S28)</f>
        <v>0.11431678302290094</v>
      </c>
      <c r="T38" s="87">
        <f t="shared" ref="T38:Y38" si="62">IF(ISERROR(T35/T28),"NA",T35/T28)</f>
        <v>0.12675470010130779</v>
      </c>
      <c r="U38" s="87">
        <f t="shared" si="62"/>
        <v>0.14072098433953451</v>
      </c>
      <c r="V38" s="87">
        <f t="shared" si="62"/>
        <v>0.15647841134525964</v>
      </c>
      <c r="W38" s="87">
        <f t="shared" si="62"/>
        <v>0.17435208102176569</v>
      </c>
      <c r="X38" s="87">
        <f t="shared" si="62"/>
        <v>0.19474900746404242</v>
      </c>
      <c r="Y38" s="87">
        <f t="shared" si="62"/>
        <v>0.21818559267948762</v>
      </c>
      <c r="Z38" s="88"/>
    </row>
    <row r="39" spans="1:26" ht="6" customHeight="1">
      <c r="A39" s="47"/>
      <c r="B39" s="123"/>
      <c r="C39" s="63"/>
      <c r="D39" s="63"/>
      <c r="E39" s="63"/>
      <c r="F39" s="63"/>
      <c r="G39" s="63"/>
      <c r="H39" s="89"/>
      <c r="I39" s="89"/>
      <c r="J39" s="89"/>
      <c r="K39" s="89"/>
      <c r="L39" s="89"/>
      <c r="M39" s="89"/>
      <c r="N39" s="89"/>
      <c r="O39" s="89"/>
      <c r="P39" s="89"/>
      <c r="Q39" s="89"/>
      <c r="R39" s="89"/>
      <c r="S39" s="89"/>
      <c r="T39" s="89"/>
      <c r="U39" s="89"/>
      <c r="V39" s="89"/>
      <c r="W39" s="89"/>
      <c r="X39" s="89"/>
      <c r="Y39" s="89"/>
      <c r="Z39" s="90"/>
    </row>
    <row r="40" spans="1:26">
      <c r="A40" s="47"/>
      <c r="B40" s="123"/>
      <c r="C40" s="36" t="s">
        <v>99</v>
      </c>
      <c r="D40" s="69"/>
      <c r="E40" s="69">
        <f t="shared" ref="E40:R40" si="63">IF(ISERROR(E37*E9),0,E37*E9)</f>
        <v>8332.7999999999993</v>
      </c>
      <c r="F40" s="69">
        <f t="shared" si="63"/>
        <v>9447.1999999999989</v>
      </c>
      <c r="G40" s="69">
        <f t="shared" si="63"/>
        <v>8185.0999999999995</v>
      </c>
      <c r="H40" s="69">
        <f t="shared" si="63"/>
        <v>9574.5999999999985</v>
      </c>
      <c r="I40" s="69">
        <f t="shared" si="63"/>
        <v>8649.1999999999989</v>
      </c>
      <c r="J40" s="69">
        <f t="shared" si="63"/>
        <v>8361.85</v>
      </c>
      <c r="K40" s="69">
        <f t="shared" si="63"/>
        <v>8772.0499999999993</v>
      </c>
      <c r="L40" s="69">
        <f t="shared" si="63"/>
        <v>9847.5999999999985</v>
      </c>
      <c r="M40" s="69">
        <f t="shared" si="63"/>
        <v>7463.7499999999991</v>
      </c>
      <c r="N40" s="69">
        <f t="shared" si="63"/>
        <v>8002.0499999999993</v>
      </c>
      <c r="O40" s="69">
        <f t="shared" ref="O40:P40" si="64">IF(ISERROR(O37*O9),0,O37*O9)</f>
        <v>7429.45</v>
      </c>
      <c r="P40" s="69">
        <f t="shared" si="64"/>
        <v>7037.0999999999995</v>
      </c>
      <c r="Q40" s="69">
        <f t="shared" si="63"/>
        <v>7376.8462249999993</v>
      </c>
      <c r="R40" s="69">
        <f t="shared" si="63"/>
        <v>5086.0384418525</v>
      </c>
      <c r="S40" s="69">
        <f>IF(ISERROR(S37*S9),0,S37*S9)</f>
        <v>4880.4122163458142</v>
      </c>
      <c r="T40" s="69">
        <f t="shared" ref="T40:Y40" si="65">IF(ISERROR(T37*T9),0,T37*T9)</f>
        <v>4665.2960451282252</v>
      </c>
      <c r="U40" s="69">
        <f t="shared" si="65"/>
        <v>4440.2445994983536</v>
      </c>
      <c r="V40" s="69">
        <f t="shared" si="65"/>
        <v>4204.7912591111008</v>
      </c>
      <c r="W40" s="69">
        <f t="shared" si="65"/>
        <v>3958.4470732426694</v>
      </c>
      <c r="X40" s="69">
        <f t="shared" si="65"/>
        <v>3700.6996703063082</v>
      </c>
      <c r="Y40" s="69">
        <f t="shared" si="65"/>
        <v>3431.0121129862509</v>
      </c>
      <c r="Z40" s="74"/>
    </row>
    <row r="41" spans="1:26" ht="6" customHeight="1">
      <c r="A41" s="47"/>
      <c r="B41" s="123"/>
      <c r="C41" s="63"/>
      <c r="D41" s="63"/>
      <c r="E41" s="63"/>
      <c r="F41" s="63"/>
      <c r="G41" s="63"/>
      <c r="H41" s="91"/>
      <c r="I41" s="91"/>
      <c r="J41" s="91"/>
      <c r="K41" s="91"/>
      <c r="L41" s="91"/>
      <c r="M41" s="91"/>
      <c r="N41" s="91"/>
      <c r="O41" s="91"/>
      <c r="P41" s="91"/>
      <c r="Q41" s="91"/>
      <c r="R41" s="91"/>
      <c r="S41" s="91"/>
      <c r="T41" s="91"/>
      <c r="U41" s="91"/>
      <c r="V41" s="91"/>
      <c r="W41" s="91"/>
      <c r="X41" s="91"/>
      <c r="Y41" s="91"/>
      <c r="Z41" s="92"/>
    </row>
    <row r="42" spans="1:26">
      <c r="A42" s="47"/>
      <c r="B42" s="66" t="s">
        <v>77</v>
      </c>
      <c r="C42" s="66"/>
      <c r="D42" s="67"/>
      <c r="E42" s="67"/>
      <c r="F42" s="67"/>
      <c r="G42" s="67"/>
      <c r="H42" s="91"/>
      <c r="I42" s="91"/>
      <c r="J42" s="91"/>
      <c r="K42" s="91"/>
      <c r="L42" s="91"/>
      <c r="M42" s="91"/>
      <c r="N42" s="91"/>
      <c r="O42" s="91"/>
      <c r="P42" s="91"/>
      <c r="Q42" s="91"/>
      <c r="R42" s="91"/>
      <c r="S42" s="91"/>
      <c r="T42" s="91"/>
      <c r="U42" s="91"/>
      <c r="V42" s="91"/>
      <c r="W42" s="91"/>
      <c r="X42" s="91"/>
      <c r="Y42" s="91"/>
      <c r="Z42" s="92"/>
    </row>
    <row r="43" spans="1:26">
      <c r="A43" s="47"/>
      <c r="B43" s="123"/>
      <c r="C43" s="80" t="s">
        <v>100</v>
      </c>
      <c r="D43" s="93"/>
      <c r="E43" s="93">
        <f t="shared" ref="E43:R43" si="66">IF(ISERROR(-E32*(1-E9)),0,(-E32*(1-E9)))</f>
        <v>0</v>
      </c>
      <c r="F43" s="93">
        <f t="shared" si="66"/>
        <v>0</v>
      </c>
      <c r="G43" s="93">
        <f t="shared" si="66"/>
        <v>-165.75</v>
      </c>
      <c r="H43" s="93">
        <f t="shared" si="66"/>
        <v>-107.25</v>
      </c>
      <c r="I43" s="93">
        <f t="shared" si="66"/>
        <v>-126.75</v>
      </c>
      <c r="J43" s="93">
        <f t="shared" si="66"/>
        <v>0</v>
      </c>
      <c r="K43" s="93">
        <f t="shared" si="66"/>
        <v>0</v>
      </c>
      <c r="L43" s="93">
        <f t="shared" si="66"/>
        <v>0</v>
      </c>
      <c r="M43" s="93">
        <f t="shared" si="66"/>
        <v>0</v>
      </c>
      <c r="N43" s="93">
        <f t="shared" si="66"/>
        <v>0</v>
      </c>
      <c r="O43" s="93">
        <f t="shared" ref="O43:P43" si="67">IF(ISERROR(-O32*(1-O9)),0,(-O32*(1-O9)))</f>
        <v>0</v>
      </c>
      <c r="P43" s="93">
        <f t="shared" si="67"/>
        <v>0</v>
      </c>
      <c r="Q43" s="93">
        <f t="shared" si="66"/>
        <v>0</v>
      </c>
      <c r="R43" s="93">
        <f t="shared" si="66"/>
        <v>0</v>
      </c>
      <c r="S43" s="93">
        <f>IF(ISERROR(-S32*(1-S9)),0,(-S32*(1-S9)))</f>
        <v>0</v>
      </c>
      <c r="T43" s="93">
        <f t="shared" ref="T43:Y43" si="68">IF(ISERROR(-T32*(1-T9)),0,(-T32*(1-T9)))</f>
        <v>0</v>
      </c>
      <c r="U43" s="93">
        <f t="shared" si="68"/>
        <v>0</v>
      </c>
      <c r="V43" s="93">
        <f t="shared" si="68"/>
        <v>0</v>
      </c>
      <c r="W43" s="93">
        <f t="shared" si="68"/>
        <v>0</v>
      </c>
      <c r="X43" s="93">
        <f t="shared" si="68"/>
        <v>0</v>
      </c>
      <c r="Y43" s="93">
        <f t="shared" si="68"/>
        <v>0</v>
      </c>
      <c r="Z43" s="94"/>
    </row>
    <row r="44" spans="1:26">
      <c r="A44" s="47"/>
      <c r="B44" s="123"/>
      <c r="C44" s="80" t="s">
        <v>101</v>
      </c>
      <c r="D44" s="93"/>
      <c r="E44" s="93">
        <f t="shared" ref="E44:R44" si="69">(E26-E33)*(1-E9)</f>
        <v>-554.45000000000005</v>
      </c>
      <c r="F44" s="93">
        <f t="shared" si="69"/>
        <v>-553.80000000000007</v>
      </c>
      <c r="G44" s="93">
        <f t="shared" si="69"/>
        <v>-404.3</v>
      </c>
      <c r="H44" s="93">
        <f t="shared" si="69"/>
        <v>-160.55000000000001</v>
      </c>
      <c r="I44" s="93">
        <f t="shared" si="69"/>
        <v>-1005.5500000000001</v>
      </c>
      <c r="J44" s="93">
        <f t="shared" si="69"/>
        <v>-1489.8</v>
      </c>
      <c r="K44" s="93">
        <f t="shared" si="69"/>
        <v>-76.05</v>
      </c>
      <c r="L44" s="93">
        <f t="shared" si="69"/>
        <v>-497.90000000000003</v>
      </c>
      <c r="M44" s="93">
        <f t="shared" si="69"/>
        <v>-514.15</v>
      </c>
      <c r="N44" s="93">
        <f t="shared" si="69"/>
        <v>-520</v>
      </c>
      <c r="O44" s="93">
        <f t="shared" ref="O44:P44" si="70">(O26-O33)*(1-O9)</f>
        <v>-467.35</v>
      </c>
      <c r="P44" s="93">
        <f t="shared" si="70"/>
        <v>-510.25</v>
      </c>
      <c r="Q44" s="93">
        <f t="shared" si="69"/>
        <v>0</v>
      </c>
      <c r="R44" s="93">
        <f t="shared" si="69"/>
        <v>0</v>
      </c>
      <c r="S44" s="93">
        <f>(S26-S33)*(1-S9)</f>
        <v>0</v>
      </c>
      <c r="T44" s="93">
        <f t="shared" ref="T44:Y44" si="71">(T26-T33)*(1-T9)</f>
        <v>0</v>
      </c>
      <c r="U44" s="93">
        <f t="shared" si="71"/>
        <v>0</v>
      </c>
      <c r="V44" s="93">
        <f t="shared" si="71"/>
        <v>0</v>
      </c>
      <c r="W44" s="93">
        <f t="shared" si="71"/>
        <v>0</v>
      </c>
      <c r="X44" s="93">
        <f t="shared" si="71"/>
        <v>0</v>
      </c>
      <c r="Y44" s="93">
        <f t="shared" si="71"/>
        <v>0</v>
      </c>
      <c r="Z44" s="94"/>
    </row>
    <row r="45" spans="1:26" ht="7.5" customHeight="1">
      <c r="A45" s="47"/>
      <c r="B45" s="123"/>
      <c r="C45" s="63"/>
      <c r="D45" s="63"/>
      <c r="E45" s="63"/>
      <c r="F45" s="63"/>
      <c r="G45" s="63"/>
      <c r="H45" s="68"/>
      <c r="I45" s="68"/>
      <c r="J45" s="68"/>
      <c r="K45" s="68"/>
      <c r="L45" s="68"/>
      <c r="M45" s="68"/>
      <c r="N45" s="68"/>
      <c r="O45" s="68"/>
      <c r="P45" s="68"/>
      <c r="Q45" s="68"/>
      <c r="R45" s="68"/>
      <c r="S45" s="68"/>
      <c r="T45" s="68"/>
      <c r="U45" s="68"/>
      <c r="V45" s="68"/>
      <c r="W45" s="68"/>
      <c r="X45" s="68"/>
      <c r="Y45" s="68"/>
      <c r="Z45" s="46"/>
    </row>
    <row r="46" spans="1:26">
      <c r="A46" s="47"/>
      <c r="B46" s="48" t="s">
        <v>79</v>
      </c>
      <c r="C46" s="48"/>
      <c r="D46" s="49"/>
      <c r="E46" s="49">
        <f t="shared" ref="E46:K46" si="72">+E11</f>
        <v>2005</v>
      </c>
      <c r="F46" s="49">
        <f t="shared" si="72"/>
        <v>2006</v>
      </c>
      <c r="G46" s="49">
        <f t="shared" si="72"/>
        <v>2007</v>
      </c>
      <c r="H46" s="49">
        <f t="shared" si="72"/>
        <v>2008</v>
      </c>
      <c r="I46" s="49">
        <f t="shared" si="72"/>
        <v>2009</v>
      </c>
      <c r="J46" s="49">
        <f t="shared" si="72"/>
        <v>2010</v>
      </c>
      <c r="K46" s="49">
        <f t="shared" si="72"/>
        <v>2011</v>
      </c>
      <c r="L46" s="49">
        <v>2012</v>
      </c>
      <c r="M46" s="49">
        <v>2013</v>
      </c>
      <c r="N46" s="49">
        <v>2014</v>
      </c>
      <c r="O46" s="49">
        <f>+O4</f>
        <v>2015</v>
      </c>
      <c r="P46" s="49">
        <f>+P4</f>
        <v>2016</v>
      </c>
      <c r="Q46" s="50">
        <f>+Q11</f>
        <v>2017</v>
      </c>
      <c r="R46" s="50" t="str">
        <f>+R11</f>
        <v>2018E</v>
      </c>
      <c r="S46" s="50" t="str">
        <f>+S11</f>
        <v>2019E</v>
      </c>
      <c r="T46" s="50" t="str">
        <f t="shared" ref="T46:Y46" si="73">+T11</f>
        <v>2020E</v>
      </c>
      <c r="U46" s="50" t="str">
        <f t="shared" si="73"/>
        <v>2021E</v>
      </c>
      <c r="V46" s="50" t="str">
        <f t="shared" si="73"/>
        <v>2022E</v>
      </c>
      <c r="W46" s="50" t="str">
        <f t="shared" si="73"/>
        <v>2023E</v>
      </c>
      <c r="X46" s="50" t="str">
        <f t="shared" si="73"/>
        <v>2024E</v>
      </c>
      <c r="Y46" s="50" t="str">
        <f t="shared" si="73"/>
        <v>2025E</v>
      </c>
      <c r="Z46" s="51"/>
    </row>
    <row r="47" spans="1:26">
      <c r="A47" s="47"/>
      <c r="B47" s="96" t="s">
        <v>80</v>
      </c>
      <c r="C47" s="96"/>
      <c r="D47" s="97"/>
      <c r="E47" s="97"/>
      <c r="F47" s="97"/>
      <c r="G47" s="97"/>
      <c r="H47" s="98"/>
      <c r="I47" s="98"/>
      <c r="J47" s="98"/>
      <c r="K47" s="98"/>
      <c r="L47" s="98"/>
      <c r="M47" s="98"/>
      <c r="N47" s="98"/>
      <c r="O47" s="98"/>
      <c r="P47" s="98"/>
      <c r="Q47" s="98"/>
      <c r="R47" s="98"/>
      <c r="S47" s="98"/>
      <c r="T47" s="98"/>
      <c r="U47" s="98"/>
      <c r="V47" s="98"/>
      <c r="W47" s="98"/>
      <c r="X47" s="98"/>
      <c r="Y47" s="98"/>
      <c r="Z47" s="44"/>
    </row>
    <row r="48" spans="1:26" ht="15.75" customHeight="1">
      <c r="A48" s="47"/>
      <c r="B48" s="136"/>
      <c r="C48" s="98" t="s">
        <v>102</v>
      </c>
      <c r="D48" s="98"/>
      <c r="E48" s="98"/>
      <c r="F48" s="98"/>
      <c r="G48" s="98"/>
      <c r="H48" s="98"/>
      <c r="I48" s="98"/>
      <c r="J48" s="98"/>
      <c r="K48" s="98"/>
      <c r="L48" s="64"/>
      <c r="M48" s="64"/>
      <c r="N48" s="64"/>
      <c r="O48" s="64"/>
      <c r="P48" s="64"/>
      <c r="Q48" s="69">
        <f>+Q43+Q44</f>
        <v>0</v>
      </c>
      <c r="R48" s="69">
        <f>+R43+R44</f>
        <v>0</v>
      </c>
      <c r="S48" s="69">
        <f>+S43+S44</f>
        <v>0</v>
      </c>
      <c r="T48" s="69">
        <f t="shared" ref="T48:Y48" si="74">+T43+T44</f>
        <v>0</v>
      </c>
      <c r="U48" s="69">
        <f t="shared" si="74"/>
        <v>0</v>
      </c>
      <c r="V48" s="69">
        <f t="shared" si="74"/>
        <v>0</v>
      </c>
      <c r="W48" s="69">
        <f t="shared" si="74"/>
        <v>0</v>
      </c>
      <c r="X48" s="69">
        <f t="shared" si="74"/>
        <v>0</v>
      </c>
      <c r="Y48" s="69">
        <f t="shared" si="74"/>
        <v>0</v>
      </c>
      <c r="Z48" s="65"/>
    </row>
    <row r="49" spans="1:34" ht="15.75" customHeight="1">
      <c r="A49" s="47"/>
      <c r="B49" s="136"/>
      <c r="C49" s="102" t="s">
        <v>82</v>
      </c>
      <c r="D49" s="102"/>
      <c r="E49" s="102"/>
      <c r="F49" s="102"/>
      <c r="G49" s="102"/>
      <c r="H49" s="102"/>
      <c r="I49" s="102"/>
      <c r="J49" s="102"/>
      <c r="K49" s="102"/>
      <c r="L49" s="103"/>
      <c r="M49" s="103"/>
      <c r="N49" s="103"/>
      <c r="O49" s="103"/>
      <c r="P49" s="103"/>
      <c r="Q49" s="103">
        <f>Q40-P40</f>
        <v>339.74622499999987</v>
      </c>
      <c r="R49" s="103">
        <f>R40-Q40</f>
        <v>-2290.8077831474993</v>
      </c>
      <c r="S49" s="103">
        <f>S40-R40</f>
        <v>-205.62622550668584</v>
      </c>
      <c r="T49" s="103">
        <f t="shared" ref="T49:Y49" si="75">T40-S40</f>
        <v>-215.116171217589</v>
      </c>
      <c r="U49" s="103">
        <f t="shared" si="75"/>
        <v>-225.05144562987152</v>
      </c>
      <c r="V49" s="103">
        <f t="shared" si="75"/>
        <v>-235.45334038725287</v>
      </c>
      <c r="W49" s="103">
        <f t="shared" si="75"/>
        <v>-246.3441858684314</v>
      </c>
      <c r="X49" s="103">
        <f t="shared" si="75"/>
        <v>-257.74740293636114</v>
      </c>
      <c r="Y49" s="103">
        <f t="shared" si="75"/>
        <v>-269.68755732005729</v>
      </c>
      <c r="Z49" s="65"/>
    </row>
    <row r="50" spans="1:34" ht="15.75" customHeight="1">
      <c r="A50" s="47"/>
      <c r="B50" s="136"/>
      <c r="C50" s="104" t="s">
        <v>83</v>
      </c>
      <c r="D50" s="105"/>
      <c r="E50" s="105"/>
      <c r="F50" s="105"/>
      <c r="G50" s="105"/>
      <c r="H50" s="105"/>
      <c r="I50" s="105"/>
      <c r="J50" s="105"/>
      <c r="K50" s="105"/>
      <c r="L50" s="106"/>
      <c r="M50" s="106"/>
      <c r="N50" s="106"/>
      <c r="O50" s="106"/>
      <c r="P50" s="106"/>
      <c r="Q50" s="73">
        <f>SUM(Q48:Q49)</f>
        <v>339.74622499999987</v>
      </c>
      <c r="R50" s="73">
        <f>SUM(R48:R49)</f>
        <v>-2290.8077831474993</v>
      </c>
      <c r="S50" s="73">
        <f>SUM(S48:S49)</f>
        <v>-205.62622550668584</v>
      </c>
      <c r="T50" s="73">
        <f t="shared" ref="T50:Y50" si="76">SUM(T48:T49)</f>
        <v>-215.116171217589</v>
      </c>
      <c r="U50" s="73">
        <f t="shared" si="76"/>
        <v>-225.05144562987152</v>
      </c>
      <c r="V50" s="73">
        <f t="shared" si="76"/>
        <v>-235.45334038725287</v>
      </c>
      <c r="W50" s="73">
        <f t="shared" si="76"/>
        <v>-246.3441858684314</v>
      </c>
      <c r="X50" s="73">
        <f t="shared" si="76"/>
        <v>-257.74740293636114</v>
      </c>
      <c r="Y50" s="73">
        <f t="shared" si="76"/>
        <v>-269.68755732005729</v>
      </c>
      <c r="Z50" s="74"/>
    </row>
    <row r="51" spans="1:34">
      <c r="A51" s="47"/>
      <c r="B51" s="123"/>
      <c r="C51" s="63"/>
      <c r="D51" s="63"/>
      <c r="E51" s="63"/>
      <c r="F51" s="63"/>
      <c r="G51" s="63"/>
      <c r="H51" s="91"/>
      <c r="I51" s="91"/>
      <c r="J51" s="91"/>
      <c r="K51" s="91"/>
      <c r="L51" s="91"/>
      <c r="M51" s="91"/>
      <c r="N51" s="91"/>
      <c r="O51" s="91"/>
      <c r="P51" s="91"/>
      <c r="Q51" s="91"/>
      <c r="R51" s="91"/>
      <c r="S51" s="91"/>
      <c r="T51" s="91"/>
      <c r="U51" s="91"/>
      <c r="V51" s="91"/>
      <c r="W51" s="91"/>
      <c r="X51" s="91"/>
      <c r="Y51" s="91"/>
      <c r="Z51" s="92"/>
    </row>
    <row r="52" spans="1:34">
      <c r="A52" s="47"/>
      <c r="B52" s="96" t="s">
        <v>84</v>
      </c>
      <c r="C52" s="96"/>
      <c r="D52" s="97"/>
      <c r="E52" s="97"/>
      <c r="F52" s="97"/>
      <c r="G52" s="97"/>
      <c r="H52" s="98"/>
      <c r="I52" s="98"/>
      <c r="J52" s="98"/>
      <c r="K52" s="98"/>
      <c r="L52" s="64"/>
      <c r="M52" s="64"/>
      <c r="N52" s="64"/>
      <c r="O52" s="64"/>
      <c r="P52" s="64"/>
      <c r="Q52" s="64"/>
      <c r="R52" s="64"/>
      <c r="S52" s="64"/>
      <c r="T52" s="64"/>
      <c r="U52" s="64"/>
      <c r="V52" s="64"/>
      <c r="W52" s="64"/>
      <c r="X52" s="64"/>
      <c r="Y52" s="64"/>
      <c r="Z52" s="65"/>
    </row>
    <row r="53" spans="1:34" ht="15.75" customHeight="1">
      <c r="A53" s="47"/>
      <c r="B53" s="136"/>
      <c r="C53" s="101" t="s">
        <v>103</v>
      </c>
      <c r="D53" s="98"/>
      <c r="E53" s="98"/>
      <c r="F53" s="98"/>
      <c r="G53" s="98"/>
      <c r="H53" s="98"/>
      <c r="I53" s="98"/>
      <c r="J53" s="98"/>
      <c r="K53" s="98"/>
      <c r="L53" s="64"/>
      <c r="M53" s="64"/>
      <c r="N53" s="64"/>
      <c r="O53" s="64"/>
      <c r="P53" s="64"/>
      <c r="Q53" s="69">
        <f>Q37-P37</f>
        <v>970.70349999999962</v>
      </c>
      <c r="R53" s="69">
        <f>R37-Q37</f>
        <v>1036.5071167499991</v>
      </c>
      <c r="S53" s="69">
        <f>S37-R37</f>
        <v>-894.02706742037481</v>
      </c>
      <c r="T53" s="69">
        <f t="shared" ref="T53:Y53" si="77">T37-S37</f>
        <v>-935.28770094603533</v>
      </c>
      <c r="U53" s="69">
        <f t="shared" si="77"/>
        <v>-978.48454621683413</v>
      </c>
      <c r="V53" s="69">
        <f t="shared" si="77"/>
        <v>-1023.7101755967524</v>
      </c>
      <c r="W53" s="69">
        <f t="shared" si="77"/>
        <v>-1071.061677688831</v>
      </c>
      <c r="X53" s="69">
        <f t="shared" si="77"/>
        <v>-1120.6408823320053</v>
      </c>
      <c r="Y53" s="69">
        <f t="shared" si="77"/>
        <v>-1172.554597043727</v>
      </c>
      <c r="Z53" s="65"/>
    </row>
    <row r="54" spans="1:34" ht="15.75" customHeight="1">
      <c r="A54" s="47"/>
      <c r="B54" s="136"/>
      <c r="C54" s="98" t="s">
        <v>104</v>
      </c>
      <c r="D54" s="98"/>
      <c r="E54" s="98"/>
      <c r="F54" s="98"/>
      <c r="G54" s="98"/>
      <c r="H54" s="98"/>
      <c r="I54" s="98"/>
      <c r="J54" s="98"/>
      <c r="K54" s="98"/>
      <c r="L54" s="64"/>
      <c r="M54" s="64"/>
      <c r="N54" s="64"/>
      <c r="O54" s="64"/>
      <c r="P54" s="64"/>
      <c r="Q54" s="69">
        <f>-Q18*(1-Q9)</f>
        <v>199.09272500000014</v>
      </c>
      <c r="R54" s="69">
        <f>-R18*(1-R9)</f>
        <v>185.17952010250002</v>
      </c>
      <c r="S54" s="69">
        <f>-S18*(1-S9)</f>
        <v>131.69084191368884</v>
      </c>
      <c r="T54" s="69">
        <f t="shared" ref="T54:Y54" si="78">-T18*(1-T9)</f>
        <v>163.46152972844868</v>
      </c>
      <c r="U54" s="69">
        <f t="shared" si="78"/>
        <v>196.72310058696019</v>
      </c>
      <c r="V54" s="69">
        <f t="shared" si="78"/>
        <v>231.54683520949862</v>
      </c>
      <c r="W54" s="69">
        <f t="shared" si="78"/>
        <v>268.0074918204009</v>
      </c>
      <c r="X54" s="69">
        <f t="shared" si="78"/>
        <v>306.1834793956433</v>
      </c>
      <c r="Y54" s="69">
        <f t="shared" si="78"/>
        <v>346.15703972367163</v>
      </c>
      <c r="Z54" s="65"/>
    </row>
    <row r="55" spans="1:34" ht="15.75" customHeight="1">
      <c r="A55" s="47"/>
      <c r="B55" s="136"/>
      <c r="C55" s="102" t="s">
        <v>105</v>
      </c>
      <c r="D55" s="102"/>
      <c r="E55" s="102"/>
      <c r="F55" s="102"/>
      <c r="G55" s="102"/>
      <c r="H55" s="102"/>
      <c r="I55" s="102"/>
      <c r="J55" s="102"/>
      <c r="K55" s="102"/>
      <c r="L55" s="103"/>
      <c r="M55" s="103"/>
      <c r="N55" s="103"/>
      <c r="O55" s="103"/>
      <c r="P55" s="103"/>
      <c r="Q55" s="103">
        <f>IF(ISERROR((Q16+Q31)*(1-Q9)+(-Q25*(1-Q9))+((Q14)*(1-Q9))),0,(Q16+Q31)*(1-Q9)+(-Q25*(1-Q9))+((Q14)*(1-Q9)))</f>
        <v>-830.05000000000007</v>
      </c>
      <c r="R55" s="103">
        <f>IF(ISERROR((R16+R31)*(1-R9)+(-R25*(1-R9))+((R14)*(1-R9))),0,(R16+R31)*(1-R9)+(-R25*(1-R9))+((R14)*(1-R9)))</f>
        <v>-983.29000000000008</v>
      </c>
      <c r="S55" s="103">
        <f>IF(ISERROR((S16+S31)*(1-S9)+(-S25*(1-S9))+((S14)*(1-S9))),0,(S16+S31)*(1-S9)+(-S25*(1-S9))+((S14)*(1-S9)))</f>
        <v>-983.29000000000008</v>
      </c>
      <c r="T55" s="103">
        <f t="shared" ref="T55:Y55" si="79">IF(ISERROR((T16+T31)*(1-T9)+(-T25*(1-T9))+((T14)*(1-T9))),0,(T16+T31)*(1-T9)+(-T25*(1-T9))+((T14)*(1-T9)))</f>
        <v>-983.29000000000008</v>
      </c>
      <c r="U55" s="103">
        <f t="shared" si="79"/>
        <v>-983.29000000000008</v>
      </c>
      <c r="V55" s="103">
        <f t="shared" si="79"/>
        <v>-983.29000000000008</v>
      </c>
      <c r="W55" s="103">
        <f t="shared" si="79"/>
        <v>-983.29000000000008</v>
      </c>
      <c r="X55" s="103">
        <f t="shared" si="79"/>
        <v>-983.29000000000008</v>
      </c>
      <c r="Y55" s="103">
        <f t="shared" si="79"/>
        <v>-983.29000000000008</v>
      </c>
      <c r="Z55" s="65"/>
    </row>
    <row r="56" spans="1:34" ht="15.75" customHeight="1">
      <c r="A56" s="47"/>
      <c r="B56" s="136"/>
      <c r="C56" s="104" t="s">
        <v>89</v>
      </c>
      <c r="D56" s="105"/>
      <c r="E56" s="105"/>
      <c r="F56" s="105"/>
      <c r="G56" s="105"/>
      <c r="H56" s="105"/>
      <c r="I56" s="105"/>
      <c r="J56" s="105"/>
      <c r="K56" s="105"/>
      <c r="L56" s="106"/>
      <c r="M56" s="106"/>
      <c r="N56" s="106"/>
      <c r="O56" s="106"/>
      <c r="P56" s="106"/>
      <c r="Q56" s="73">
        <f>SUM(Q53:Q55)</f>
        <v>339.74622499999975</v>
      </c>
      <c r="R56" s="73">
        <f>SUM(R53:R55)</f>
        <v>238.396636852499</v>
      </c>
      <c r="S56" s="73">
        <f>SUM(S53:S55)</f>
        <v>-1745.6262255066861</v>
      </c>
      <c r="T56" s="73">
        <f t="shared" ref="T56:Y56" si="80">SUM(T53:T55)</f>
        <v>-1755.1161712175867</v>
      </c>
      <c r="U56" s="73">
        <f t="shared" si="80"/>
        <v>-1765.051445629874</v>
      </c>
      <c r="V56" s="73">
        <f t="shared" si="80"/>
        <v>-1775.4533403872538</v>
      </c>
      <c r="W56" s="73">
        <f t="shared" si="80"/>
        <v>-1786.34418586843</v>
      </c>
      <c r="X56" s="73">
        <f t="shared" si="80"/>
        <v>-1797.7474029363621</v>
      </c>
      <c r="Y56" s="73">
        <f t="shared" si="80"/>
        <v>-1809.6875573200555</v>
      </c>
      <c r="Z56" s="74"/>
    </row>
    <row r="57" spans="1:34" ht="24.75" customHeight="1">
      <c r="A57" s="47"/>
      <c r="B57" s="137"/>
      <c r="C57" s="108" t="s">
        <v>12</v>
      </c>
      <c r="D57" s="109"/>
      <c r="E57" s="109"/>
      <c r="F57" s="109"/>
      <c r="G57" s="109"/>
      <c r="H57" s="110"/>
      <c r="I57" s="110"/>
      <c r="J57" s="110"/>
      <c r="K57" s="110"/>
      <c r="L57" s="111"/>
      <c r="M57" s="111"/>
      <c r="N57" s="111"/>
      <c r="O57" s="111"/>
      <c r="P57" s="111"/>
      <c r="Q57" s="112">
        <f>ROUND(Q50-Q56,0)</f>
        <v>0</v>
      </c>
      <c r="R57" s="112">
        <f>ROUND(R50-R56,0)</f>
        <v>-2529</v>
      </c>
      <c r="S57" s="112">
        <f>ROUND(S50-S56,0)</f>
        <v>1540</v>
      </c>
      <c r="T57" s="112">
        <f t="shared" ref="T57:Y57" si="81">ROUND(T50-T56,0)</f>
        <v>1540</v>
      </c>
      <c r="U57" s="112">
        <f t="shared" si="81"/>
        <v>1540</v>
      </c>
      <c r="V57" s="112">
        <f t="shared" si="81"/>
        <v>1540</v>
      </c>
      <c r="W57" s="112">
        <f t="shared" si="81"/>
        <v>1540</v>
      </c>
      <c r="X57" s="112">
        <f t="shared" si="81"/>
        <v>1540</v>
      </c>
      <c r="Y57" s="112">
        <f t="shared" si="81"/>
        <v>1540</v>
      </c>
      <c r="Z57" s="113"/>
    </row>
    <row r="58" spans="1:34">
      <c r="O58" s="456"/>
      <c r="P58" s="456"/>
    </row>
    <row r="59" spans="1:34">
      <c r="C59" s="6" t="s">
        <v>90</v>
      </c>
      <c r="D59" s="145"/>
      <c r="E59" s="145"/>
      <c r="F59" s="145"/>
      <c r="G59" s="145"/>
      <c r="H59" s="23"/>
      <c r="I59" s="23"/>
      <c r="J59" s="23"/>
      <c r="K59" s="23"/>
      <c r="L59" s="23">
        <v>2012</v>
      </c>
      <c r="M59" s="146">
        <v>2013</v>
      </c>
      <c r="N59" s="473" t="str">
        <f>+N4</f>
        <v>2014</v>
      </c>
      <c r="O59" s="473">
        <f>+O4</f>
        <v>2015</v>
      </c>
      <c r="P59" s="473">
        <f>+P4</f>
        <v>2016</v>
      </c>
      <c r="Q59" s="146" t="s">
        <v>176</v>
      </c>
      <c r="R59" s="146" t="s">
        <v>177</v>
      </c>
      <c r="AG59" s="151"/>
      <c r="AH59" s="151"/>
    </row>
    <row r="60" spans="1:34">
      <c r="C60" s="145" t="s">
        <v>91</v>
      </c>
      <c r="D60" s="145"/>
      <c r="E60" s="145"/>
      <c r="F60" s="145"/>
      <c r="G60" s="145"/>
      <c r="H60" s="147"/>
      <c r="I60" s="147"/>
      <c r="J60" s="147"/>
      <c r="K60" s="147"/>
      <c r="L60" s="147">
        <f>0.37+0.33</f>
        <v>0.7</v>
      </c>
      <c r="M60" s="147">
        <f>0.25+0.2</f>
        <v>0.45</v>
      </c>
      <c r="N60" s="147">
        <f>0.29+0.2</f>
        <v>0.49</v>
      </c>
      <c r="O60" s="147">
        <f>0.29+0.2</f>
        <v>0.49</v>
      </c>
      <c r="P60" s="147">
        <f>0.29+0.2</f>
        <v>0.49</v>
      </c>
      <c r="Q60" s="148"/>
      <c r="R60" s="148"/>
      <c r="AG60" s="151"/>
      <c r="AH60" s="151"/>
    </row>
    <row r="61" spans="1:34">
      <c r="C61" s="145" t="s">
        <v>92</v>
      </c>
      <c r="D61" s="145"/>
      <c r="E61" s="145"/>
      <c r="F61" s="145"/>
      <c r="G61" s="145"/>
      <c r="H61" s="147"/>
      <c r="I61" s="147"/>
      <c r="J61" s="147"/>
      <c r="K61" s="147"/>
      <c r="L61" s="147">
        <v>0.24</v>
      </c>
      <c r="M61" s="147">
        <v>0.24</v>
      </c>
      <c r="N61" s="147">
        <v>0.28999999999999998</v>
      </c>
      <c r="O61" s="147">
        <v>0.28999999999999998</v>
      </c>
      <c r="P61" s="147">
        <v>0.28999999999999998</v>
      </c>
      <c r="Q61" s="148"/>
      <c r="R61" s="148"/>
      <c r="AG61" s="151"/>
      <c r="AH61" s="151"/>
    </row>
    <row r="62" spans="1:34">
      <c r="C62" s="145" t="s">
        <v>93</v>
      </c>
      <c r="D62" s="145"/>
      <c r="E62" s="145"/>
      <c r="F62" s="145"/>
      <c r="G62" s="145"/>
      <c r="H62" s="147"/>
      <c r="I62" s="147"/>
      <c r="J62" s="147"/>
      <c r="K62" s="147"/>
      <c r="L62" s="147">
        <v>0.01</v>
      </c>
      <c r="M62" s="147">
        <v>0.01</v>
      </c>
      <c r="N62" s="147">
        <v>0.01</v>
      </c>
      <c r="O62" s="147">
        <v>0.01</v>
      </c>
      <c r="P62" s="147">
        <v>0.01</v>
      </c>
      <c r="Q62" s="148"/>
      <c r="R62" s="148"/>
      <c r="AG62" s="151"/>
      <c r="AH62" s="151"/>
    </row>
    <row r="63" spans="1:34">
      <c r="C63" s="145" t="s">
        <v>94</v>
      </c>
      <c r="D63" s="145"/>
      <c r="E63" s="145"/>
      <c r="F63" s="145"/>
      <c r="G63" s="145"/>
      <c r="H63" s="147"/>
      <c r="I63" s="147"/>
      <c r="J63" s="147"/>
      <c r="K63" s="147"/>
      <c r="L63" s="147">
        <f>0.04+0.01</f>
        <v>0.05</v>
      </c>
      <c r="M63" s="147">
        <f>0.04+0.26</f>
        <v>0.3</v>
      </c>
      <c r="N63" s="147">
        <f>0.18+0.03</f>
        <v>0.21</v>
      </c>
      <c r="O63" s="147">
        <f>0.18+0.03</f>
        <v>0.21</v>
      </c>
      <c r="P63" s="147">
        <f>0.18+0.03</f>
        <v>0.21</v>
      </c>
      <c r="Q63" s="148"/>
      <c r="R63" s="148"/>
      <c r="AG63" s="151"/>
      <c r="AH63" s="151"/>
    </row>
    <row r="64" spans="1:34">
      <c r="C64" s="145" t="s">
        <v>20</v>
      </c>
      <c r="D64" s="145"/>
      <c r="E64" s="145"/>
      <c r="F64" s="145"/>
      <c r="G64" s="145"/>
      <c r="H64" s="149"/>
      <c r="I64" s="149"/>
      <c r="J64" s="149"/>
      <c r="K64" s="149"/>
      <c r="L64" s="149">
        <f>SUM(L60:L63)</f>
        <v>1</v>
      </c>
      <c r="M64" s="148">
        <f>SUM(M60:M63)</f>
        <v>1</v>
      </c>
      <c r="N64" s="148">
        <f>SUM(N60:N63)</f>
        <v>1</v>
      </c>
      <c r="O64" s="148">
        <f>SUM(O60:O63)</f>
        <v>1</v>
      </c>
      <c r="P64" s="148">
        <f>SUM(P60:P63)</f>
        <v>1</v>
      </c>
      <c r="Q64" s="148"/>
      <c r="R64" s="148"/>
      <c r="AG64" s="151"/>
      <c r="AH64" s="151"/>
    </row>
    <row r="65" spans="15:16">
      <c r="O65" s="456"/>
      <c r="P65" s="456"/>
    </row>
    <row r="66" spans="15:16">
      <c r="O66" s="456"/>
      <c r="P66" s="456"/>
    </row>
    <row r="67" spans="15:16">
      <c r="O67" s="456"/>
      <c r="P67" s="456"/>
    </row>
    <row r="68" spans="15:16">
      <c r="O68" s="456"/>
      <c r="P68" s="456"/>
    </row>
    <row r="69" spans="15:16">
      <c r="O69" s="456"/>
      <c r="P69" s="456"/>
    </row>
    <row r="70" spans="15:16">
      <c r="O70" s="456"/>
    </row>
    <row r="71" spans="15:16">
      <c r="O71" s="456"/>
    </row>
  </sheetData>
  <phoneticPr fontId="30" type="noConversion"/>
  <pageMargins left="0.31" right="0.39" top="0.5" bottom="0.5"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3" style="528" bestFit="1" customWidth="1"/>
    <col min="2" max="2" width="15.44140625" style="542" customWidth="1"/>
    <col min="3" max="3" width="9.33203125" style="528" bestFit="1" customWidth="1"/>
    <col min="4" max="256" width="8.88671875" style="528"/>
    <col min="257" max="257" width="23" style="528" bestFit="1" customWidth="1"/>
    <col min="258" max="258" width="15.44140625" style="528" customWidth="1"/>
    <col min="259" max="259" width="9.33203125" style="528" bestFit="1" customWidth="1"/>
    <col min="260" max="512" width="8.88671875" style="528"/>
    <col min="513" max="513" width="23" style="528" bestFit="1" customWidth="1"/>
    <col min="514" max="514" width="15.44140625" style="528" customWidth="1"/>
    <col min="515" max="515" width="9.33203125" style="528" bestFit="1" customWidth="1"/>
    <col min="516" max="768" width="8.88671875" style="528"/>
    <col min="769" max="769" width="23" style="528" bestFit="1" customWidth="1"/>
    <col min="770" max="770" width="15.44140625" style="528" customWidth="1"/>
    <col min="771" max="771" width="9.33203125" style="528" bestFit="1" customWidth="1"/>
    <col min="772" max="1024" width="8.88671875" style="528"/>
    <col min="1025" max="1025" width="23" style="528" bestFit="1" customWidth="1"/>
    <col min="1026" max="1026" width="15.44140625" style="528" customWidth="1"/>
    <col min="1027" max="1027" width="9.33203125" style="528" bestFit="1" customWidth="1"/>
    <col min="1028" max="1280" width="8.88671875" style="528"/>
    <col min="1281" max="1281" width="23" style="528" bestFit="1" customWidth="1"/>
    <col min="1282" max="1282" width="15.44140625" style="528" customWidth="1"/>
    <col min="1283" max="1283" width="9.33203125" style="528" bestFit="1" customWidth="1"/>
    <col min="1284" max="1536" width="8.88671875" style="528"/>
    <col min="1537" max="1537" width="23" style="528" bestFit="1" customWidth="1"/>
    <col min="1538" max="1538" width="15.44140625" style="528" customWidth="1"/>
    <col min="1539" max="1539" width="9.33203125" style="528" bestFit="1" customWidth="1"/>
    <col min="1540" max="1792" width="8.88671875" style="528"/>
    <col min="1793" max="1793" width="23" style="528" bestFit="1" customWidth="1"/>
    <col min="1794" max="1794" width="15.44140625" style="528" customWidth="1"/>
    <col min="1795" max="1795" width="9.33203125" style="528" bestFit="1" customWidth="1"/>
    <col min="1796" max="2048" width="8.88671875" style="528"/>
    <col min="2049" max="2049" width="23" style="528" bestFit="1" customWidth="1"/>
    <col min="2050" max="2050" width="15.44140625" style="528" customWidth="1"/>
    <col min="2051" max="2051" width="9.33203125" style="528" bestFit="1" customWidth="1"/>
    <col min="2052" max="2304" width="8.88671875" style="528"/>
    <col min="2305" max="2305" width="23" style="528" bestFit="1" customWidth="1"/>
    <col min="2306" max="2306" width="15.44140625" style="528" customWidth="1"/>
    <col min="2307" max="2307" width="9.33203125" style="528" bestFit="1" customWidth="1"/>
    <col min="2308" max="2560" width="8.88671875" style="528"/>
    <col min="2561" max="2561" width="23" style="528" bestFit="1" customWidth="1"/>
    <col min="2562" max="2562" width="15.44140625" style="528" customWidth="1"/>
    <col min="2563" max="2563" width="9.33203125" style="528" bestFit="1" customWidth="1"/>
    <col min="2564" max="2816" width="8.88671875" style="528"/>
    <col min="2817" max="2817" width="23" style="528" bestFit="1" customWidth="1"/>
    <col min="2818" max="2818" width="15.44140625" style="528" customWidth="1"/>
    <col min="2819" max="2819" width="9.33203125" style="528" bestFit="1" customWidth="1"/>
    <col min="2820" max="3072" width="8.88671875" style="528"/>
    <col min="3073" max="3073" width="23" style="528" bestFit="1" customWidth="1"/>
    <col min="3074" max="3074" width="15.44140625" style="528" customWidth="1"/>
    <col min="3075" max="3075" width="9.33203125" style="528" bestFit="1" customWidth="1"/>
    <col min="3076" max="3328" width="8.88671875" style="528"/>
    <col min="3329" max="3329" width="23" style="528" bestFit="1" customWidth="1"/>
    <col min="3330" max="3330" width="15.44140625" style="528" customWidth="1"/>
    <col min="3331" max="3331" width="9.33203125" style="528" bestFit="1" customWidth="1"/>
    <col min="3332" max="3584" width="8.88671875" style="528"/>
    <col min="3585" max="3585" width="23" style="528" bestFit="1" customWidth="1"/>
    <col min="3586" max="3586" width="15.44140625" style="528" customWidth="1"/>
    <col min="3587" max="3587" width="9.33203125" style="528" bestFit="1" customWidth="1"/>
    <col min="3588" max="3840" width="8.88671875" style="528"/>
    <col min="3841" max="3841" width="23" style="528" bestFit="1" customWidth="1"/>
    <col min="3842" max="3842" width="15.44140625" style="528" customWidth="1"/>
    <col min="3843" max="3843" width="9.33203125" style="528" bestFit="1" customWidth="1"/>
    <col min="3844" max="4096" width="8.88671875" style="528"/>
    <col min="4097" max="4097" width="23" style="528" bestFit="1" customWidth="1"/>
    <col min="4098" max="4098" width="15.44140625" style="528" customWidth="1"/>
    <col min="4099" max="4099" width="9.33203125" style="528" bestFit="1" customWidth="1"/>
    <col min="4100" max="4352" width="8.88671875" style="528"/>
    <col min="4353" max="4353" width="23" style="528" bestFit="1" customWidth="1"/>
    <col min="4354" max="4354" width="15.44140625" style="528" customWidth="1"/>
    <col min="4355" max="4355" width="9.33203125" style="528" bestFit="1" customWidth="1"/>
    <col min="4356" max="4608" width="8.88671875" style="528"/>
    <col min="4609" max="4609" width="23" style="528" bestFit="1" customWidth="1"/>
    <col min="4610" max="4610" width="15.44140625" style="528" customWidth="1"/>
    <col min="4611" max="4611" width="9.33203125" style="528" bestFit="1" customWidth="1"/>
    <col min="4612" max="4864" width="8.88671875" style="528"/>
    <col min="4865" max="4865" width="23" style="528" bestFit="1" customWidth="1"/>
    <col min="4866" max="4866" width="15.44140625" style="528" customWidth="1"/>
    <col min="4867" max="4867" width="9.33203125" style="528" bestFit="1" customWidth="1"/>
    <col min="4868" max="5120" width="8.88671875" style="528"/>
    <col min="5121" max="5121" width="23" style="528" bestFit="1" customWidth="1"/>
    <col min="5122" max="5122" width="15.44140625" style="528" customWidth="1"/>
    <col min="5123" max="5123" width="9.33203125" style="528" bestFit="1" customWidth="1"/>
    <col min="5124" max="5376" width="8.88671875" style="528"/>
    <col min="5377" max="5377" width="23" style="528" bestFit="1" customWidth="1"/>
    <col min="5378" max="5378" width="15.44140625" style="528" customWidth="1"/>
    <col min="5379" max="5379" width="9.33203125" style="528" bestFit="1" customWidth="1"/>
    <col min="5380" max="5632" width="8.88671875" style="528"/>
    <col min="5633" max="5633" width="23" style="528" bestFit="1" customWidth="1"/>
    <col min="5634" max="5634" width="15.44140625" style="528" customWidth="1"/>
    <col min="5635" max="5635" width="9.33203125" style="528" bestFit="1" customWidth="1"/>
    <col min="5636" max="5888" width="8.88671875" style="528"/>
    <col min="5889" max="5889" width="23" style="528" bestFit="1" customWidth="1"/>
    <col min="5890" max="5890" width="15.44140625" style="528" customWidth="1"/>
    <col min="5891" max="5891" width="9.33203125" style="528" bestFit="1" customWidth="1"/>
    <col min="5892" max="6144" width="8.88671875" style="528"/>
    <col min="6145" max="6145" width="23" style="528" bestFit="1" customWidth="1"/>
    <col min="6146" max="6146" width="15.44140625" style="528" customWidth="1"/>
    <col min="6147" max="6147" width="9.33203125" style="528" bestFit="1" customWidth="1"/>
    <col min="6148" max="6400" width="8.88671875" style="528"/>
    <col min="6401" max="6401" width="23" style="528" bestFit="1" customWidth="1"/>
    <col min="6402" max="6402" width="15.44140625" style="528" customWidth="1"/>
    <col min="6403" max="6403" width="9.33203125" style="528" bestFit="1" customWidth="1"/>
    <col min="6404" max="6656" width="8.88671875" style="528"/>
    <col min="6657" max="6657" width="23" style="528" bestFit="1" customWidth="1"/>
    <col min="6658" max="6658" width="15.44140625" style="528" customWidth="1"/>
    <col min="6659" max="6659" width="9.33203125" style="528" bestFit="1" customWidth="1"/>
    <col min="6660" max="6912" width="8.88671875" style="528"/>
    <col min="6913" max="6913" width="23" style="528" bestFit="1" customWidth="1"/>
    <col min="6914" max="6914" width="15.44140625" style="528" customWidth="1"/>
    <col min="6915" max="6915" width="9.33203125" style="528" bestFit="1" customWidth="1"/>
    <col min="6916" max="7168" width="8.88671875" style="528"/>
    <col min="7169" max="7169" width="23" style="528" bestFit="1" customWidth="1"/>
    <col min="7170" max="7170" width="15.44140625" style="528" customWidth="1"/>
    <col min="7171" max="7171" width="9.33203125" style="528" bestFit="1" customWidth="1"/>
    <col min="7172" max="7424" width="8.88671875" style="528"/>
    <col min="7425" max="7425" width="23" style="528" bestFit="1" customWidth="1"/>
    <col min="7426" max="7426" width="15.44140625" style="528" customWidth="1"/>
    <col min="7427" max="7427" width="9.33203125" style="528" bestFit="1" customWidth="1"/>
    <col min="7428" max="7680" width="8.88671875" style="528"/>
    <col min="7681" max="7681" width="23" style="528" bestFit="1" customWidth="1"/>
    <col min="7682" max="7682" width="15.44140625" style="528" customWidth="1"/>
    <col min="7683" max="7683" width="9.33203125" style="528" bestFit="1" customWidth="1"/>
    <col min="7684" max="7936" width="8.88671875" style="528"/>
    <col min="7937" max="7937" width="23" style="528" bestFit="1" customWidth="1"/>
    <col min="7938" max="7938" width="15.44140625" style="528" customWidth="1"/>
    <col min="7939" max="7939" width="9.33203125" style="528" bestFit="1" customWidth="1"/>
    <col min="7940" max="8192" width="8.88671875" style="528"/>
    <col min="8193" max="8193" width="23" style="528" bestFit="1" customWidth="1"/>
    <col min="8194" max="8194" width="15.44140625" style="528" customWidth="1"/>
    <col min="8195" max="8195" width="9.33203125" style="528" bestFit="1" customWidth="1"/>
    <col min="8196" max="8448" width="8.88671875" style="528"/>
    <col min="8449" max="8449" width="23" style="528" bestFit="1" customWidth="1"/>
    <col min="8450" max="8450" width="15.44140625" style="528" customWidth="1"/>
    <col min="8451" max="8451" width="9.33203125" style="528" bestFit="1" customWidth="1"/>
    <col min="8452" max="8704" width="8.88671875" style="528"/>
    <col min="8705" max="8705" width="23" style="528" bestFit="1" customWidth="1"/>
    <col min="8706" max="8706" width="15.44140625" style="528" customWidth="1"/>
    <col min="8707" max="8707" width="9.33203125" style="528" bestFit="1" customWidth="1"/>
    <col min="8708" max="8960" width="8.88671875" style="528"/>
    <col min="8961" max="8961" width="23" style="528" bestFit="1" customWidth="1"/>
    <col min="8962" max="8962" width="15.44140625" style="528" customWidth="1"/>
    <col min="8963" max="8963" width="9.33203125" style="528" bestFit="1" customWidth="1"/>
    <col min="8964" max="9216" width="8.88671875" style="528"/>
    <col min="9217" max="9217" width="23" style="528" bestFit="1" customWidth="1"/>
    <col min="9218" max="9218" width="15.44140625" style="528" customWidth="1"/>
    <col min="9219" max="9219" width="9.33203125" style="528" bestFit="1" customWidth="1"/>
    <col min="9220" max="9472" width="8.88671875" style="528"/>
    <col min="9473" max="9473" width="23" style="528" bestFit="1" customWidth="1"/>
    <col min="9474" max="9474" width="15.44140625" style="528" customWidth="1"/>
    <col min="9475" max="9475" width="9.33203125" style="528" bestFit="1" customWidth="1"/>
    <col min="9476" max="9728" width="8.88671875" style="528"/>
    <col min="9729" max="9729" width="23" style="528" bestFit="1" customWidth="1"/>
    <col min="9730" max="9730" width="15.44140625" style="528" customWidth="1"/>
    <col min="9731" max="9731" width="9.33203125" style="528" bestFit="1" customWidth="1"/>
    <col min="9732" max="9984" width="8.88671875" style="528"/>
    <col min="9985" max="9985" width="23" style="528" bestFit="1" customWidth="1"/>
    <col min="9986" max="9986" width="15.44140625" style="528" customWidth="1"/>
    <col min="9987" max="9987" width="9.33203125" style="528" bestFit="1" customWidth="1"/>
    <col min="9988" max="10240" width="8.88671875" style="528"/>
    <col min="10241" max="10241" width="23" style="528" bestFit="1" customWidth="1"/>
    <col min="10242" max="10242" width="15.44140625" style="528" customWidth="1"/>
    <col min="10243" max="10243" width="9.33203125" style="528" bestFit="1" customWidth="1"/>
    <col min="10244" max="10496" width="8.88671875" style="528"/>
    <col min="10497" max="10497" width="23" style="528" bestFit="1" customWidth="1"/>
    <col min="10498" max="10498" width="15.44140625" style="528" customWidth="1"/>
    <col min="10499" max="10499" width="9.33203125" style="528" bestFit="1" customWidth="1"/>
    <col min="10500" max="10752" width="8.88671875" style="528"/>
    <col min="10753" max="10753" width="23" style="528" bestFit="1" customWidth="1"/>
    <col min="10754" max="10754" width="15.44140625" style="528" customWidth="1"/>
    <col min="10755" max="10755" width="9.33203125" style="528" bestFit="1" customWidth="1"/>
    <col min="10756" max="11008" width="8.88671875" style="528"/>
    <col min="11009" max="11009" width="23" style="528" bestFit="1" customWidth="1"/>
    <col min="11010" max="11010" width="15.44140625" style="528" customWidth="1"/>
    <col min="11011" max="11011" width="9.33203125" style="528" bestFit="1" customWidth="1"/>
    <col min="11012" max="11264" width="8.88671875" style="528"/>
    <col min="11265" max="11265" width="23" style="528" bestFit="1" customWidth="1"/>
    <col min="11266" max="11266" width="15.44140625" style="528" customWidth="1"/>
    <col min="11267" max="11267" width="9.33203125" style="528" bestFit="1" customWidth="1"/>
    <col min="11268" max="11520" width="8.88671875" style="528"/>
    <col min="11521" max="11521" width="23" style="528" bestFit="1" customWidth="1"/>
    <col min="11522" max="11522" width="15.44140625" style="528" customWidth="1"/>
    <col min="11523" max="11523" width="9.33203125" style="528" bestFit="1" customWidth="1"/>
    <col min="11524" max="11776" width="8.88671875" style="528"/>
    <col min="11777" max="11777" width="23" style="528" bestFit="1" customWidth="1"/>
    <col min="11778" max="11778" width="15.44140625" style="528" customWidth="1"/>
    <col min="11779" max="11779" width="9.33203125" style="528" bestFit="1" customWidth="1"/>
    <col min="11780" max="12032" width="8.88671875" style="528"/>
    <col min="12033" max="12033" width="23" style="528" bestFit="1" customWidth="1"/>
    <col min="12034" max="12034" width="15.44140625" style="528" customWidth="1"/>
    <col min="12035" max="12035" width="9.33203125" style="528" bestFit="1" customWidth="1"/>
    <col min="12036" max="12288" width="8.88671875" style="528"/>
    <col min="12289" max="12289" width="23" style="528" bestFit="1" customWidth="1"/>
    <col min="12290" max="12290" width="15.44140625" style="528" customWidth="1"/>
    <col min="12291" max="12291" width="9.33203125" style="528" bestFit="1" customWidth="1"/>
    <col min="12292" max="12544" width="8.88671875" style="528"/>
    <col min="12545" max="12545" width="23" style="528" bestFit="1" customWidth="1"/>
    <col min="12546" max="12546" width="15.44140625" style="528" customWidth="1"/>
    <col min="12547" max="12547" width="9.33203125" style="528" bestFit="1" customWidth="1"/>
    <col min="12548" max="12800" width="8.88671875" style="528"/>
    <col min="12801" max="12801" width="23" style="528" bestFit="1" customWidth="1"/>
    <col min="12802" max="12802" width="15.44140625" style="528" customWidth="1"/>
    <col min="12803" max="12803" width="9.33203125" style="528" bestFit="1" customWidth="1"/>
    <col min="12804" max="13056" width="8.88671875" style="528"/>
    <col min="13057" max="13057" width="23" style="528" bestFit="1" customWidth="1"/>
    <col min="13058" max="13058" width="15.44140625" style="528" customWidth="1"/>
    <col min="13059" max="13059" width="9.33203125" style="528" bestFit="1" customWidth="1"/>
    <col min="13060" max="13312" width="8.88671875" style="528"/>
    <col min="13313" max="13313" width="23" style="528" bestFit="1" customWidth="1"/>
    <col min="13314" max="13314" width="15.44140625" style="528" customWidth="1"/>
    <col min="13315" max="13315" width="9.33203125" style="528" bestFit="1" customWidth="1"/>
    <col min="13316" max="13568" width="8.88671875" style="528"/>
    <col min="13569" max="13569" width="23" style="528" bestFit="1" customWidth="1"/>
    <col min="13570" max="13570" width="15.44140625" style="528" customWidth="1"/>
    <col min="13571" max="13571" width="9.33203125" style="528" bestFit="1" customWidth="1"/>
    <col min="13572" max="13824" width="8.88671875" style="528"/>
    <col min="13825" max="13825" width="23" style="528" bestFit="1" customWidth="1"/>
    <col min="13826" max="13826" width="15.44140625" style="528" customWidth="1"/>
    <col min="13827" max="13827" width="9.33203125" style="528" bestFit="1" customWidth="1"/>
    <col min="13828" max="14080" width="8.88671875" style="528"/>
    <col min="14081" max="14081" width="23" style="528" bestFit="1" customWidth="1"/>
    <col min="14082" max="14082" width="15.44140625" style="528" customWidth="1"/>
    <col min="14083" max="14083" width="9.33203125" style="528" bestFit="1" customWidth="1"/>
    <col min="14084" max="14336" width="8.88671875" style="528"/>
    <col min="14337" max="14337" width="23" style="528" bestFit="1" customWidth="1"/>
    <col min="14338" max="14338" width="15.44140625" style="528" customWidth="1"/>
    <col min="14339" max="14339" width="9.33203125" style="528" bestFit="1" customWidth="1"/>
    <col min="14340" max="14592" width="8.88671875" style="528"/>
    <col min="14593" max="14593" width="23" style="528" bestFit="1" customWidth="1"/>
    <col min="14594" max="14594" width="15.44140625" style="528" customWidth="1"/>
    <col min="14595" max="14595" width="9.33203125" style="528" bestFit="1" customWidth="1"/>
    <col min="14596" max="14848" width="8.88671875" style="528"/>
    <col min="14849" max="14849" width="23" style="528" bestFit="1" customWidth="1"/>
    <col min="14850" max="14850" width="15.44140625" style="528" customWidth="1"/>
    <col min="14851" max="14851" width="9.33203125" style="528" bestFit="1" customWidth="1"/>
    <col min="14852" max="15104" width="8.88671875" style="528"/>
    <col min="15105" max="15105" width="23" style="528" bestFit="1" customWidth="1"/>
    <col min="15106" max="15106" width="15.44140625" style="528" customWidth="1"/>
    <col min="15107" max="15107" width="9.33203125" style="528" bestFit="1" customWidth="1"/>
    <col min="15108" max="15360" width="8.88671875" style="528"/>
    <col min="15361" max="15361" width="23" style="528" bestFit="1" customWidth="1"/>
    <col min="15362" max="15362" width="15.44140625" style="528" customWidth="1"/>
    <col min="15363" max="15363" width="9.33203125" style="528" bestFit="1" customWidth="1"/>
    <col min="15364" max="15616" width="8.88671875" style="528"/>
    <col min="15617" max="15617" width="23" style="528" bestFit="1" customWidth="1"/>
    <col min="15618" max="15618" width="15.44140625" style="528" customWidth="1"/>
    <col min="15619" max="15619" width="9.33203125" style="528" bestFit="1" customWidth="1"/>
    <col min="15620" max="15872" width="8.88671875" style="528"/>
    <col min="15873" max="15873" width="23" style="528" bestFit="1" customWidth="1"/>
    <col min="15874" max="15874" width="15.44140625" style="528" customWidth="1"/>
    <col min="15875" max="15875" width="9.33203125" style="528" bestFit="1" customWidth="1"/>
    <col min="15876" max="16128" width="8.88671875" style="528"/>
    <col min="16129" max="16129" width="23" style="528" bestFit="1" customWidth="1"/>
    <col min="16130" max="16130" width="15.44140625" style="528" customWidth="1"/>
    <col min="16131" max="16131" width="9.33203125" style="528" bestFit="1" customWidth="1"/>
    <col min="16132" max="16384" width="8.88671875" style="528"/>
  </cols>
  <sheetData>
    <row r="1" spans="1:2">
      <c r="A1" s="528" t="s">
        <v>815</v>
      </c>
      <c r="B1" s="541">
        <v>6.1</v>
      </c>
    </row>
    <row r="2" spans="1:2">
      <c r="A2" s="528" t="s">
        <v>816</v>
      </c>
      <c r="B2" s="545">
        <v>43194.756979166668</v>
      </c>
    </row>
    <row r="3" spans="1:2">
      <c r="A3" s="528" t="s">
        <v>817</v>
      </c>
      <c r="B3" s="542" t="s">
        <v>510</v>
      </c>
    </row>
    <row r="4" spans="1:2">
      <c r="A4" s="528" t="s">
        <v>818</v>
      </c>
      <c r="B4" s="542" t="s">
        <v>819</v>
      </c>
    </row>
    <row r="5" spans="1:2">
      <c r="A5" s="528" t="s">
        <v>820</v>
      </c>
      <c r="B5" s="542" t="s">
        <v>821</v>
      </c>
    </row>
    <row r="6" spans="1:2">
      <c r="A6" s="528" t="s">
        <v>822</v>
      </c>
    </row>
    <row r="7" spans="1:2">
      <c r="A7" s="528" t="s">
        <v>823</v>
      </c>
      <c r="B7" s="542" t="s">
        <v>197</v>
      </c>
    </row>
    <row r="8" spans="1:2">
      <c r="A8" s="528" t="s">
        <v>824</v>
      </c>
      <c r="B8" s="542" t="s">
        <v>825</v>
      </c>
    </row>
    <row r="9" spans="1:2">
      <c r="A9" s="528" t="s">
        <v>826</v>
      </c>
      <c r="B9" s="542" t="s">
        <v>863</v>
      </c>
    </row>
    <row r="10" spans="1:2">
      <c r="A10" s="528" t="s">
        <v>827</v>
      </c>
    </row>
    <row r="11" spans="1:2">
      <c r="A11" s="528" t="s">
        <v>828</v>
      </c>
    </row>
    <row r="12" spans="1:2">
      <c r="A12" s="528" t="s">
        <v>829</v>
      </c>
    </row>
    <row r="13" spans="1:2">
      <c r="A13" s="528" t="s">
        <v>830</v>
      </c>
    </row>
    <row r="14" spans="1:2">
      <c r="A14" s="528" t="s">
        <v>831</v>
      </c>
    </row>
    <row r="15" spans="1:2">
      <c r="A15" s="528" t="s">
        <v>832</v>
      </c>
    </row>
    <row r="16" spans="1:2">
      <c r="A16" s="528" t="s">
        <v>833</v>
      </c>
    </row>
    <row r="17" spans="1:4">
      <c r="A17" s="528" t="s">
        <v>834</v>
      </c>
      <c r="B17" s="542" t="s">
        <v>864</v>
      </c>
    </row>
    <row r="18" spans="1:4">
      <c r="A18" s="528" t="s">
        <v>835</v>
      </c>
      <c r="B18" s="542" t="s">
        <v>867</v>
      </c>
    </row>
    <row r="19" spans="1:4">
      <c r="A19" s="528" t="s">
        <v>836</v>
      </c>
      <c r="B19" s="542" t="s">
        <v>192</v>
      </c>
    </row>
    <row r="20" spans="1:4">
      <c r="A20" s="528" t="s">
        <v>837</v>
      </c>
      <c r="B20" s="543" t="s">
        <v>868</v>
      </c>
    </row>
    <row r="21" spans="1:4">
      <c r="A21" s="528" t="s">
        <v>838</v>
      </c>
      <c r="B21" s="542" t="s">
        <v>192</v>
      </c>
    </row>
    <row r="22" spans="1:4">
      <c r="A22" s="528" t="s">
        <v>839</v>
      </c>
      <c r="B22" s="543">
        <v>2831811</v>
      </c>
    </row>
    <row r="23" spans="1:4">
      <c r="A23" s="528" t="s">
        <v>195</v>
      </c>
      <c r="B23" s="541">
        <v>35.880000000000003</v>
      </c>
    </row>
    <row r="24" spans="1:4">
      <c r="A24" s="528" t="s">
        <v>194</v>
      </c>
      <c r="B24" s="542" t="s">
        <v>183</v>
      </c>
      <c r="D24" s="528" t="s">
        <v>178</v>
      </c>
    </row>
    <row r="25" spans="1:4">
      <c r="A25" s="528" t="s">
        <v>840</v>
      </c>
      <c r="B25" s="542" t="s">
        <v>869</v>
      </c>
    </row>
    <row r="26" spans="1:4">
      <c r="A26" s="528" t="s">
        <v>841</v>
      </c>
      <c r="B26" s="542">
        <v>0</v>
      </c>
    </row>
    <row r="27" spans="1:4">
      <c r="A27" s="528" t="s">
        <v>842</v>
      </c>
      <c r="B27" s="542" t="s">
        <v>843</v>
      </c>
    </row>
    <row r="28" spans="1:4">
      <c r="A28" s="528" t="s">
        <v>844</v>
      </c>
      <c r="B28" s="542" t="s">
        <v>845</v>
      </c>
    </row>
    <row r="29" spans="1:4">
      <c r="A29" s="528" t="s">
        <v>846</v>
      </c>
    </row>
    <row r="30" spans="1:4">
      <c r="A30" s="528" t="s">
        <v>847</v>
      </c>
    </row>
    <row r="31" spans="1:4">
      <c r="A31" s="528" t="s">
        <v>848</v>
      </c>
    </row>
    <row r="32" spans="1:4">
      <c r="A32" s="528" t="s">
        <v>849</v>
      </c>
      <c r="B32" s="541"/>
    </row>
    <row r="33" spans="1:2">
      <c r="A33" s="528" t="s">
        <v>850</v>
      </c>
      <c r="B33" s="541"/>
    </row>
    <row r="34" spans="1:2">
      <c r="A34" s="528" t="s">
        <v>851</v>
      </c>
      <c r="B34" s="541"/>
    </row>
    <row r="35" spans="1:2">
      <c r="A35" s="528" t="s">
        <v>852</v>
      </c>
      <c r="B35" s="542">
        <v>1000000</v>
      </c>
    </row>
    <row r="36" spans="1:2">
      <c r="A36" s="528" t="s">
        <v>853</v>
      </c>
      <c r="B36" s="542" t="s">
        <v>865</v>
      </c>
    </row>
    <row r="37" spans="1:2">
      <c r="A37" s="528" t="s">
        <v>854</v>
      </c>
      <c r="B37" s="542" t="s">
        <v>855</v>
      </c>
    </row>
    <row r="38" spans="1:2">
      <c r="A38" s="528" t="s">
        <v>856</v>
      </c>
      <c r="B38" s="542" t="s">
        <v>857</v>
      </c>
    </row>
    <row r="39" spans="1:2">
      <c r="A39" s="528" t="s">
        <v>858</v>
      </c>
      <c r="B39" s="542" t="s">
        <v>866</v>
      </c>
    </row>
    <row r="40" spans="1:2">
      <c r="A40" s="528" t="s">
        <v>859</v>
      </c>
      <c r="B40" s="542">
        <v>1500004829</v>
      </c>
    </row>
    <row r="41" spans="1:2">
      <c r="A41" s="528" t="s">
        <v>860</v>
      </c>
      <c r="B41" s="542">
        <v>1</v>
      </c>
    </row>
    <row r="42" spans="1:2">
      <c r="A42" s="544" t="s">
        <v>861</v>
      </c>
    </row>
    <row r="43" spans="1:2">
      <c r="A43" s="528" t="s">
        <v>862</v>
      </c>
    </row>
  </sheetData>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2.21875" style="528" bestFit="1" customWidth="1"/>
    <col min="2" max="256" width="8.88671875" style="528"/>
    <col min="257" max="257" width="22.21875" style="528" bestFit="1" customWidth="1"/>
    <col min="258" max="512" width="8.88671875" style="528"/>
    <col min="513" max="513" width="22.21875" style="528" bestFit="1" customWidth="1"/>
    <col min="514" max="768" width="8.88671875" style="528"/>
    <col min="769" max="769" width="22.21875" style="528" bestFit="1" customWidth="1"/>
    <col min="770" max="1024" width="8.88671875" style="528"/>
    <col min="1025" max="1025" width="22.21875" style="528" bestFit="1" customWidth="1"/>
    <col min="1026" max="1280" width="8.88671875" style="528"/>
    <col min="1281" max="1281" width="22.21875" style="528" bestFit="1" customWidth="1"/>
    <col min="1282" max="1536" width="8.88671875" style="528"/>
    <col min="1537" max="1537" width="22.21875" style="528" bestFit="1" customWidth="1"/>
    <col min="1538" max="1792" width="8.88671875" style="528"/>
    <col min="1793" max="1793" width="22.21875" style="528" bestFit="1" customWidth="1"/>
    <col min="1794" max="2048" width="8.88671875" style="528"/>
    <col min="2049" max="2049" width="22.21875" style="528" bestFit="1" customWidth="1"/>
    <col min="2050" max="2304" width="8.88671875" style="528"/>
    <col min="2305" max="2305" width="22.21875" style="528" bestFit="1" customWidth="1"/>
    <col min="2306" max="2560" width="8.88671875" style="528"/>
    <col min="2561" max="2561" width="22.21875" style="528" bestFit="1" customWidth="1"/>
    <col min="2562" max="2816" width="8.88671875" style="528"/>
    <col min="2817" max="2817" width="22.21875" style="528" bestFit="1" customWidth="1"/>
    <col min="2818" max="3072" width="8.88671875" style="528"/>
    <col min="3073" max="3073" width="22.21875" style="528" bestFit="1" customWidth="1"/>
    <col min="3074" max="3328" width="8.88671875" style="528"/>
    <col min="3329" max="3329" width="22.21875" style="528" bestFit="1" customWidth="1"/>
    <col min="3330" max="3584" width="8.88671875" style="528"/>
    <col min="3585" max="3585" width="22.21875" style="528" bestFit="1" customWidth="1"/>
    <col min="3586" max="3840" width="8.88671875" style="528"/>
    <col min="3841" max="3841" width="22.21875" style="528" bestFit="1" customWidth="1"/>
    <col min="3842" max="4096" width="8.88671875" style="528"/>
    <col min="4097" max="4097" width="22.21875" style="528" bestFit="1" customWidth="1"/>
    <col min="4098" max="4352" width="8.88671875" style="528"/>
    <col min="4353" max="4353" width="22.21875" style="528" bestFit="1" customWidth="1"/>
    <col min="4354" max="4608" width="8.88671875" style="528"/>
    <col min="4609" max="4609" width="22.21875" style="528" bestFit="1" customWidth="1"/>
    <col min="4610" max="4864" width="8.88671875" style="528"/>
    <col min="4865" max="4865" width="22.21875" style="528" bestFit="1" customWidth="1"/>
    <col min="4866" max="5120" width="8.88671875" style="528"/>
    <col min="5121" max="5121" width="22.21875" style="528" bestFit="1" customWidth="1"/>
    <col min="5122" max="5376" width="8.88671875" style="528"/>
    <col min="5377" max="5377" width="22.21875" style="528" bestFit="1" customWidth="1"/>
    <col min="5378" max="5632" width="8.88671875" style="528"/>
    <col min="5633" max="5633" width="22.21875" style="528" bestFit="1" customWidth="1"/>
    <col min="5634" max="5888" width="8.88671875" style="528"/>
    <col min="5889" max="5889" width="22.21875" style="528" bestFit="1" customWidth="1"/>
    <col min="5890" max="6144" width="8.88671875" style="528"/>
    <col min="6145" max="6145" width="22.21875" style="528" bestFit="1" customWidth="1"/>
    <col min="6146" max="6400" width="8.88671875" style="528"/>
    <col min="6401" max="6401" width="22.21875" style="528" bestFit="1" customWidth="1"/>
    <col min="6402" max="6656" width="8.88671875" style="528"/>
    <col min="6657" max="6657" width="22.21875" style="528" bestFit="1" customWidth="1"/>
    <col min="6658" max="6912" width="8.88671875" style="528"/>
    <col min="6913" max="6913" width="22.21875" style="528" bestFit="1" customWidth="1"/>
    <col min="6914" max="7168" width="8.88671875" style="528"/>
    <col min="7169" max="7169" width="22.21875" style="528" bestFit="1" customWidth="1"/>
    <col min="7170" max="7424" width="8.88671875" style="528"/>
    <col min="7425" max="7425" width="22.21875" style="528" bestFit="1" customWidth="1"/>
    <col min="7426" max="7680" width="8.88671875" style="528"/>
    <col min="7681" max="7681" width="22.21875" style="528" bestFit="1" customWidth="1"/>
    <col min="7682" max="7936" width="8.88671875" style="528"/>
    <col min="7937" max="7937" width="22.21875" style="528" bestFit="1" customWidth="1"/>
    <col min="7938" max="8192" width="8.88671875" style="528"/>
    <col min="8193" max="8193" width="22.21875" style="528" bestFit="1" customWidth="1"/>
    <col min="8194" max="8448" width="8.88671875" style="528"/>
    <col min="8449" max="8449" width="22.21875" style="528" bestFit="1" customWidth="1"/>
    <col min="8450" max="8704" width="8.88671875" style="528"/>
    <col min="8705" max="8705" width="22.21875" style="528" bestFit="1" customWidth="1"/>
    <col min="8706" max="8960" width="8.88671875" style="528"/>
    <col min="8961" max="8961" width="22.21875" style="528" bestFit="1" customWidth="1"/>
    <col min="8962" max="9216" width="8.88671875" style="528"/>
    <col min="9217" max="9217" width="22.21875" style="528" bestFit="1" customWidth="1"/>
    <col min="9218" max="9472" width="8.88671875" style="528"/>
    <col min="9473" max="9473" width="22.21875" style="528" bestFit="1" customWidth="1"/>
    <col min="9474" max="9728" width="8.88671875" style="528"/>
    <col min="9729" max="9729" width="22.21875" style="528" bestFit="1" customWidth="1"/>
    <col min="9730" max="9984" width="8.88671875" style="528"/>
    <col min="9985" max="9985" width="22.21875" style="528" bestFit="1" customWidth="1"/>
    <col min="9986" max="10240" width="8.88671875" style="528"/>
    <col min="10241" max="10241" width="22.21875" style="528" bestFit="1" customWidth="1"/>
    <col min="10242" max="10496" width="8.88671875" style="528"/>
    <col min="10497" max="10497" width="22.21875" style="528" bestFit="1" customWidth="1"/>
    <col min="10498" max="10752" width="8.88671875" style="528"/>
    <col min="10753" max="10753" width="22.21875" style="528" bestFit="1" customWidth="1"/>
    <col min="10754" max="11008" width="8.88671875" style="528"/>
    <col min="11009" max="11009" width="22.21875" style="528" bestFit="1" customWidth="1"/>
    <col min="11010" max="11264" width="8.88671875" style="528"/>
    <col min="11265" max="11265" width="22.21875" style="528" bestFit="1" customWidth="1"/>
    <col min="11266" max="11520" width="8.88671875" style="528"/>
    <col min="11521" max="11521" width="22.21875" style="528" bestFit="1" customWidth="1"/>
    <col min="11522" max="11776" width="8.88671875" style="528"/>
    <col min="11777" max="11777" width="22.21875" style="528" bestFit="1" customWidth="1"/>
    <col min="11778" max="12032" width="8.88671875" style="528"/>
    <col min="12033" max="12033" width="22.21875" style="528" bestFit="1" customWidth="1"/>
    <col min="12034" max="12288" width="8.88671875" style="528"/>
    <col min="12289" max="12289" width="22.21875" style="528" bestFit="1" customWidth="1"/>
    <col min="12290" max="12544" width="8.88671875" style="528"/>
    <col min="12545" max="12545" width="22.21875" style="528" bestFit="1" customWidth="1"/>
    <col min="12546" max="12800" width="8.88671875" style="528"/>
    <col min="12801" max="12801" width="22.21875" style="528" bestFit="1" customWidth="1"/>
    <col min="12802" max="13056" width="8.88671875" style="528"/>
    <col min="13057" max="13057" width="22.21875" style="528" bestFit="1" customWidth="1"/>
    <col min="13058" max="13312" width="8.88671875" style="528"/>
    <col min="13313" max="13313" width="22.21875" style="528" bestFit="1" customWidth="1"/>
    <col min="13314" max="13568" width="8.88671875" style="528"/>
    <col min="13569" max="13569" width="22.21875" style="528" bestFit="1" customWidth="1"/>
    <col min="13570" max="13824" width="8.88671875" style="528"/>
    <col min="13825" max="13825" width="22.21875" style="528" bestFit="1" customWidth="1"/>
    <col min="13826" max="14080" width="8.88671875" style="528"/>
    <col min="14081" max="14081" width="22.21875" style="528" bestFit="1" customWidth="1"/>
    <col min="14082" max="14336" width="8.88671875" style="528"/>
    <col min="14337" max="14337" width="22.21875" style="528" bestFit="1" customWidth="1"/>
    <col min="14338" max="14592" width="8.88671875" style="528"/>
    <col min="14593" max="14593" width="22.21875" style="528" bestFit="1" customWidth="1"/>
    <col min="14594" max="14848" width="8.88671875" style="528"/>
    <col min="14849" max="14849" width="22.21875" style="528" bestFit="1" customWidth="1"/>
    <col min="14850" max="15104" width="8.88671875" style="528"/>
    <col min="15105" max="15105" width="22.21875" style="528" bestFit="1" customWidth="1"/>
    <col min="15106" max="15360" width="8.88671875" style="528"/>
    <col min="15361" max="15361" width="22.21875" style="528" bestFit="1" customWidth="1"/>
    <col min="15362" max="15616" width="8.88671875" style="528"/>
    <col min="15617" max="15617" width="22.21875" style="528" bestFit="1" customWidth="1"/>
    <col min="15618" max="15872" width="8.88671875" style="528"/>
    <col min="15873" max="15873" width="22.21875" style="528" bestFit="1" customWidth="1"/>
    <col min="15874" max="16128" width="8.88671875" style="528"/>
    <col min="16129" max="16129" width="22.21875" style="528" bestFit="1" customWidth="1"/>
    <col min="16130" max="16384" width="8.88671875" style="528"/>
  </cols>
  <sheetData>
    <row r="1" spans="1:1">
      <c r="A1" s="546" t="s">
        <v>870</v>
      </c>
    </row>
    <row r="2" spans="1:1">
      <c r="A2" s="546" t="s">
        <v>875</v>
      </c>
    </row>
    <row r="3" spans="1:1">
      <c r="A3" s="546" t="s">
        <v>876</v>
      </c>
    </row>
    <row r="4" spans="1:1">
      <c r="A4" s="546" t="s">
        <v>877</v>
      </c>
    </row>
    <row r="5" spans="1:1">
      <c r="A5" s="546" t="s">
        <v>878</v>
      </c>
    </row>
    <row r="6" spans="1:1">
      <c r="A6" s="546" t="s">
        <v>871</v>
      </c>
    </row>
    <row r="7" spans="1:1">
      <c r="A7" s="546" t="s">
        <v>879</v>
      </c>
    </row>
    <row r="8" spans="1:1">
      <c r="A8" s="546" t="s">
        <v>880</v>
      </c>
    </row>
    <row r="9" spans="1:1">
      <c r="A9" s="546" t="s">
        <v>881</v>
      </c>
    </row>
    <row r="10" spans="1:1">
      <c r="A10" s="546" t="s">
        <v>872</v>
      </c>
    </row>
    <row r="11" spans="1:1">
      <c r="A11" s="546" t="s">
        <v>882</v>
      </c>
    </row>
    <row r="12" spans="1:1">
      <c r="A12" s="546" t="s">
        <v>873</v>
      </c>
    </row>
    <row r="13" spans="1:1">
      <c r="A13" s="546" t="s">
        <v>874</v>
      </c>
    </row>
  </sheetData>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H74"/>
  <sheetViews>
    <sheetView workbookViewId="0">
      <pane xSplit="1" ySplit="4" topLeftCell="I5" activePane="bottomRight" state="frozen"/>
      <selection activeCell="BD324" sqref="BB324:BD326"/>
      <selection pane="topRight" activeCell="BD324" sqref="BB324:BD326"/>
      <selection pane="bottomLeft" activeCell="BD324" sqref="BB324:BD326"/>
      <selection pane="bottomRight" activeCell="I5" sqref="I5"/>
    </sheetView>
  </sheetViews>
  <sheetFormatPr defaultColWidth="10.109375" defaultRowHeight="11.25" customHeight="1" outlineLevelCol="1"/>
  <cols>
    <col min="1" max="1" width="27" customWidth="1"/>
    <col min="2" max="2" width="0" hidden="1" customWidth="1" outlineLevel="1"/>
    <col min="3" max="8" width="10.109375" hidden="1" customWidth="1" outlineLevel="1"/>
    <col min="9" max="9" width="10.109375" customWidth="1" collapsed="1"/>
    <col min="10" max="10" width="10.6640625" customWidth="1"/>
    <col min="11" max="17" width="10.109375" customWidth="1"/>
    <col min="18" max="18" width="3.5546875" customWidth="1"/>
    <col min="19" max="19" width="10.109375" customWidth="1"/>
    <col min="20" max="47" width="10.109375" hidden="1" customWidth="1" outlineLevel="1"/>
    <col min="48" max="48" width="10.109375" customWidth="1" collapsed="1"/>
  </cols>
  <sheetData>
    <row r="1" spans="1:86" ht="11.25" customHeight="1">
      <c r="A1" s="2" t="s">
        <v>197</v>
      </c>
      <c r="B1" s="3"/>
      <c r="C1" s="3"/>
      <c r="D1" s="3"/>
      <c r="E1" s="3"/>
      <c r="F1" s="3"/>
      <c r="G1" s="3"/>
      <c r="H1" s="3"/>
      <c r="I1" s="3"/>
      <c r="J1" s="9"/>
      <c r="K1" s="3"/>
      <c r="L1" s="3"/>
      <c r="M1" s="3"/>
      <c r="N1" s="3"/>
      <c r="O1" s="3"/>
      <c r="P1" s="3"/>
      <c r="Q1" s="3"/>
      <c r="R1" s="3"/>
      <c r="S1" s="3"/>
      <c r="T1" s="9"/>
      <c r="U1" s="3"/>
      <c r="V1" s="3"/>
      <c r="W1" s="10"/>
      <c r="X1" s="3"/>
      <c r="Y1" s="3"/>
      <c r="Z1" s="3"/>
      <c r="AA1" s="10"/>
      <c r="AB1" s="3"/>
      <c r="AC1" s="3"/>
      <c r="AD1" s="3"/>
      <c r="AE1" s="10"/>
      <c r="AF1" s="3"/>
      <c r="AG1" s="3"/>
      <c r="AH1" s="3"/>
      <c r="AI1" s="10"/>
      <c r="AJ1" s="3"/>
      <c r="AK1" s="3"/>
      <c r="AL1" s="3"/>
      <c r="AM1" s="10"/>
      <c r="AN1" s="3"/>
      <c r="AO1" s="3"/>
      <c r="AP1" s="3"/>
      <c r="AQ1" s="10"/>
      <c r="AR1" s="3"/>
      <c r="AS1" s="3"/>
      <c r="AT1" s="3"/>
      <c r="AU1" s="10"/>
      <c r="AV1" s="3"/>
      <c r="AW1" s="3"/>
      <c r="AX1" s="3"/>
      <c r="AY1" s="10"/>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4"/>
    </row>
    <row r="2" spans="1:86" ht="11.25" customHeight="1">
      <c r="A2" s="2" t="s">
        <v>198</v>
      </c>
      <c r="B2" s="3"/>
      <c r="C2" s="3"/>
      <c r="D2" s="3"/>
      <c r="E2" s="3"/>
      <c r="F2" s="3"/>
      <c r="G2" s="3"/>
      <c r="H2" s="3"/>
      <c r="I2" s="3"/>
      <c r="J2" s="9"/>
      <c r="K2" s="3"/>
      <c r="L2" s="3"/>
      <c r="M2" s="3"/>
      <c r="N2" s="3"/>
      <c r="O2" s="3"/>
      <c r="P2" s="3"/>
      <c r="Q2" s="3"/>
      <c r="R2" s="3"/>
      <c r="S2" s="3"/>
      <c r="T2" s="9"/>
      <c r="U2" s="3"/>
      <c r="V2" s="3"/>
      <c r="W2" s="10"/>
      <c r="X2" s="3"/>
      <c r="Y2" s="3"/>
      <c r="Z2" s="3"/>
      <c r="AA2" s="10"/>
      <c r="AB2" s="3"/>
      <c r="AC2" s="3"/>
      <c r="AD2" s="3"/>
      <c r="AE2" s="10"/>
      <c r="AF2" s="3"/>
      <c r="AG2" s="3"/>
      <c r="AH2" s="3"/>
      <c r="AI2" s="10"/>
      <c r="AJ2" s="3"/>
      <c r="AK2" s="3"/>
      <c r="AL2" s="3"/>
      <c r="AM2" s="10"/>
      <c r="AN2" s="3"/>
      <c r="AO2" s="3"/>
      <c r="AP2" s="3"/>
      <c r="AQ2" s="10"/>
      <c r="AR2" s="3"/>
      <c r="AS2" s="3"/>
      <c r="AT2" s="3"/>
      <c r="AU2" s="10"/>
      <c r="AV2" s="3"/>
      <c r="AW2" s="3"/>
      <c r="AX2" s="3"/>
      <c r="AY2" s="10"/>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4"/>
    </row>
    <row r="3" spans="1:86" ht="11.25" customHeight="1">
      <c r="A3" s="3" t="s">
        <v>199</v>
      </c>
      <c r="B3" s="3"/>
      <c r="C3" s="3"/>
      <c r="D3" s="3"/>
      <c r="E3" s="3"/>
      <c r="F3" s="3"/>
      <c r="G3" s="3"/>
      <c r="H3" s="3"/>
      <c r="I3" s="3"/>
      <c r="J3" s="9"/>
      <c r="K3" s="3"/>
      <c r="L3" s="3"/>
      <c r="M3" s="3"/>
      <c r="N3" s="3"/>
      <c r="O3" s="3"/>
      <c r="P3" s="3"/>
      <c r="Q3" s="3"/>
      <c r="R3" s="3"/>
      <c r="S3" s="3"/>
      <c r="T3" s="9"/>
      <c r="U3" s="3"/>
      <c r="V3" s="3"/>
      <c r="W3" s="10"/>
      <c r="X3" s="3"/>
      <c r="Y3" s="3"/>
      <c r="Z3" s="3"/>
      <c r="AA3" s="10"/>
      <c r="AB3" s="3"/>
      <c r="AC3" s="3"/>
      <c r="AD3" s="3"/>
      <c r="AE3" s="10"/>
      <c r="AF3" s="3"/>
      <c r="AG3" s="3"/>
      <c r="AH3" s="3"/>
      <c r="AI3" s="10"/>
      <c r="AJ3" s="3"/>
      <c r="AK3" s="3"/>
      <c r="AL3" s="3"/>
      <c r="AM3" s="10"/>
      <c r="AN3" s="3"/>
      <c r="AO3" s="3"/>
      <c r="AP3" s="3"/>
      <c r="AQ3" s="10"/>
      <c r="AR3" s="3"/>
      <c r="AS3" s="3"/>
      <c r="AT3" s="3"/>
      <c r="AU3" s="10"/>
      <c r="AV3" s="3"/>
      <c r="AW3" s="3"/>
      <c r="AX3" s="3"/>
      <c r="AY3" s="10"/>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4"/>
    </row>
    <row r="4" spans="1:86" ht="11.25" customHeight="1">
      <c r="A4" s="19" t="s">
        <v>119</v>
      </c>
      <c r="B4" s="5"/>
      <c r="C4" s="5">
        <v>2001</v>
      </c>
      <c r="D4" s="5">
        <v>2002</v>
      </c>
      <c r="E4" s="5">
        <v>2003</v>
      </c>
      <c r="F4" s="5">
        <v>2004</v>
      </c>
      <c r="G4" s="5">
        <v>2005</v>
      </c>
      <c r="H4" s="5">
        <v>2006</v>
      </c>
      <c r="I4" s="5">
        <v>2007</v>
      </c>
      <c r="J4" s="5">
        <v>2008</v>
      </c>
      <c r="K4" s="5" t="s">
        <v>120</v>
      </c>
      <c r="L4" s="5" t="s">
        <v>121</v>
      </c>
      <c r="M4" s="5" t="s">
        <v>122</v>
      </c>
      <c r="N4" s="5" t="s">
        <v>123</v>
      </c>
      <c r="O4" s="5" t="s">
        <v>186</v>
      </c>
      <c r="P4" s="5" t="s">
        <v>187</v>
      </c>
      <c r="Q4" s="5" t="s">
        <v>184</v>
      </c>
      <c r="R4" s="8"/>
      <c r="S4" s="8"/>
      <c r="T4" s="5" t="s">
        <v>200</v>
      </c>
      <c r="U4" s="5" t="s">
        <v>201</v>
      </c>
      <c r="V4" s="5" t="s">
        <v>202</v>
      </c>
      <c r="W4" s="5" t="s">
        <v>203</v>
      </c>
      <c r="X4" s="5" t="s">
        <v>204</v>
      </c>
      <c r="Y4" s="5" t="s">
        <v>205</v>
      </c>
      <c r="Z4" s="5" t="s">
        <v>206</v>
      </c>
      <c r="AA4" s="5" t="s">
        <v>207</v>
      </c>
      <c r="AB4" s="5" t="s">
        <v>208</v>
      </c>
      <c r="AC4" s="5" t="s">
        <v>209</v>
      </c>
      <c r="AD4" s="5" t="s">
        <v>210</v>
      </c>
      <c r="AE4" s="5" t="s">
        <v>211</v>
      </c>
      <c r="AF4" s="5" t="s">
        <v>212</v>
      </c>
      <c r="AG4" s="5" t="s">
        <v>213</v>
      </c>
      <c r="AH4" s="5" t="s">
        <v>214</v>
      </c>
      <c r="AI4" s="5" t="s">
        <v>215</v>
      </c>
      <c r="AJ4" s="5" t="s">
        <v>216</v>
      </c>
      <c r="AK4" s="5" t="s">
        <v>217</v>
      </c>
      <c r="AL4" s="5" t="s">
        <v>218</v>
      </c>
      <c r="AM4" s="5" t="s">
        <v>219</v>
      </c>
      <c r="AN4" s="5" t="s">
        <v>220</v>
      </c>
      <c r="AO4" s="5" t="s">
        <v>221</v>
      </c>
      <c r="AP4" s="5" t="s">
        <v>222</v>
      </c>
      <c r="AQ4" s="5" t="s">
        <v>223</v>
      </c>
      <c r="AR4" s="5" t="s">
        <v>224</v>
      </c>
      <c r="AS4" s="5" t="s">
        <v>225</v>
      </c>
      <c r="AT4" s="5" t="s">
        <v>226</v>
      </c>
      <c r="AU4" s="5" t="s">
        <v>227</v>
      </c>
      <c r="AV4" s="5" t="s">
        <v>228</v>
      </c>
      <c r="AW4" s="5" t="s">
        <v>229</v>
      </c>
      <c r="AX4" s="5" t="s">
        <v>230</v>
      </c>
      <c r="AY4" s="5" t="s">
        <v>124</v>
      </c>
      <c r="AZ4" s="5" t="s">
        <v>125</v>
      </c>
      <c r="BA4" s="5" t="s">
        <v>126</v>
      </c>
      <c r="BB4" s="5" t="s">
        <v>127</v>
      </c>
      <c r="BC4" s="5" t="s">
        <v>128</v>
      </c>
      <c r="BD4" s="29"/>
      <c r="BE4" s="8"/>
      <c r="BF4" s="8"/>
      <c r="BG4" s="8"/>
      <c r="BH4" s="8"/>
      <c r="BI4" s="8"/>
      <c r="BJ4" s="8"/>
      <c r="BK4" s="8"/>
      <c r="BL4" s="8"/>
      <c r="BM4" s="8"/>
      <c r="BN4" s="8"/>
      <c r="BO4" s="8"/>
      <c r="BP4" s="8"/>
      <c r="BQ4" s="8"/>
      <c r="BR4" s="18"/>
      <c r="BS4" s="18"/>
      <c r="BT4" s="18"/>
      <c r="BU4" s="18"/>
      <c r="BV4" s="18"/>
      <c r="BW4" s="18"/>
      <c r="BX4" s="18"/>
      <c r="BY4" s="18"/>
      <c r="BZ4" s="18"/>
      <c r="CA4" s="18"/>
      <c r="CB4" s="18"/>
      <c r="CC4" s="18"/>
      <c r="CD4" s="18"/>
      <c r="CE4" s="18"/>
      <c r="CF4" s="18"/>
      <c r="CG4" s="18"/>
      <c r="CH4" s="138"/>
    </row>
    <row r="5" spans="1:86" ht="11.25" customHeight="1">
      <c r="A5" s="2" t="s">
        <v>29</v>
      </c>
      <c r="B5" s="3"/>
      <c r="C5" s="3"/>
      <c r="D5" s="3"/>
      <c r="E5" s="3"/>
      <c r="F5" s="3"/>
      <c r="G5" s="3"/>
      <c r="H5" s="3"/>
      <c r="I5" s="3"/>
      <c r="J5" s="9"/>
      <c r="K5" s="3"/>
      <c r="L5" s="3"/>
      <c r="M5" s="3"/>
      <c r="N5" s="3"/>
      <c r="O5" s="3"/>
      <c r="P5" s="3"/>
      <c r="Q5" s="3"/>
      <c r="R5" s="3"/>
      <c r="S5" s="3"/>
      <c r="T5" s="9"/>
      <c r="U5" s="3"/>
      <c r="V5" s="3"/>
      <c r="W5" s="10"/>
      <c r="X5" s="3"/>
      <c r="Y5" s="3"/>
      <c r="Z5" s="3"/>
      <c r="AA5" s="10"/>
      <c r="AB5" s="3"/>
      <c r="AC5" s="3"/>
      <c r="AD5" s="3"/>
      <c r="AE5" s="10"/>
      <c r="AF5" s="3"/>
      <c r="AG5" s="3"/>
      <c r="AH5" s="3"/>
      <c r="AI5" s="10"/>
      <c r="AJ5" s="3"/>
      <c r="AK5" s="3"/>
      <c r="AL5" s="3"/>
      <c r="AM5" s="10"/>
      <c r="AN5" s="3"/>
      <c r="AO5" s="3"/>
      <c r="AP5" s="3"/>
      <c r="AQ5" s="10"/>
      <c r="AR5" s="3"/>
      <c r="AS5" s="3"/>
      <c r="AT5" s="3"/>
      <c r="AU5" s="10"/>
      <c r="AV5" s="3"/>
      <c r="AW5" s="3"/>
      <c r="AX5" s="3"/>
      <c r="AY5" s="10"/>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4"/>
    </row>
    <row r="6" spans="1:86" ht="11.25" customHeight="1">
      <c r="A6" s="3" t="s">
        <v>129</v>
      </c>
      <c r="B6" s="3"/>
      <c r="C6" s="13" t="e">
        <f>#REF!</f>
        <v>#REF!</v>
      </c>
      <c r="D6" s="13" t="e">
        <f>#REF!</f>
        <v>#REF!</v>
      </c>
      <c r="E6" s="13" t="e">
        <f>#REF!</f>
        <v>#REF!</v>
      </c>
      <c r="F6" s="13" t="e">
        <f>#REF!</f>
        <v>#REF!</v>
      </c>
      <c r="G6" s="13" t="e">
        <f>#REF!</f>
        <v>#REF!</v>
      </c>
      <c r="H6" s="13" t="e">
        <f>#REF!</f>
        <v>#REF!</v>
      </c>
      <c r="I6" s="13" t="e">
        <f>#REF!</f>
        <v>#REF!</v>
      </c>
      <c r="J6" s="15" t="e">
        <f>#REF!</f>
        <v>#REF!</v>
      </c>
      <c r="K6" s="13" t="e">
        <f>#REF!</f>
        <v>#REF!</v>
      </c>
      <c r="L6" s="13" t="e">
        <f>#REF!</f>
        <v>#REF!</v>
      </c>
      <c r="M6" s="13" t="e">
        <f>#REF!</f>
        <v>#REF!</v>
      </c>
      <c r="N6" s="13" t="e">
        <f>#REF!</f>
        <v>#REF!</v>
      </c>
      <c r="O6" s="13" t="e">
        <f>#REF!</f>
        <v>#REF!</v>
      </c>
      <c r="P6" s="13" t="e">
        <f>#REF!</f>
        <v>#REF!</v>
      </c>
      <c r="Q6" s="13" t="e">
        <f>#REF!</f>
        <v>#REF!</v>
      </c>
      <c r="R6" s="3"/>
      <c r="S6" s="3"/>
      <c r="T6" s="15" t="e">
        <f>#REF!</f>
        <v>#REF!</v>
      </c>
      <c r="U6" s="13" t="e">
        <f>#REF!</f>
        <v>#REF!</v>
      </c>
      <c r="V6" s="13" t="e">
        <f>#REF!</f>
        <v>#REF!</v>
      </c>
      <c r="W6" s="14" t="e">
        <f>#REF!</f>
        <v>#REF!</v>
      </c>
      <c r="X6" s="13" t="e">
        <f>#REF!</f>
        <v>#REF!</v>
      </c>
      <c r="Y6" s="13" t="e">
        <f>#REF!</f>
        <v>#REF!</v>
      </c>
      <c r="Z6" s="13" t="e">
        <f>#REF!</f>
        <v>#REF!</v>
      </c>
      <c r="AA6" s="14" t="e">
        <f>#REF!</f>
        <v>#REF!</v>
      </c>
      <c r="AB6" s="13" t="e">
        <f>#REF!</f>
        <v>#REF!</v>
      </c>
      <c r="AC6" s="13" t="e">
        <f>#REF!</f>
        <v>#REF!</v>
      </c>
      <c r="AD6" s="13" t="e">
        <f>#REF!</f>
        <v>#REF!</v>
      </c>
      <c r="AE6" s="14" t="e">
        <f>#REF!</f>
        <v>#REF!</v>
      </c>
      <c r="AF6" s="13" t="e">
        <f>#REF!</f>
        <v>#REF!</v>
      </c>
      <c r="AG6" s="13" t="e">
        <f>#REF!</f>
        <v>#REF!</v>
      </c>
      <c r="AH6" s="13" t="e">
        <f>#REF!</f>
        <v>#REF!</v>
      </c>
      <c r="AI6" s="14" t="e">
        <f>#REF!</f>
        <v>#REF!</v>
      </c>
      <c r="AJ6" s="13" t="e">
        <f>#REF!</f>
        <v>#REF!</v>
      </c>
      <c r="AK6" s="13" t="e">
        <f>#REF!</f>
        <v>#REF!</v>
      </c>
      <c r="AL6" s="13" t="e">
        <f>#REF!</f>
        <v>#REF!</v>
      </c>
      <c r="AM6" s="14" t="e">
        <f>#REF!</f>
        <v>#REF!</v>
      </c>
      <c r="AN6" s="13" t="e">
        <f>#REF!</f>
        <v>#REF!</v>
      </c>
      <c r="AO6" s="13" t="e">
        <f>#REF!</f>
        <v>#REF!</v>
      </c>
      <c r="AP6" s="13" t="e">
        <f>#REF!</f>
        <v>#REF!</v>
      </c>
      <c r="AQ6" s="14" t="e">
        <f>#REF!</f>
        <v>#REF!</v>
      </c>
      <c r="AR6" s="13" t="e">
        <f>#REF!</f>
        <v>#REF!</v>
      </c>
      <c r="AS6" s="13" t="e">
        <f>#REF!</f>
        <v>#REF!</v>
      </c>
      <c r="AT6" s="13" t="e">
        <f>#REF!</f>
        <v>#REF!</v>
      </c>
      <c r="AU6" s="14" t="e">
        <f>#REF!</f>
        <v>#REF!</v>
      </c>
      <c r="AV6" s="13" t="e">
        <f>#REF!</f>
        <v>#REF!</v>
      </c>
      <c r="AW6" s="13" t="e">
        <f>#REF!</f>
        <v>#REF!</v>
      </c>
      <c r="AX6" s="13" t="e">
        <f>#REF!</f>
        <v>#REF!</v>
      </c>
      <c r="AY6" s="14" t="e">
        <f>#REF!</f>
        <v>#REF!</v>
      </c>
      <c r="AZ6" s="13" t="e">
        <f>#REF!</f>
        <v>#REF!</v>
      </c>
      <c r="BA6" s="13" t="e">
        <f>#REF!</f>
        <v>#REF!</v>
      </c>
      <c r="BB6" s="13" t="e">
        <f>#REF!</f>
        <v>#REF!</v>
      </c>
      <c r="BC6" s="13" t="e">
        <f>#REF!</f>
        <v>#REF!</v>
      </c>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4"/>
    </row>
    <row r="7" spans="1:86" ht="11.25" customHeight="1">
      <c r="A7" s="3" t="s">
        <v>130</v>
      </c>
      <c r="B7" s="3"/>
      <c r="C7" s="7" t="e">
        <f>#REF!</f>
        <v>#REF!</v>
      </c>
      <c r="D7" s="7" t="e">
        <f>#REF!</f>
        <v>#REF!</v>
      </c>
      <c r="E7" s="7" t="e">
        <f>#REF!</f>
        <v>#REF!</v>
      </c>
      <c r="F7" s="7" t="e">
        <f>#REF!</f>
        <v>#REF!</v>
      </c>
      <c r="G7" s="7" t="e">
        <f>#REF!</f>
        <v>#REF!</v>
      </c>
      <c r="H7" s="7" t="e">
        <f>#REF!</f>
        <v>#REF!</v>
      </c>
      <c r="I7" s="7" t="e">
        <f>#REF!</f>
        <v>#REF!</v>
      </c>
      <c r="J7" s="25" t="e">
        <f>#REF!</f>
        <v>#REF!</v>
      </c>
      <c r="K7" s="7" t="e">
        <f>#REF!</f>
        <v>#REF!</v>
      </c>
      <c r="L7" s="7" t="e">
        <f>#REF!</f>
        <v>#REF!</v>
      </c>
      <c r="M7" s="7" t="e">
        <f>#REF!</f>
        <v>#REF!</v>
      </c>
      <c r="N7" s="7" t="e">
        <f>#REF!</f>
        <v>#REF!</v>
      </c>
      <c r="O7" s="7" t="e">
        <f>#REF!</f>
        <v>#REF!</v>
      </c>
      <c r="P7" s="7" t="e">
        <f>#REF!</f>
        <v>#REF!</v>
      </c>
      <c r="Q7" s="7" t="e">
        <f>#REF!</f>
        <v>#REF!</v>
      </c>
      <c r="R7" s="3"/>
      <c r="S7" s="3"/>
      <c r="T7" s="139" t="e">
        <f>#REF!</f>
        <v>#REF!</v>
      </c>
      <c r="U7" s="140" t="e">
        <f>#REF!</f>
        <v>#REF!</v>
      </c>
      <c r="V7" s="140" t="e">
        <f>#REF!</f>
        <v>#REF!</v>
      </c>
      <c r="W7" s="141" t="e">
        <f>#REF!</f>
        <v>#REF!</v>
      </c>
      <c r="X7" s="140" t="e">
        <f>#REF!</f>
        <v>#REF!</v>
      </c>
      <c r="Y7" s="140" t="e">
        <f>#REF!</f>
        <v>#REF!</v>
      </c>
      <c r="Z7" s="140" t="e">
        <f>#REF!</f>
        <v>#REF!</v>
      </c>
      <c r="AA7" s="141" t="e">
        <f>#REF!</f>
        <v>#REF!</v>
      </c>
      <c r="AB7" s="140" t="e">
        <f>#REF!</f>
        <v>#REF!</v>
      </c>
      <c r="AC7" s="140" t="e">
        <f>#REF!</f>
        <v>#REF!</v>
      </c>
      <c r="AD7" s="140" t="e">
        <f>#REF!</f>
        <v>#REF!</v>
      </c>
      <c r="AE7" s="141" t="e">
        <f>#REF!</f>
        <v>#REF!</v>
      </c>
      <c r="AF7" s="140" t="e">
        <f>#REF!</f>
        <v>#REF!</v>
      </c>
      <c r="AG7" s="140" t="e">
        <f>#REF!</f>
        <v>#REF!</v>
      </c>
      <c r="AH7" s="140" t="e">
        <f>#REF!</f>
        <v>#REF!</v>
      </c>
      <c r="AI7" s="141" t="e">
        <f>#REF!</f>
        <v>#REF!</v>
      </c>
      <c r="AJ7" s="140" t="e">
        <f>#REF!</f>
        <v>#REF!</v>
      </c>
      <c r="AK7" s="140" t="e">
        <f>#REF!</f>
        <v>#REF!</v>
      </c>
      <c r="AL7" s="140" t="e">
        <f>#REF!</f>
        <v>#REF!</v>
      </c>
      <c r="AM7" s="141" t="e">
        <f>#REF!</f>
        <v>#REF!</v>
      </c>
      <c r="AN7" s="140" t="e">
        <f>#REF!</f>
        <v>#REF!</v>
      </c>
      <c r="AO7" s="140" t="e">
        <f>#REF!</f>
        <v>#REF!</v>
      </c>
      <c r="AP7" s="140" t="e">
        <f>#REF!</f>
        <v>#REF!</v>
      </c>
      <c r="AQ7" s="141" t="e">
        <f>#REF!</f>
        <v>#REF!</v>
      </c>
      <c r="AR7" s="140" t="e">
        <f>#REF!</f>
        <v>#REF!</v>
      </c>
      <c r="AS7" s="140" t="e">
        <f>#REF!</f>
        <v>#REF!</v>
      </c>
      <c r="AT7" s="140" t="e">
        <f>#REF!</f>
        <v>#REF!</v>
      </c>
      <c r="AU7" s="141" t="e">
        <f>#REF!</f>
        <v>#REF!</v>
      </c>
      <c r="AV7" s="140" t="e">
        <f>#REF!</f>
        <v>#REF!</v>
      </c>
      <c r="AW7" s="140" t="e">
        <f>#REF!</f>
        <v>#REF!</v>
      </c>
      <c r="AX7" s="140" t="e">
        <f>#REF!</f>
        <v>#REF!</v>
      </c>
      <c r="AY7" s="141" t="e">
        <f>#REF!</f>
        <v>#REF!</v>
      </c>
      <c r="AZ7" s="140" t="e">
        <f>#REF!</f>
        <v>#REF!</v>
      </c>
      <c r="BA7" s="140" t="e">
        <f>#REF!</f>
        <v>#REF!</v>
      </c>
      <c r="BB7" s="140" t="e">
        <f>#REF!</f>
        <v>#REF!</v>
      </c>
      <c r="BC7" s="140" t="e">
        <f>#REF!</f>
        <v>#REF!</v>
      </c>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4"/>
    </row>
    <row r="8" spans="1:86" ht="11.25" customHeight="1">
      <c r="A8" s="3" t="s">
        <v>131</v>
      </c>
      <c r="B8" s="3"/>
      <c r="C8" s="12">
        <v>0</v>
      </c>
      <c r="D8" s="12">
        <f>AA8</f>
        <v>0.19536073059360731</v>
      </c>
      <c r="E8" s="12">
        <f>AE8</f>
        <v>0.19349152542372883</v>
      </c>
      <c r="F8" s="12">
        <v>0.16818275862068965</v>
      </c>
      <c r="G8" s="12">
        <v>0.18416326530612245</v>
      </c>
      <c r="H8" s="12">
        <v>0.20595270270270269</v>
      </c>
      <c r="I8" s="12">
        <v>0.2342876254180602</v>
      </c>
      <c r="J8" s="11">
        <v>0.25331907894736844</v>
      </c>
      <c r="K8" s="12">
        <v>0.28000000000000003</v>
      </c>
      <c r="L8" s="12">
        <v>0.31426315789473686</v>
      </c>
      <c r="M8" s="12">
        <v>0.33962828947368423</v>
      </c>
      <c r="N8" s="12">
        <v>0.35183223684210524</v>
      </c>
      <c r="O8" s="12">
        <v>0.36307894736842106</v>
      </c>
      <c r="P8" s="12">
        <v>0.39655921052631576</v>
      </c>
      <c r="Q8" s="12">
        <v>0.42452357122450973</v>
      </c>
      <c r="R8" s="3"/>
      <c r="S8" s="3"/>
      <c r="T8" s="11">
        <v>0</v>
      </c>
      <c r="U8" s="12">
        <v>0</v>
      </c>
      <c r="V8" s="12">
        <v>0</v>
      </c>
      <c r="W8" s="16">
        <v>0</v>
      </c>
      <c r="X8" s="12">
        <v>0.18888584474885844</v>
      </c>
      <c r="Y8" s="12">
        <v>0.19240182648401827</v>
      </c>
      <c r="Z8" s="12">
        <v>0.19283105022831051</v>
      </c>
      <c r="AA8" s="16">
        <v>0.19536073059360731</v>
      </c>
      <c r="AB8" s="12">
        <v>0.18280851063829787</v>
      </c>
      <c r="AC8" s="12">
        <v>0.18578813559322033</v>
      </c>
      <c r="AD8" s="12">
        <v>0.1903813559322034</v>
      </c>
      <c r="AE8" s="16">
        <v>0.19349152542372883</v>
      </c>
      <c r="AF8" s="12">
        <v>0.19147083333333334</v>
      </c>
      <c r="AG8" s="12">
        <v>0.19096296296296297</v>
      </c>
      <c r="AH8" s="12">
        <v>0.19414403292181071</v>
      </c>
      <c r="AI8" s="16">
        <v>0.16818275862068965</v>
      </c>
      <c r="AJ8" s="12">
        <v>0.17243150684931507</v>
      </c>
      <c r="AK8" s="12">
        <v>0.17617123287671232</v>
      </c>
      <c r="AL8" s="12">
        <v>0.17786394557823129</v>
      </c>
      <c r="AM8" s="16">
        <v>0.18416326530612245</v>
      </c>
      <c r="AN8" s="12">
        <v>0.1885472972972973</v>
      </c>
      <c r="AO8" s="12">
        <v>0.19360810810810811</v>
      </c>
      <c r="AP8" s="12">
        <v>0.19819594594594594</v>
      </c>
      <c r="AQ8" s="16">
        <v>0.20595270270270269</v>
      </c>
      <c r="AR8" s="12">
        <v>0.21019256756756757</v>
      </c>
      <c r="AS8" s="12">
        <v>0.21295317725752508</v>
      </c>
      <c r="AT8" s="12">
        <v>0.21961872909698996</v>
      </c>
      <c r="AU8" s="16">
        <v>0.2342876254180602</v>
      </c>
      <c r="AV8" s="12">
        <v>0.23475986842105262</v>
      </c>
      <c r="AW8" s="12">
        <v>0.23974342105263158</v>
      </c>
      <c r="AX8" s="12">
        <v>0.24628618421052631</v>
      </c>
      <c r="AY8" s="16">
        <v>0.25331907894736844</v>
      </c>
      <c r="AZ8" s="12">
        <v>0.25734210526315787</v>
      </c>
      <c r="BA8" s="12">
        <v>0.26184210526315788</v>
      </c>
      <c r="BB8" s="12">
        <v>0.26840789473684212</v>
      </c>
      <c r="BC8" s="12">
        <v>0.28000000000000003</v>
      </c>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4"/>
    </row>
    <row r="9" spans="1:86" ht="11.25" customHeight="1">
      <c r="A9" s="3" t="s">
        <v>132</v>
      </c>
      <c r="B9" s="3"/>
      <c r="C9" s="13" t="e">
        <f>#REF!</f>
        <v>#REF!</v>
      </c>
      <c r="D9" s="13" t="e">
        <f>#REF!</f>
        <v>#REF!</v>
      </c>
      <c r="E9" s="13" t="e">
        <f>#REF!</f>
        <v>#REF!</v>
      </c>
      <c r="F9" s="13" t="e">
        <f>#REF!</f>
        <v>#REF!</v>
      </c>
      <c r="G9" s="13" t="e">
        <f>#REF!</f>
        <v>#REF!</v>
      </c>
      <c r="H9" s="13" t="e">
        <f>#REF!</f>
        <v>#REF!</v>
      </c>
      <c r="I9" s="13" t="e">
        <f>#REF!</f>
        <v>#REF!</v>
      </c>
      <c r="J9" s="15" t="e">
        <f>#REF!</f>
        <v>#REF!</v>
      </c>
      <c r="K9" s="13" t="e">
        <f>#REF!</f>
        <v>#REF!</v>
      </c>
      <c r="L9" s="13" t="e">
        <f>#REF!</f>
        <v>#REF!</v>
      </c>
      <c r="M9" s="13" t="e">
        <f>#REF!</f>
        <v>#REF!</v>
      </c>
      <c r="N9" s="13" t="e">
        <f>#REF!</f>
        <v>#REF!</v>
      </c>
      <c r="O9" s="13" t="e">
        <f>#REF!</f>
        <v>#REF!</v>
      </c>
      <c r="P9" s="13" t="e">
        <f>#REF!</f>
        <v>#REF!</v>
      </c>
      <c r="Q9" s="13" t="e">
        <f>#REF!</f>
        <v>#REF!</v>
      </c>
      <c r="R9" s="3"/>
      <c r="S9" s="3"/>
      <c r="T9" s="15" t="e">
        <f>#REF!</f>
        <v>#REF!</v>
      </c>
      <c r="U9" s="13" t="e">
        <f>#REF!</f>
        <v>#REF!</v>
      </c>
      <c r="V9" s="13" t="e">
        <f>#REF!</f>
        <v>#REF!</v>
      </c>
      <c r="W9" s="14" t="e">
        <f>#REF!</f>
        <v>#REF!</v>
      </c>
      <c r="X9" s="13" t="e">
        <f>#REF!</f>
        <v>#REF!</v>
      </c>
      <c r="Y9" s="13" t="e">
        <f>#REF!</f>
        <v>#REF!</v>
      </c>
      <c r="Z9" s="13" t="e">
        <f>#REF!</f>
        <v>#REF!</v>
      </c>
      <c r="AA9" s="14" t="e">
        <f>#REF!</f>
        <v>#REF!</v>
      </c>
      <c r="AB9" s="13" t="e">
        <f>#REF!</f>
        <v>#REF!</v>
      </c>
      <c r="AC9" s="13" t="e">
        <f>#REF!</f>
        <v>#REF!</v>
      </c>
      <c r="AD9" s="13" t="e">
        <f>#REF!</f>
        <v>#REF!</v>
      </c>
      <c r="AE9" s="14" t="e">
        <f>#REF!</f>
        <v>#REF!</v>
      </c>
      <c r="AF9" s="13" t="e">
        <f>#REF!</f>
        <v>#REF!</v>
      </c>
      <c r="AG9" s="13" t="e">
        <f>#REF!</f>
        <v>#REF!</v>
      </c>
      <c r="AH9" s="13" t="e">
        <f>#REF!</f>
        <v>#REF!</v>
      </c>
      <c r="AI9" s="14" t="e">
        <f>#REF!</f>
        <v>#REF!</v>
      </c>
      <c r="AJ9" s="13" t="e">
        <f>#REF!</f>
        <v>#REF!</v>
      </c>
      <c r="AK9" s="13" t="e">
        <f>#REF!</f>
        <v>#REF!</v>
      </c>
      <c r="AL9" s="13" t="e">
        <f>#REF!</f>
        <v>#REF!</v>
      </c>
      <c r="AM9" s="14" t="e">
        <f>#REF!</f>
        <v>#REF!</v>
      </c>
      <c r="AN9" s="13" t="e">
        <f>#REF!</f>
        <v>#REF!</v>
      </c>
      <c r="AO9" s="13" t="e">
        <f>#REF!</f>
        <v>#REF!</v>
      </c>
      <c r="AP9" s="13" t="e">
        <f>#REF!</f>
        <v>#REF!</v>
      </c>
      <c r="AQ9" s="14" t="e">
        <f>#REF!</f>
        <v>#REF!</v>
      </c>
      <c r="AR9" s="13" t="e">
        <f>#REF!</f>
        <v>#REF!</v>
      </c>
      <c r="AS9" s="13" t="e">
        <f>#REF!</f>
        <v>#REF!</v>
      </c>
      <c r="AT9" s="13" t="e">
        <f>#REF!</f>
        <v>#REF!</v>
      </c>
      <c r="AU9" s="14" t="e">
        <f>#REF!</f>
        <v>#REF!</v>
      </c>
      <c r="AV9" s="13" t="e">
        <f>#REF!</f>
        <v>#REF!</v>
      </c>
      <c r="AW9" s="13" t="e">
        <f>#REF!</f>
        <v>#REF!</v>
      </c>
      <c r="AX9" s="13" t="e">
        <f>#REF!</f>
        <v>#REF!</v>
      </c>
      <c r="AY9" s="14" t="e">
        <f>#REF!</f>
        <v>#REF!</v>
      </c>
      <c r="AZ9" s="13" t="e">
        <f>#REF!</f>
        <v>#REF!</v>
      </c>
      <c r="BA9" s="13" t="e">
        <f>#REF!</f>
        <v>#REF!</v>
      </c>
      <c r="BB9" s="13" t="e">
        <f>#REF!</f>
        <v>#REF!</v>
      </c>
      <c r="BC9" s="13" t="e">
        <f>#REF!</f>
        <v>#REF!</v>
      </c>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4"/>
    </row>
    <row r="10" spans="1:86" ht="11.25" customHeight="1">
      <c r="A10" s="3" t="s">
        <v>133</v>
      </c>
      <c r="B10" s="3"/>
      <c r="C10" s="13" t="e">
        <f>#REF!</f>
        <v>#REF!</v>
      </c>
      <c r="D10" s="13" t="e">
        <f>#REF!</f>
        <v>#REF!</v>
      </c>
      <c r="E10" s="13" t="e">
        <f>#REF!</f>
        <v>#REF!</v>
      </c>
      <c r="F10" s="13" t="e">
        <f>#REF!</f>
        <v>#REF!</v>
      </c>
      <c r="G10" s="13" t="e">
        <f>#REF!</f>
        <v>#REF!</v>
      </c>
      <c r="H10" s="13" t="e">
        <f>#REF!</f>
        <v>#REF!</v>
      </c>
      <c r="I10" s="13" t="e">
        <f>#REF!</f>
        <v>#REF!</v>
      </c>
      <c r="J10" s="15" t="e">
        <f>#REF!</f>
        <v>#REF!</v>
      </c>
      <c r="K10" s="13" t="e">
        <f>#REF!</f>
        <v>#REF!</v>
      </c>
      <c r="L10" s="13" t="e">
        <f>#REF!</f>
        <v>#REF!</v>
      </c>
      <c r="M10" s="13" t="e">
        <f>#REF!</f>
        <v>#REF!</v>
      </c>
      <c r="N10" s="13" t="e">
        <f>#REF!</f>
        <v>#REF!</v>
      </c>
      <c r="O10" s="13" t="e">
        <f>#REF!</f>
        <v>#REF!</v>
      </c>
      <c r="P10" s="13" t="e">
        <f>#REF!</f>
        <v>#REF!</v>
      </c>
      <c r="Q10" s="13" t="e">
        <f>#REF!</f>
        <v>#REF!</v>
      </c>
      <c r="R10" s="3"/>
      <c r="S10" s="3"/>
      <c r="T10" s="15" t="e">
        <f>#REF!</f>
        <v>#REF!</v>
      </c>
      <c r="U10" s="13" t="e">
        <f>#REF!</f>
        <v>#REF!</v>
      </c>
      <c r="V10" s="13" t="e">
        <f>#REF!</f>
        <v>#REF!</v>
      </c>
      <c r="W10" s="14" t="e">
        <f>#REF!</f>
        <v>#REF!</v>
      </c>
      <c r="X10" s="13" t="e">
        <f>#REF!</f>
        <v>#REF!</v>
      </c>
      <c r="Y10" s="13" t="e">
        <f>#REF!</f>
        <v>#REF!</v>
      </c>
      <c r="Z10" s="13" t="e">
        <f>#REF!</f>
        <v>#REF!</v>
      </c>
      <c r="AA10" s="14" t="e">
        <f>#REF!</f>
        <v>#REF!</v>
      </c>
      <c r="AB10" s="13" t="e">
        <f>#REF!</f>
        <v>#REF!</v>
      </c>
      <c r="AC10" s="13" t="e">
        <f>#REF!</f>
        <v>#REF!</v>
      </c>
      <c r="AD10" s="13" t="e">
        <f>#REF!</f>
        <v>#REF!</v>
      </c>
      <c r="AE10" s="14" t="e">
        <f>#REF!</f>
        <v>#REF!</v>
      </c>
      <c r="AF10" s="13" t="e">
        <f>#REF!</f>
        <v>#REF!</v>
      </c>
      <c r="AG10" s="13" t="e">
        <f>#REF!</f>
        <v>#REF!</v>
      </c>
      <c r="AH10" s="13" t="e">
        <f>#REF!</f>
        <v>#REF!</v>
      </c>
      <c r="AI10" s="14" t="e">
        <f>#REF!</f>
        <v>#REF!</v>
      </c>
      <c r="AJ10" s="13" t="e">
        <f>#REF!</f>
        <v>#REF!</v>
      </c>
      <c r="AK10" s="13" t="e">
        <f>#REF!</f>
        <v>#REF!</v>
      </c>
      <c r="AL10" s="13" t="e">
        <f>#REF!</f>
        <v>#REF!</v>
      </c>
      <c r="AM10" s="14" t="e">
        <f>#REF!</f>
        <v>#REF!</v>
      </c>
      <c r="AN10" s="13" t="e">
        <f>#REF!</f>
        <v>#REF!</v>
      </c>
      <c r="AO10" s="13" t="e">
        <f>#REF!</f>
        <v>#REF!</v>
      </c>
      <c r="AP10" s="13" t="e">
        <f>#REF!</f>
        <v>#REF!</v>
      </c>
      <c r="AQ10" s="14" t="e">
        <f>#REF!</f>
        <v>#REF!</v>
      </c>
      <c r="AR10" s="13" t="e">
        <f>#REF!</f>
        <v>#REF!</v>
      </c>
      <c r="AS10" s="13" t="e">
        <f>#REF!</f>
        <v>#REF!</v>
      </c>
      <c r="AT10" s="13" t="e">
        <f>#REF!</f>
        <v>#REF!</v>
      </c>
      <c r="AU10" s="14" t="e">
        <f>#REF!</f>
        <v>#REF!</v>
      </c>
      <c r="AV10" s="13" t="e">
        <f>#REF!</f>
        <v>#REF!</v>
      </c>
      <c r="AW10" s="13" t="e">
        <f>#REF!</f>
        <v>#REF!</v>
      </c>
      <c r="AX10" s="13" t="e">
        <f>#REF!</f>
        <v>#REF!</v>
      </c>
      <c r="AY10" s="14" t="e">
        <f>#REF!</f>
        <v>#REF!</v>
      </c>
      <c r="AZ10" s="13" t="e">
        <f>#REF!</f>
        <v>#REF!</v>
      </c>
      <c r="BA10" s="13" t="e">
        <f>#REF!</f>
        <v>#REF!</v>
      </c>
      <c r="BB10" s="13" t="e">
        <f>#REF!</f>
        <v>#REF!</v>
      </c>
      <c r="BC10" s="13" t="e">
        <f>#REF!</f>
        <v>#REF!</v>
      </c>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4"/>
    </row>
    <row r="11" spans="1:86" ht="11.25" customHeight="1">
      <c r="A11" s="2" t="s">
        <v>191</v>
      </c>
      <c r="B11" s="3"/>
      <c r="C11" s="3"/>
      <c r="D11" s="3"/>
      <c r="E11" s="3"/>
      <c r="F11" s="3"/>
      <c r="G11" s="3"/>
      <c r="H11" s="3"/>
      <c r="I11" s="3"/>
      <c r="J11" s="9"/>
      <c r="K11" s="3"/>
      <c r="L11" s="3"/>
      <c r="M11" s="3"/>
      <c r="N11" s="3"/>
      <c r="O11" s="3"/>
      <c r="P11" s="3"/>
      <c r="Q11" s="3"/>
      <c r="R11" s="3"/>
      <c r="S11" s="3"/>
      <c r="T11" s="9"/>
      <c r="U11" s="3"/>
      <c r="V11" s="3"/>
      <c r="W11" s="10"/>
      <c r="X11" s="3"/>
      <c r="Y11" s="3"/>
      <c r="Z11" s="3"/>
      <c r="AA11" s="10"/>
      <c r="AB11" s="3"/>
      <c r="AC11" s="3"/>
      <c r="AD11" s="3"/>
      <c r="AE11" s="10"/>
      <c r="AF11" s="3"/>
      <c r="AG11" s="3"/>
      <c r="AH11" s="3"/>
      <c r="AI11" s="10"/>
      <c r="AJ11" s="3"/>
      <c r="AK11" s="3"/>
      <c r="AL11" s="3"/>
      <c r="AM11" s="10"/>
      <c r="AN11" s="3"/>
      <c r="AO11" s="3"/>
      <c r="AP11" s="3"/>
      <c r="AQ11" s="10"/>
      <c r="AR11" s="3"/>
      <c r="AS11" s="3"/>
      <c r="AT11" s="3"/>
      <c r="AU11" s="10"/>
      <c r="AV11" s="3"/>
      <c r="AW11" s="3"/>
      <c r="AX11" s="3"/>
      <c r="AY11" s="10"/>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4"/>
    </row>
    <row r="12" spans="1:86" ht="11.25" customHeight="1">
      <c r="A12" s="3" t="s">
        <v>134</v>
      </c>
      <c r="B12" s="3"/>
      <c r="C12" s="12" t="e">
        <f>(#REF!*1000)/C22</f>
        <v>#REF!</v>
      </c>
      <c r="D12" s="12" t="e">
        <f>(#REF!*1000)/D22</f>
        <v>#REF!</v>
      </c>
      <c r="E12" s="12" t="e">
        <f>(#REF!*1000)/E22</f>
        <v>#REF!</v>
      </c>
      <c r="F12" s="12" t="e">
        <f>(#REF!*1000)/F22</f>
        <v>#REF!</v>
      </c>
      <c r="G12" s="12" t="e">
        <f>(#REF!*1000)/G22</f>
        <v>#REF!</v>
      </c>
      <c r="H12" s="12" t="e">
        <f>(#REF!*1000)/H22</f>
        <v>#REF!</v>
      </c>
      <c r="I12" s="12" t="e">
        <f>(#REF!*1000)/I22</f>
        <v>#REF!</v>
      </c>
      <c r="J12" s="11" t="e">
        <f>(#REF!*1000)/J22</f>
        <v>#REF!</v>
      </c>
      <c r="K12" s="12" t="e">
        <f>(#REF!*1000)/K22</f>
        <v>#REF!</v>
      </c>
      <c r="L12" s="12" t="e">
        <f>(#REF!*1000)/L22</f>
        <v>#REF!</v>
      </c>
      <c r="M12" s="12" t="e">
        <f>(#REF!*1000)/M22</f>
        <v>#REF!</v>
      </c>
      <c r="N12" s="12" t="e">
        <f>(#REF!*1000)/N22</f>
        <v>#REF!</v>
      </c>
      <c r="O12" s="12" t="e">
        <f>(#REF!*1000)/O22</f>
        <v>#REF!</v>
      </c>
      <c r="P12" s="12" t="e">
        <f>(#REF!*1000)/P22</f>
        <v>#REF!</v>
      </c>
      <c r="Q12" s="12" t="e">
        <f>(#REF!*1000)/Q22</f>
        <v>#REF!</v>
      </c>
      <c r="R12" s="12"/>
      <c r="S12" s="12"/>
      <c r="T12" s="11" t="e">
        <f>(#REF!*1000)/T22</f>
        <v>#REF!</v>
      </c>
      <c r="U12" s="12" t="e">
        <f>(#REF!*1000)/U22</f>
        <v>#REF!</v>
      </c>
      <c r="V12" s="12" t="e">
        <f>(#REF!*1000)/V22</f>
        <v>#REF!</v>
      </c>
      <c r="W12" s="16" t="e">
        <f>(#REF!*1000)/W22</f>
        <v>#REF!</v>
      </c>
      <c r="X12" s="12" t="e">
        <f>(#REF!*1000)/X22</f>
        <v>#REF!</v>
      </c>
      <c r="Y12" s="12" t="e">
        <f>(#REF!*1000)/Y22</f>
        <v>#REF!</v>
      </c>
      <c r="Z12" s="12" t="e">
        <f>(#REF!*1000)/Z22</f>
        <v>#REF!</v>
      </c>
      <c r="AA12" s="16" t="e">
        <f>(#REF!*1000)/AA22</f>
        <v>#REF!</v>
      </c>
      <c r="AB12" s="12" t="e">
        <f>(#REF!*1000)/AB22</f>
        <v>#REF!</v>
      </c>
      <c r="AC12" s="12" t="e">
        <f>(#REF!*1000)/AC22</f>
        <v>#REF!</v>
      </c>
      <c r="AD12" s="12" t="e">
        <f>(#REF!*1000)/AD22</f>
        <v>#REF!</v>
      </c>
      <c r="AE12" s="16" t="e">
        <f>(#REF!*1000)/AE22</f>
        <v>#REF!</v>
      </c>
      <c r="AF12" s="12" t="e">
        <f>(#REF!*1000)/AF22</f>
        <v>#REF!</v>
      </c>
      <c r="AG12" s="12" t="e">
        <f>(#REF!*1000)/AG22</f>
        <v>#REF!</v>
      </c>
      <c r="AH12" s="12" t="e">
        <f>(#REF!*1000)/AH22</f>
        <v>#REF!</v>
      </c>
      <c r="AI12" s="16" t="e">
        <f>(#REF!*1000)/AI22</f>
        <v>#REF!</v>
      </c>
      <c r="AJ12" s="12" t="e">
        <f>(#REF!*1000)/AJ22</f>
        <v>#REF!</v>
      </c>
      <c r="AK12" s="12" t="e">
        <f>(#REF!*1000)/AK22</f>
        <v>#REF!</v>
      </c>
      <c r="AL12" s="12" t="e">
        <f>(#REF!*1000)/AL22</f>
        <v>#REF!</v>
      </c>
      <c r="AM12" s="16" t="e">
        <f>(#REF!*1000)/AM22</f>
        <v>#REF!</v>
      </c>
      <c r="AN12" s="12" t="e">
        <f>(#REF!*1000)/AN22</f>
        <v>#REF!</v>
      </c>
      <c r="AO12" s="12" t="e">
        <f>(#REF!*1000)/AO22</f>
        <v>#REF!</v>
      </c>
      <c r="AP12" s="12" t="e">
        <f>(#REF!*1000)/AP22</f>
        <v>#REF!</v>
      </c>
      <c r="AQ12" s="16" t="e">
        <f>(#REF!*1000)/AQ22</f>
        <v>#REF!</v>
      </c>
      <c r="AR12" s="12" t="e">
        <f>(#REF!*1000)/AR22</f>
        <v>#REF!</v>
      </c>
      <c r="AS12" s="12" t="e">
        <f>(#REF!*1000)/AS22</f>
        <v>#REF!</v>
      </c>
      <c r="AT12" s="12" t="e">
        <f>(#REF!*1000)/AT22</f>
        <v>#REF!</v>
      </c>
      <c r="AU12" s="16" t="e">
        <f>(#REF!*1000)/AU22</f>
        <v>#REF!</v>
      </c>
      <c r="AV12" s="12" t="e">
        <f>(#REF!*1000)/AV22</f>
        <v>#REF!</v>
      </c>
      <c r="AW12" s="12" t="e">
        <f>(#REF!*1000)/AW22</f>
        <v>#REF!</v>
      </c>
      <c r="AX12" s="12" t="e">
        <f>(#REF!*1000)/AX22</f>
        <v>#REF!</v>
      </c>
      <c r="AY12" s="16" t="e">
        <f>(#REF!*1000)/AY22</f>
        <v>#REF!</v>
      </c>
      <c r="AZ12" s="12" t="e">
        <f>(#REF!*1000)/AZ22</f>
        <v>#REF!</v>
      </c>
      <c r="BA12" s="12" t="e">
        <f>(#REF!*1000)/BA22</f>
        <v>#REF!</v>
      </c>
      <c r="BB12" s="12" t="e">
        <f>(#REF!*1000)/BB22</f>
        <v>#REF!</v>
      </c>
      <c r="BC12" s="12" t="e">
        <f>(#REF!*1000)/BC22</f>
        <v>#REF!</v>
      </c>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4"/>
    </row>
    <row r="13" spans="1:86" ht="11.25" customHeight="1">
      <c r="A13" s="3" t="s">
        <v>135</v>
      </c>
      <c r="B13" s="3"/>
      <c r="C13" s="12" t="e">
        <f>((#REF!+#REF!+#REF!)*1000)/C22</f>
        <v>#REF!</v>
      </c>
      <c r="D13" s="12" t="e">
        <f>((#REF!+#REF!+#REF!)*1000)/D22</f>
        <v>#REF!</v>
      </c>
      <c r="E13" s="12" t="e">
        <f>((#REF!+#REF!+#REF!)*1000)/E22</f>
        <v>#REF!</v>
      </c>
      <c r="F13" s="12" t="e">
        <f>((#REF!+#REF!+#REF!)*1000)/F22</f>
        <v>#REF!</v>
      </c>
      <c r="G13" s="12" t="e">
        <f>((#REF!+#REF!+#REF!)*1000)/G22</f>
        <v>#REF!</v>
      </c>
      <c r="H13" s="12" t="e">
        <f>((#REF!+#REF!+#REF!)*1000)/H22</f>
        <v>#REF!</v>
      </c>
      <c r="I13" s="12" t="e">
        <f>((#REF!+#REF!+#REF!)*1000)/I22</f>
        <v>#REF!</v>
      </c>
      <c r="J13" s="11" t="e">
        <f>((#REF!+#REF!+#REF!)*1000)/J22</f>
        <v>#REF!</v>
      </c>
      <c r="K13" s="12" t="e">
        <f>((#REF!+#REF!+#REF!)*1000)/K22</f>
        <v>#REF!</v>
      </c>
      <c r="L13" s="12" t="e">
        <f>((#REF!+#REF!+#REF!)*1000)/L22</f>
        <v>#REF!</v>
      </c>
      <c r="M13" s="12" t="e">
        <f>((#REF!+#REF!+#REF!)*1000)/M22</f>
        <v>#REF!</v>
      </c>
      <c r="N13" s="12" t="e">
        <f>((#REF!+#REF!+#REF!)*1000)/N22</f>
        <v>#REF!</v>
      </c>
      <c r="O13" s="12" t="e">
        <f>((#REF!+#REF!+#REF!)*1000)/O22</f>
        <v>#REF!</v>
      </c>
      <c r="P13" s="12" t="e">
        <f>((#REF!+#REF!+#REF!)*1000)/P22</f>
        <v>#REF!</v>
      </c>
      <c r="Q13" s="12" t="e">
        <f>((#REF!+#REF!+#REF!)*1000)/Q22</f>
        <v>#REF!</v>
      </c>
      <c r="R13" s="12"/>
      <c r="S13" s="12"/>
      <c r="T13" s="11" t="e">
        <f>((#REF!+#REF!+#REF!)*1000)/T22</f>
        <v>#REF!</v>
      </c>
      <c r="U13" s="12" t="e">
        <f>((#REF!+#REF!+#REF!)*1000)/U22</f>
        <v>#REF!</v>
      </c>
      <c r="V13" s="12" t="e">
        <f>((#REF!+#REF!+#REF!)*1000)/V22</f>
        <v>#REF!</v>
      </c>
      <c r="W13" s="16" t="e">
        <f>((#REF!+#REF!+#REF!)*1000)/W22</f>
        <v>#REF!</v>
      </c>
      <c r="X13" s="12" t="e">
        <f>((#REF!+#REF!+#REF!)*1000)/X22</f>
        <v>#REF!</v>
      </c>
      <c r="Y13" s="12" t="e">
        <f>((#REF!+#REF!+#REF!)*1000)/Y22</f>
        <v>#REF!</v>
      </c>
      <c r="Z13" s="12" t="e">
        <f>((#REF!+#REF!+#REF!)*1000)/Z22</f>
        <v>#REF!</v>
      </c>
      <c r="AA13" s="16" t="e">
        <f>((#REF!+#REF!+#REF!)*1000)/AA22</f>
        <v>#REF!</v>
      </c>
      <c r="AB13" s="12" t="e">
        <f>((#REF!+#REF!+#REF!)*1000)/AB22</f>
        <v>#REF!</v>
      </c>
      <c r="AC13" s="12" t="e">
        <f>((#REF!+#REF!+#REF!)*1000)/AC22</f>
        <v>#REF!</v>
      </c>
      <c r="AD13" s="12" t="e">
        <f>((#REF!+#REF!+#REF!)*1000)/AD22</f>
        <v>#REF!</v>
      </c>
      <c r="AE13" s="16" t="e">
        <f>((#REF!+#REF!+#REF!)*1000)/AE22</f>
        <v>#REF!</v>
      </c>
      <c r="AF13" s="12" t="e">
        <f>((#REF!+#REF!+#REF!)*1000)/AF22</f>
        <v>#REF!</v>
      </c>
      <c r="AG13" s="12" t="e">
        <f>((#REF!+#REF!+#REF!)*1000)/AG22</f>
        <v>#REF!</v>
      </c>
      <c r="AH13" s="12" t="e">
        <f>((#REF!+#REF!+#REF!)*1000)/AH22</f>
        <v>#REF!</v>
      </c>
      <c r="AI13" s="16" t="e">
        <f>((#REF!+#REF!+#REF!)*1000)/AI22</f>
        <v>#REF!</v>
      </c>
      <c r="AJ13" s="12" t="e">
        <f>((#REF!+#REF!+#REF!)*1000)/AJ22</f>
        <v>#REF!</v>
      </c>
      <c r="AK13" s="12" t="e">
        <f>((#REF!+#REF!+#REF!)*1000)/AK22</f>
        <v>#REF!</v>
      </c>
      <c r="AL13" s="12" t="e">
        <f>((#REF!+#REF!+#REF!)*1000)/AL22</f>
        <v>#REF!</v>
      </c>
      <c r="AM13" s="16" t="e">
        <f>((#REF!+#REF!+#REF!)*1000)/AM22</f>
        <v>#REF!</v>
      </c>
      <c r="AN13" s="12" t="e">
        <f>((#REF!+#REF!+#REF!)*1000)/AN22</f>
        <v>#REF!</v>
      </c>
      <c r="AO13" s="12" t="e">
        <f>((#REF!+#REF!+#REF!)*1000)/AO22</f>
        <v>#REF!</v>
      </c>
      <c r="AP13" s="12" t="e">
        <f>((#REF!+#REF!+#REF!)*1000)/AP22</f>
        <v>#REF!</v>
      </c>
      <c r="AQ13" s="16" t="e">
        <f>((#REF!+#REF!+#REF!)*1000)/AQ22</f>
        <v>#REF!</v>
      </c>
      <c r="AR13" s="12" t="e">
        <f>((#REF!+#REF!+#REF!)*1000)/AR22</f>
        <v>#REF!</v>
      </c>
      <c r="AS13" s="12" t="e">
        <f>((#REF!+#REF!+#REF!)*1000)/AS22</f>
        <v>#REF!</v>
      </c>
      <c r="AT13" s="12" t="e">
        <f>((#REF!+#REF!+#REF!)*1000)/AT22</f>
        <v>#REF!</v>
      </c>
      <c r="AU13" s="16" t="e">
        <f>((#REF!+#REF!+#REF!)*1000)/AU22</f>
        <v>#REF!</v>
      </c>
      <c r="AV13" s="12" t="e">
        <f>((#REF!+#REF!+#REF!)*1000)/AV22</f>
        <v>#REF!</v>
      </c>
      <c r="AW13" s="12" t="e">
        <f>((#REF!+#REF!+#REF!)*1000)/AW22</f>
        <v>#REF!</v>
      </c>
      <c r="AX13" s="12" t="e">
        <f>((#REF!+#REF!+#REF!)*1000)/AX22</f>
        <v>#REF!</v>
      </c>
      <c r="AY13" s="16" t="e">
        <f>((#REF!+#REF!+#REF!)*1000)/AY22</f>
        <v>#REF!</v>
      </c>
      <c r="AZ13" s="12" t="e">
        <f>((#REF!+#REF!+#REF!)*1000)/AZ22</f>
        <v>#REF!</v>
      </c>
      <c r="BA13" s="12" t="e">
        <f>((#REF!+#REF!+#REF!)*1000)/BA22</f>
        <v>#REF!</v>
      </c>
      <c r="BB13" s="12" t="e">
        <f>((#REF!+#REF!+#REF!)*1000)/BB22</f>
        <v>#REF!</v>
      </c>
      <c r="BC13" s="12" t="e">
        <f>((#REF!+#REF!+#REF!)*1000)/BC22</f>
        <v>#REF!</v>
      </c>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4"/>
    </row>
    <row r="14" spans="1:86" ht="11.25" customHeight="1">
      <c r="A14" s="3" t="s">
        <v>136</v>
      </c>
      <c r="B14" s="3"/>
      <c r="C14" s="12" t="e">
        <f>(#REF!*1000)/C21</f>
        <v>#REF!</v>
      </c>
      <c r="D14" s="12" t="e">
        <f>(#REF!*1000)/D21</f>
        <v>#REF!</v>
      </c>
      <c r="E14" s="12" t="e">
        <f>(#REF!*1000)/E21</f>
        <v>#REF!</v>
      </c>
      <c r="F14" s="12" t="e">
        <f>(#REF!*1000)/F21</f>
        <v>#REF!</v>
      </c>
      <c r="G14" s="12" t="e">
        <f>(#REF!*1000)/G21</f>
        <v>#REF!</v>
      </c>
      <c r="H14" s="12" t="e">
        <f>(#REF!*1000)/H21</f>
        <v>#REF!</v>
      </c>
      <c r="I14" s="12" t="e">
        <f>(#REF!*1000)/I21</f>
        <v>#REF!</v>
      </c>
      <c r="J14" s="11" t="e">
        <f>(#REF!*1000)/J21</f>
        <v>#REF!</v>
      </c>
      <c r="K14" s="12" t="e">
        <f>(#REF!*1000)/K21</f>
        <v>#REF!</v>
      </c>
      <c r="L14" s="12" t="e">
        <f>(#REF!*1000)/L21</f>
        <v>#REF!</v>
      </c>
      <c r="M14" s="12" t="e">
        <f>(#REF!*1000)/M21</f>
        <v>#REF!</v>
      </c>
      <c r="N14" s="12" t="e">
        <f>(#REF!*1000)/N21</f>
        <v>#REF!</v>
      </c>
      <c r="O14" s="12" t="e">
        <f>(#REF!*1000)/O21</f>
        <v>#REF!</v>
      </c>
      <c r="P14" s="12" t="e">
        <f>(#REF!*1000)/P21</f>
        <v>#REF!</v>
      </c>
      <c r="Q14" s="12" t="e">
        <f>(#REF!*1000)/Q21</f>
        <v>#REF!</v>
      </c>
      <c r="R14" s="12"/>
      <c r="S14" s="12"/>
      <c r="T14" s="11" t="e">
        <f>(#REF!*1000)/T21</f>
        <v>#REF!</v>
      </c>
      <c r="U14" s="12" t="e">
        <f>(#REF!*1000)/U21</f>
        <v>#REF!</v>
      </c>
      <c r="V14" s="12" t="e">
        <f>(#REF!*1000)/V21</f>
        <v>#REF!</v>
      </c>
      <c r="W14" s="16" t="e">
        <f>(#REF!*1000)/W21</f>
        <v>#REF!</v>
      </c>
      <c r="X14" s="12" t="e">
        <f>(#REF!*1000)/X21</f>
        <v>#REF!</v>
      </c>
      <c r="Y14" s="12" t="e">
        <f>(#REF!*1000)/Y21</f>
        <v>#REF!</v>
      </c>
      <c r="Z14" s="12" t="e">
        <f>(#REF!*1000)/Z21</f>
        <v>#REF!</v>
      </c>
      <c r="AA14" s="16" t="e">
        <f>(#REF!*1000)/AA21</f>
        <v>#REF!</v>
      </c>
      <c r="AB14" s="12" t="e">
        <f>(#REF!*1000)/AB21</f>
        <v>#REF!</v>
      </c>
      <c r="AC14" s="12" t="e">
        <f>(#REF!*1000)/AC21</f>
        <v>#REF!</v>
      </c>
      <c r="AD14" s="12" t="e">
        <f>(#REF!*1000)/AD21</f>
        <v>#REF!</v>
      </c>
      <c r="AE14" s="16" t="e">
        <f>(#REF!*1000)/AE21</f>
        <v>#REF!</v>
      </c>
      <c r="AF14" s="12" t="e">
        <f>(#REF!*1000)/AF21</f>
        <v>#REF!</v>
      </c>
      <c r="AG14" s="12" t="e">
        <f>(#REF!*1000)/AG21</f>
        <v>#REF!</v>
      </c>
      <c r="AH14" s="12" t="e">
        <f>(#REF!*1000)/AH21</f>
        <v>#REF!</v>
      </c>
      <c r="AI14" s="16" t="e">
        <f>(#REF!*1000)/AI21</f>
        <v>#REF!</v>
      </c>
      <c r="AJ14" s="12" t="e">
        <f>(#REF!*1000)/AJ21</f>
        <v>#REF!</v>
      </c>
      <c r="AK14" s="12" t="e">
        <f>(#REF!*1000)/AK21</f>
        <v>#REF!</v>
      </c>
      <c r="AL14" s="12" t="e">
        <f>(#REF!*1000)/AL21</f>
        <v>#REF!</v>
      </c>
      <c r="AM14" s="16" t="e">
        <f>(#REF!*1000)/AM21</f>
        <v>#REF!</v>
      </c>
      <c r="AN14" s="12" t="e">
        <f>(#REF!*1000)/AN21</f>
        <v>#REF!</v>
      </c>
      <c r="AO14" s="12" t="e">
        <f>(#REF!*1000)/AO21</f>
        <v>#REF!</v>
      </c>
      <c r="AP14" s="12" t="e">
        <f>(#REF!*1000)/AP21</f>
        <v>#REF!</v>
      </c>
      <c r="AQ14" s="16" t="e">
        <f>(#REF!*1000)/AQ21</f>
        <v>#REF!</v>
      </c>
      <c r="AR14" s="12" t="e">
        <f>(#REF!*1000)/AR21</f>
        <v>#REF!</v>
      </c>
      <c r="AS14" s="12" t="e">
        <f>(#REF!*1000)/AS21</f>
        <v>#REF!</v>
      </c>
      <c r="AT14" s="12" t="e">
        <f>(#REF!*1000)/AT21</f>
        <v>#REF!</v>
      </c>
      <c r="AU14" s="16" t="e">
        <f>(#REF!*1000)/AU21</f>
        <v>#REF!</v>
      </c>
      <c r="AV14" s="12" t="e">
        <f>(#REF!*1000)/AV21</f>
        <v>#REF!</v>
      </c>
      <c r="AW14" s="12" t="e">
        <f>(#REF!*1000)/AW21</f>
        <v>#REF!</v>
      </c>
      <c r="AX14" s="12" t="e">
        <f>(#REF!*1000)/AX21</f>
        <v>#REF!</v>
      </c>
      <c r="AY14" s="16" t="e">
        <f>(#REF!*1000)/AY21</f>
        <v>#REF!</v>
      </c>
      <c r="AZ14" s="12" t="e">
        <f>(#REF!*1000)/AZ21</f>
        <v>#REF!</v>
      </c>
      <c r="BA14" s="12" t="e">
        <f>(#REF!*1000)/BA21</f>
        <v>#REF!</v>
      </c>
      <c r="BB14" s="12" t="e">
        <f>(#REF!*1000)/BB21</f>
        <v>#REF!</v>
      </c>
      <c r="BC14" s="12" t="e">
        <f>(#REF!*1000)/BC21</f>
        <v>#REF!</v>
      </c>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4"/>
    </row>
    <row r="15" spans="1:86" ht="11.25" customHeight="1">
      <c r="A15" s="3" t="s">
        <v>137</v>
      </c>
      <c r="B15" s="3"/>
      <c r="C15" s="12" t="e">
        <f>((#REF!+#REF!+#REF!)*1000)/C21</f>
        <v>#REF!</v>
      </c>
      <c r="D15" s="12" t="e">
        <f>((#REF!+#REF!+#REF!)*1000)/D21</f>
        <v>#REF!</v>
      </c>
      <c r="E15" s="12" t="e">
        <f>((#REF!+#REF!+#REF!)*1000)/E21</f>
        <v>#REF!</v>
      </c>
      <c r="F15" s="12" t="e">
        <f>((#REF!+#REF!+#REF!)*1000)/F21</f>
        <v>#REF!</v>
      </c>
      <c r="G15" s="12" t="e">
        <f>((#REF!+#REF!+#REF!)*1000)/G21</f>
        <v>#REF!</v>
      </c>
      <c r="H15" s="12" t="e">
        <f>((#REF!+#REF!+#REF!)*1000)/H21</f>
        <v>#REF!</v>
      </c>
      <c r="I15" s="12" t="e">
        <f>((#REF!+#REF!+#REF!)*1000)/I21</f>
        <v>#REF!</v>
      </c>
      <c r="J15" s="11" t="e">
        <f>((#REF!+#REF!+#REF!)*1000)/J21</f>
        <v>#REF!</v>
      </c>
      <c r="K15" s="12" t="e">
        <f>((#REF!+#REF!+#REF!)*1000)/K21</f>
        <v>#REF!</v>
      </c>
      <c r="L15" s="12" t="e">
        <f>((#REF!+#REF!+#REF!)*1000)/L21</f>
        <v>#REF!</v>
      </c>
      <c r="M15" s="12" t="e">
        <f>((#REF!+#REF!+#REF!)*1000)/M21</f>
        <v>#REF!</v>
      </c>
      <c r="N15" s="12" t="e">
        <f>((#REF!+#REF!+#REF!)*1000)/N21</f>
        <v>#REF!</v>
      </c>
      <c r="O15" s="12" t="e">
        <f>((#REF!+#REF!+#REF!)*1000)/O21</f>
        <v>#REF!</v>
      </c>
      <c r="P15" s="12" t="e">
        <f>((#REF!+#REF!+#REF!)*1000)/P21</f>
        <v>#REF!</v>
      </c>
      <c r="Q15" s="12" t="e">
        <f>((#REF!+#REF!+#REF!)*1000)/Q21</f>
        <v>#REF!</v>
      </c>
      <c r="R15" s="12"/>
      <c r="S15" s="12"/>
      <c r="T15" s="11" t="e">
        <f>((#REF!+#REF!+#REF!)*1000)/T21</f>
        <v>#REF!</v>
      </c>
      <c r="U15" s="12" t="e">
        <f>((#REF!+#REF!+#REF!)*1000)/U21</f>
        <v>#REF!</v>
      </c>
      <c r="V15" s="12" t="e">
        <f>((#REF!+#REF!+#REF!)*1000)/V21</f>
        <v>#REF!</v>
      </c>
      <c r="W15" s="16" t="e">
        <f>((#REF!+#REF!+#REF!)*1000)/W21</f>
        <v>#REF!</v>
      </c>
      <c r="X15" s="12" t="e">
        <f>((#REF!+#REF!+#REF!)*1000)/X21</f>
        <v>#REF!</v>
      </c>
      <c r="Y15" s="12" t="e">
        <f>((#REF!+#REF!+#REF!)*1000)/Y21</f>
        <v>#REF!</v>
      </c>
      <c r="Z15" s="12" t="e">
        <f>((#REF!+#REF!+#REF!)*1000)/Z21</f>
        <v>#REF!</v>
      </c>
      <c r="AA15" s="16" t="e">
        <f>((#REF!+#REF!+#REF!)*1000)/AA21</f>
        <v>#REF!</v>
      </c>
      <c r="AB15" s="12" t="e">
        <f>((#REF!+#REF!+#REF!)*1000)/AB21</f>
        <v>#REF!</v>
      </c>
      <c r="AC15" s="12" t="e">
        <f>((#REF!+#REF!+#REF!)*1000)/AC21</f>
        <v>#REF!</v>
      </c>
      <c r="AD15" s="12" t="e">
        <f>((#REF!+#REF!+#REF!)*1000)/AD21</f>
        <v>#REF!</v>
      </c>
      <c r="AE15" s="16" t="e">
        <f>((#REF!+#REF!+#REF!)*1000)/AE21</f>
        <v>#REF!</v>
      </c>
      <c r="AF15" s="12" t="e">
        <f>((#REF!+#REF!+#REF!)*1000)/AF21</f>
        <v>#REF!</v>
      </c>
      <c r="AG15" s="12" t="e">
        <f>((#REF!+#REF!+#REF!)*1000)/AG21</f>
        <v>#REF!</v>
      </c>
      <c r="AH15" s="12" t="e">
        <f>((#REF!+#REF!+#REF!)*1000)/AH21</f>
        <v>#REF!</v>
      </c>
      <c r="AI15" s="16" t="e">
        <f>((#REF!+#REF!+#REF!)*1000)/AI21</f>
        <v>#REF!</v>
      </c>
      <c r="AJ15" s="12" t="e">
        <f>((#REF!+#REF!+#REF!)*1000)/AJ21</f>
        <v>#REF!</v>
      </c>
      <c r="AK15" s="12" t="e">
        <f>((#REF!+#REF!+#REF!)*1000)/AK21</f>
        <v>#REF!</v>
      </c>
      <c r="AL15" s="12" t="e">
        <f>((#REF!+#REF!+#REF!)*1000)/AL21</f>
        <v>#REF!</v>
      </c>
      <c r="AM15" s="16" t="e">
        <f>((#REF!+#REF!+#REF!)*1000)/AM21</f>
        <v>#REF!</v>
      </c>
      <c r="AN15" s="12" t="e">
        <f>((#REF!+#REF!+#REF!)*1000)/AN21</f>
        <v>#REF!</v>
      </c>
      <c r="AO15" s="12" t="e">
        <f>((#REF!+#REF!+#REF!)*1000)/AO21</f>
        <v>#REF!</v>
      </c>
      <c r="AP15" s="12" t="e">
        <f>((#REF!+#REF!+#REF!)*1000)/AP21</f>
        <v>#REF!</v>
      </c>
      <c r="AQ15" s="16" t="e">
        <f>((#REF!+#REF!+#REF!)*1000)/AQ21</f>
        <v>#REF!</v>
      </c>
      <c r="AR15" s="12" t="e">
        <f>((#REF!+#REF!+#REF!)*1000)/AR21</f>
        <v>#REF!</v>
      </c>
      <c r="AS15" s="12" t="e">
        <f>((#REF!+#REF!+#REF!)*1000)/AS21</f>
        <v>#REF!</v>
      </c>
      <c r="AT15" s="12" t="e">
        <f>((#REF!+#REF!+#REF!)*1000)/AT21</f>
        <v>#REF!</v>
      </c>
      <c r="AU15" s="16" t="e">
        <f>((#REF!+#REF!+#REF!)*1000)/AU21</f>
        <v>#REF!</v>
      </c>
      <c r="AV15" s="12" t="e">
        <f>((#REF!+#REF!+#REF!)*1000)/AV21</f>
        <v>#REF!</v>
      </c>
      <c r="AW15" s="12" t="e">
        <f>((#REF!+#REF!+#REF!)*1000)/AW21</f>
        <v>#REF!</v>
      </c>
      <c r="AX15" s="12" t="e">
        <f>((#REF!+#REF!+#REF!)*1000)/AX21</f>
        <v>#REF!</v>
      </c>
      <c r="AY15" s="16" t="e">
        <f>((#REF!+#REF!+#REF!)*1000)/AY21</f>
        <v>#REF!</v>
      </c>
      <c r="AZ15" s="12" t="e">
        <f>((#REF!+#REF!+#REF!)*1000)/AZ21</f>
        <v>#REF!</v>
      </c>
      <c r="BA15" s="12" t="e">
        <f>((#REF!+#REF!+#REF!)*1000)/BA21</f>
        <v>#REF!</v>
      </c>
      <c r="BB15" s="12" t="e">
        <f>((#REF!+#REF!+#REF!)*1000)/BB21</f>
        <v>#REF!</v>
      </c>
      <c r="BC15" s="12" t="e">
        <f>((#REF!+#REF!+#REF!)*1000)/BC21</f>
        <v>#REF!</v>
      </c>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4"/>
    </row>
    <row r="16" spans="1:86" ht="11.25" customHeight="1">
      <c r="A16" s="3" t="s">
        <v>138</v>
      </c>
      <c r="B16" s="3"/>
      <c r="C16" s="12" t="e">
        <f>(#REF!*1000)/C24</f>
        <v>#REF!</v>
      </c>
      <c r="D16" s="12" t="e">
        <f>(#REF!*1000)/D24</f>
        <v>#REF!</v>
      </c>
      <c r="E16" s="12" t="e">
        <f>(#REF!*1000)/E24</f>
        <v>#REF!</v>
      </c>
      <c r="F16" s="12" t="e">
        <f>(#REF!*1000)/F24</f>
        <v>#REF!</v>
      </c>
      <c r="G16" s="12" t="e">
        <f>(#REF!*1000)/G24</f>
        <v>#REF!</v>
      </c>
      <c r="H16" s="12" t="e">
        <f>(#REF!*1000)/H24</f>
        <v>#REF!</v>
      </c>
      <c r="I16" s="12" t="e">
        <f>(#REF!*1000)/I24</f>
        <v>#REF!</v>
      </c>
      <c r="J16" s="11" t="e">
        <f>(#REF!*1000)/J24</f>
        <v>#REF!</v>
      </c>
      <c r="K16" s="12" t="e">
        <f>(#REF!*1000)/K24</f>
        <v>#REF!</v>
      </c>
      <c r="L16" s="12" t="e">
        <f>(#REF!*1000)/L24</f>
        <v>#REF!</v>
      </c>
      <c r="M16" s="12" t="e">
        <f>(#REF!*1000)/M24</f>
        <v>#REF!</v>
      </c>
      <c r="N16" s="12" t="e">
        <f>(#REF!*1000)/N24</f>
        <v>#REF!</v>
      </c>
      <c r="O16" s="12" t="e">
        <f>(#REF!*1000)/O24</f>
        <v>#REF!</v>
      </c>
      <c r="P16" s="12" t="e">
        <f>(#REF!*1000)/P24</f>
        <v>#REF!</v>
      </c>
      <c r="Q16" s="12" t="e">
        <f>(#REF!*1000)/Q24</f>
        <v>#REF!</v>
      </c>
      <c r="R16" s="12"/>
      <c r="S16" s="12"/>
      <c r="T16" s="11" t="e">
        <f>(#REF!*1000)/T24</f>
        <v>#REF!</v>
      </c>
      <c r="U16" s="12" t="e">
        <f>(#REF!*1000)/U24</f>
        <v>#REF!</v>
      </c>
      <c r="V16" s="12" t="e">
        <f>(#REF!*1000)/V24</f>
        <v>#REF!</v>
      </c>
      <c r="W16" s="16" t="e">
        <f>(#REF!*1000)/W24</f>
        <v>#REF!</v>
      </c>
      <c r="X16" s="12" t="e">
        <f>(#REF!*1000)/X24</f>
        <v>#REF!</v>
      </c>
      <c r="Y16" s="12" t="e">
        <f>(#REF!*1000)/Y24</f>
        <v>#REF!</v>
      </c>
      <c r="Z16" s="12" t="e">
        <f>(#REF!*1000)/Z24</f>
        <v>#REF!</v>
      </c>
      <c r="AA16" s="16" t="e">
        <f>(#REF!*1000)/AA24</f>
        <v>#REF!</v>
      </c>
      <c r="AB16" s="12" t="e">
        <f>(#REF!*1000)/AB24</f>
        <v>#REF!</v>
      </c>
      <c r="AC16" s="12" t="e">
        <f>(#REF!*1000)/AC24</f>
        <v>#REF!</v>
      </c>
      <c r="AD16" s="12" t="e">
        <f>(#REF!*1000)/AD24</f>
        <v>#REF!</v>
      </c>
      <c r="AE16" s="16" t="e">
        <f>(#REF!*1000)/AE24</f>
        <v>#REF!</v>
      </c>
      <c r="AF16" s="12" t="e">
        <f>(#REF!*1000)/AF24</f>
        <v>#REF!</v>
      </c>
      <c r="AG16" s="12" t="e">
        <f>(#REF!*1000)/AG24</f>
        <v>#REF!</v>
      </c>
      <c r="AH16" s="12" t="e">
        <f>(#REF!*1000)/AH24</f>
        <v>#REF!</v>
      </c>
      <c r="AI16" s="16" t="e">
        <f>(#REF!*1000)/AI24</f>
        <v>#REF!</v>
      </c>
      <c r="AJ16" s="12" t="e">
        <f>(#REF!*1000)/AJ24</f>
        <v>#REF!</v>
      </c>
      <c r="AK16" s="12" t="e">
        <f>(#REF!*1000)/AK24</f>
        <v>#REF!</v>
      </c>
      <c r="AL16" s="12" t="e">
        <f>(#REF!*1000)/AL24</f>
        <v>#REF!</v>
      </c>
      <c r="AM16" s="16" t="e">
        <f>(#REF!*1000)/AM24</f>
        <v>#REF!</v>
      </c>
      <c r="AN16" s="12" t="e">
        <f>(#REF!*1000)/AN24</f>
        <v>#REF!</v>
      </c>
      <c r="AO16" s="12" t="e">
        <f>(#REF!*1000)/AO24</f>
        <v>#REF!</v>
      </c>
      <c r="AP16" s="12" t="e">
        <f>(#REF!*1000)/AP24</f>
        <v>#REF!</v>
      </c>
      <c r="AQ16" s="16" t="e">
        <f>(#REF!*1000)/AQ24</f>
        <v>#REF!</v>
      </c>
      <c r="AR16" s="12" t="e">
        <f>(#REF!*1000)/AR24</f>
        <v>#REF!</v>
      </c>
      <c r="AS16" s="12" t="e">
        <f>(#REF!*1000)/AS24</f>
        <v>#REF!</v>
      </c>
      <c r="AT16" s="12" t="e">
        <f>(#REF!*1000)/AT24</f>
        <v>#REF!</v>
      </c>
      <c r="AU16" s="16" t="e">
        <f>(#REF!*1000)/AU24</f>
        <v>#REF!</v>
      </c>
      <c r="AV16" s="12" t="e">
        <f>(#REF!*1000)/AV24</f>
        <v>#REF!</v>
      </c>
      <c r="AW16" s="12" t="e">
        <f>(#REF!*1000)/AW24</f>
        <v>#REF!</v>
      </c>
      <c r="AX16" s="12" t="e">
        <f>(#REF!*1000)/AX24</f>
        <v>#REF!</v>
      </c>
      <c r="AY16" s="16" t="e">
        <f>(#REF!*1000)/AY24</f>
        <v>#REF!</v>
      </c>
      <c r="AZ16" s="12" t="e">
        <f>(#REF!*1000)/AZ24</f>
        <v>#REF!</v>
      </c>
      <c r="BA16" s="12" t="e">
        <f>(#REF!*1000)/BA24</f>
        <v>#REF!</v>
      </c>
      <c r="BB16" s="12" t="e">
        <f>(#REF!*1000)/BB24</f>
        <v>#REF!</v>
      </c>
      <c r="BC16" s="12" t="e">
        <f>(#REF!*1000)/BC24</f>
        <v>#REF!</v>
      </c>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4"/>
    </row>
    <row r="17" spans="1:86" ht="11.25" customHeight="1">
      <c r="A17" s="3" t="s">
        <v>139</v>
      </c>
      <c r="B17" s="3"/>
      <c r="C17" s="12" t="e">
        <f>((#REF!+#REF!+#REF!)*1000)/C25</f>
        <v>#REF!</v>
      </c>
      <c r="D17" s="12" t="e">
        <f>((#REF!+#REF!+#REF!)*1000)/D25</f>
        <v>#REF!</v>
      </c>
      <c r="E17" s="12" t="e">
        <f>((#REF!+#REF!+#REF!)*1000)/E25</f>
        <v>#REF!</v>
      </c>
      <c r="F17" s="12" t="e">
        <f>((#REF!+#REF!+#REF!)*1000)/F25</f>
        <v>#REF!</v>
      </c>
      <c r="G17" s="12" t="e">
        <f>((#REF!+#REF!+#REF!)*1000)/G25</f>
        <v>#REF!</v>
      </c>
      <c r="H17" s="12" t="e">
        <f>((#REF!+#REF!+#REF!)*1000)/H25</f>
        <v>#REF!</v>
      </c>
      <c r="I17" s="12" t="e">
        <f>((#REF!+#REF!+#REF!)*1000)/I25</f>
        <v>#REF!</v>
      </c>
      <c r="J17" s="11" t="e">
        <f>((#REF!+#REF!+#REF!)*1000)/J25</f>
        <v>#REF!</v>
      </c>
      <c r="K17" s="12" t="e">
        <f>((#REF!+#REF!+#REF!)*1000)/K25</f>
        <v>#REF!</v>
      </c>
      <c r="L17" s="12" t="e">
        <f>((#REF!+#REF!+#REF!)*1000)/L25</f>
        <v>#REF!</v>
      </c>
      <c r="M17" s="12" t="e">
        <f>((#REF!+#REF!+#REF!)*1000)/M25</f>
        <v>#REF!</v>
      </c>
      <c r="N17" s="12" t="e">
        <f>((#REF!+#REF!+#REF!)*1000)/N25</f>
        <v>#REF!</v>
      </c>
      <c r="O17" s="12" t="e">
        <f>((#REF!+#REF!+#REF!)*1000)/O25</f>
        <v>#REF!</v>
      </c>
      <c r="P17" s="12" t="e">
        <f>((#REF!+#REF!+#REF!)*1000)/P25</f>
        <v>#REF!</v>
      </c>
      <c r="Q17" s="12" t="e">
        <f>((#REF!+#REF!+#REF!)*1000)/Q25</f>
        <v>#REF!</v>
      </c>
      <c r="R17" s="12"/>
      <c r="S17" s="12"/>
      <c r="T17" s="11" t="e">
        <f>((#REF!+#REF!+#REF!)*1000)/T25</f>
        <v>#REF!</v>
      </c>
      <c r="U17" s="12" t="e">
        <f>((#REF!+#REF!+#REF!)*1000)/U25</f>
        <v>#REF!</v>
      </c>
      <c r="V17" s="12" t="e">
        <f>((#REF!+#REF!+#REF!)*1000)/V25</f>
        <v>#REF!</v>
      </c>
      <c r="W17" s="16" t="e">
        <f>((#REF!+#REF!+#REF!)*1000)/W25</f>
        <v>#REF!</v>
      </c>
      <c r="X17" s="12" t="e">
        <f>((#REF!+#REF!+#REF!)*1000)/X25</f>
        <v>#REF!</v>
      </c>
      <c r="Y17" s="12" t="e">
        <f>((#REF!+#REF!+#REF!)*1000)/Y25</f>
        <v>#REF!</v>
      </c>
      <c r="Z17" s="12" t="e">
        <f>((#REF!+#REF!+#REF!)*1000)/Z25</f>
        <v>#REF!</v>
      </c>
      <c r="AA17" s="16" t="e">
        <f>((#REF!+#REF!+#REF!)*1000)/AA25</f>
        <v>#REF!</v>
      </c>
      <c r="AB17" s="12" t="e">
        <f>((#REF!+#REF!+#REF!)*1000)/AB25</f>
        <v>#REF!</v>
      </c>
      <c r="AC17" s="12" t="e">
        <f>((#REF!+#REF!+#REF!)*1000)/AC25</f>
        <v>#REF!</v>
      </c>
      <c r="AD17" s="12" t="e">
        <f>((#REF!+#REF!+#REF!)*1000)/AD25</f>
        <v>#REF!</v>
      </c>
      <c r="AE17" s="16" t="e">
        <f>((#REF!+#REF!+#REF!)*1000)/AE25</f>
        <v>#REF!</v>
      </c>
      <c r="AF17" s="12" t="e">
        <f>((#REF!+#REF!+#REF!)*1000)/AF25</f>
        <v>#REF!</v>
      </c>
      <c r="AG17" s="12" t="e">
        <f>((#REF!+#REF!+#REF!)*1000)/AG25</f>
        <v>#REF!</v>
      </c>
      <c r="AH17" s="12" t="e">
        <f>((#REF!+#REF!+#REF!)*1000)/AH25</f>
        <v>#REF!</v>
      </c>
      <c r="AI17" s="16" t="e">
        <f>((#REF!+#REF!+#REF!)*1000)/AI25</f>
        <v>#REF!</v>
      </c>
      <c r="AJ17" s="12" t="e">
        <f>((#REF!+#REF!+#REF!)*1000)/AJ25</f>
        <v>#REF!</v>
      </c>
      <c r="AK17" s="12" t="e">
        <f>((#REF!+#REF!+#REF!)*1000)/AK25</f>
        <v>#REF!</v>
      </c>
      <c r="AL17" s="12" t="e">
        <f>((#REF!+#REF!+#REF!)*1000)/AL25</f>
        <v>#REF!</v>
      </c>
      <c r="AM17" s="16" t="e">
        <f>((#REF!+#REF!+#REF!)*1000)/AM25</f>
        <v>#REF!</v>
      </c>
      <c r="AN17" s="12" t="e">
        <f>((#REF!+#REF!+#REF!)*1000)/AN25</f>
        <v>#REF!</v>
      </c>
      <c r="AO17" s="12" t="e">
        <f>((#REF!+#REF!+#REF!)*1000)/AO25</f>
        <v>#REF!</v>
      </c>
      <c r="AP17" s="12" t="e">
        <f>((#REF!+#REF!+#REF!)*1000)/AP25</f>
        <v>#REF!</v>
      </c>
      <c r="AQ17" s="16" t="e">
        <f>((#REF!+#REF!+#REF!)*1000)/AQ25</f>
        <v>#REF!</v>
      </c>
      <c r="AR17" s="12" t="e">
        <f>((#REF!+#REF!+#REF!)*1000)/AR25</f>
        <v>#REF!</v>
      </c>
      <c r="AS17" s="12" t="e">
        <f>((#REF!+#REF!+#REF!)*1000)/AS25</f>
        <v>#REF!</v>
      </c>
      <c r="AT17" s="12" t="e">
        <f>((#REF!+#REF!+#REF!)*1000)/AT25</f>
        <v>#REF!</v>
      </c>
      <c r="AU17" s="16" t="e">
        <f>((#REF!+#REF!+#REF!)*1000)/AU25</f>
        <v>#REF!</v>
      </c>
      <c r="AV17" s="12" t="e">
        <f>((#REF!+#REF!+#REF!)*1000)/AV25</f>
        <v>#REF!</v>
      </c>
      <c r="AW17" s="12" t="e">
        <f>((#REF!+#REF!+#REF!)*1000)/AW25</f>
        <v>#REF!</v>
      </c>
      <c r="AX17" s="12" t="e">
        <f>((#REF!+#REF!+#REF!)*1000)/AX25</f>
        <v>#REF!</v>
      </c>
      <c r="AY17" s="16" t="e">
        <f>((#REF!+#REF!+#REF!)*1000)/AY25</f>
        <v>#REF!</v>
      </c>
      <c r="AZ17" s="12" t="e">
        <f>((#REF!+#REF!+#REF!)*1000)/AZ25</f>
        <v>#REF!</v>
      </c>
      <c r="BA17" s="12" t="e">
        <f>((#REF!+#REF!+#REF!)*1000)/BA25</f>
        <v>#REF!</v>
      </c>
      <c r="BB17" s="12" t="e">
        <f>((#REF!+#REF!+#REF!)*1000)/BB25</f>
        <v>#REF!</v>
      </c>
      <c r="BC17" s="12" t="e">
        <f>((#REF!+#REF!+#REF!)*1000)/BC25</f>
        <v>#REF!</v>
      </c>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4"/>
    </row>
    <row r="18" spans="1:86" ht="11.25" customHeight="1">
      <c r="A18" s="3" t="s">
        <v>140</v>
      </c>
      <c r="B18" s="3"/>
      <c r="C18" s="13" t="e">
        <f>#REF!</f>
        <v>#REF!</v>
      </c>
      <c r="D18" s="13" t="e">
        <f>#REF!</f>
        <v>#REF!</v>
      </c>
      <c r="E18" s="13" t="e">
        <f>#REF!</f>
        <v>#REF!</v>
      </c>
      <c r="F18" s="13" t="e">
        <f>#REF!</f>
        <v>#REF!</v>
      </c>
      <c r="G18" s="13" t="e">
        <f>#REF!</f>
        <v>#REF!</v>
      </c>
      <c r="H18" s="13" t="e">
        <f>#REF!</f>
        <v>#REF!</v>
      </c>
      <c r="I18" s="13" t="e">
        <f>#REF!</f>
        <v>#REF!</v>
      </c>
      <c r="J18" s="15" t="e">
        <f>#REF!</f>
        <v>#REF!</v>
      </c>
      <c r="K18" s="13" t="e">
        <f>#REF!</f>
        <v>#REF!</v>
      </c>
      <c r="L18" s="13" t="e">
        <f>#REF!</f>
        <v>#REF!</v>
      </c>
      <c r="M18" s="13" t="e">
        <f>#REF!</f>
        <v>#REF!</v>
      </c>
      <c r="N18" s="13" t="e">
        <f>#REF!</f>
        <v>#REF!</v>
      </c>
      <c r="O18" s="13" t="e">
        <f>#REF!</f>
        <v>#REF!</v>
      </c>
      <c r="P18" s="13" t="e">
        <f>#REF!</f>
        <v>#REF!</v>
      </c>
      <c r="Q18" s="13" t="e">
        <f>#REF!</f>
        <v>#REF!</v>
      </c>
      <c r="R18" s="3"/>
      <c r="S18" s="3"/>
      <c r="T18" s="15" t="e">
        <f>#REF!</f>
        <v>#REF!</v>
      </c>
      <c r="U18" s="13" t="e">
        <f>#REF!</f>
        <v>#REF!</v>
      </c>
      <c r="V18" s="13" t="e">
        <f>#REF!</f>
        <v>#REF!</v>
      </c>
      <c r="W18" s="14" t="e">
        <f>#REF!</f>
        <v>#REF!</v>
      </c>
      <c r="X18" s="13" t="e">
        <f>#REF!</f>
        <v>#REF!</v>
      </c>
      <c r="Y18" s="13" t="e">
        <f>#REF!</f>
        <v>#REF!</v>
      </c>
      <c r="Z18" s="13" t="e">
        <f>#REF!</f>
        <v>#REF!</v>
      </c>
      <c r="AA18" s="14" t="e">
        <f>#REF!</f>
        <v>#REF!</v>
      </c>
      <c r="AB18" s="13" t="e">
        <f>#REF!</f>
        <v>#REF!</v>
      </c>
      <c r="AC18" s="13" t="e">
        <f>#REF!</f>
        <v>#REF!</v>
      </c>
      <c r="AD18" s="13" t="e">
        <f>#REF!</f>
        <v>#REF!</v>
      </c>
      <c r="AE18" s="14" t="e">
        <f>#REF!</f>
        <v>#REF!</v>
      </c>
      <c r="AF18" s="13" t="e">
        <f>#REF!</f>
        <v>#REF!</v>
      </c>
      <c r="AG18" s="13" t="e">
        <f>#REF!</f>
        <v>#REF!</v>
      </c>
      <c r="AH18" s="13" t="e">
        <f>#REF!</f>
        <v>#REF!</v>
      </c>
      <c r="AI18" s="14" t="e">
        <f>#REF!</f>
        <v>#REF!</v>
      </c>
      <c r="AJ18" s="20" t="e">
        <f>#REF!</f>
        <v>#REF!</v>
      </c>
      <c r="AK18" s="20" t="e">
        <f>#REF!</f>
        <v>#REF!</v>
      </c>
      <c r="AL18" s="20" t="e">
        <f>#REF!</f>
        <v>#REF!</v>
      </c>
      <c r="AM18" s="21" t="e">
        <f>#REF!</f>
        <v>#REF!</v>
      </c>
      <c r="AN18" s="20" t="e">
        <f>#REF!</f>
        <v>#REF!</v>
      </c>
      <c r="AO18" s="20" t="e">
        <f>#REF!</f>
        <v>#REF!</v>
      </c>
      <c r="AP18" s="20" t="e">
        <f>#REF!</f>
        <v>#REF!</v>
      </c>
      <c r="AQ18" s="21" t="e">
        <f>#REF!</f>
        <v>#REF!</v>
      </c>
      <c r="AR18" s="20" t="e">
        <f>#REF!</f>
        <v>#REF!</v>
      </c>
      <c r="AS18" s="20" t="e">
        <f>#REF!</f>
        <v>#REF!</v>
      </c>
      <c r="AT18" s="20" t="e">
        <f>#REF!</f>
        <v>#REF!</v>
      </c>
      <c r="AU18" s="21" t="e">
        <f>#REF!</f>
        <v>#REF!</v>
      </c>
      <c r="AV18" s="20" t="e">
        <f>#REF!</f>
        <v>#REF!</v>
      </c>
      <c r="AW18" s="20" t="e">
        <f>#REF!</f>
        <v>#REF!</v>
      </c>
      <c r="AX18" s="20" t="e">
        <f>#REF!</f>
        <v>#REF!</v>
      </c>
      <c r="AY18" s="21" t="e">
        <f>#REF!</f>
        <v>#REF!</v>
      </c>
      <c r="AZ18" s="20" t="e">
        <f>#REF!</f>
        <v>#REF!</v>
      </c>
      <c r="BA18" s="20" t="e">
        <f>#REF!</f>
        <v>#REF!</v>
      </c>
      <c r="BB18" s="20" t="e">
        <f>#REF!</f>
        <v>#REF!</v>
      </c>
      <c r="BC18" s="20" t="e">
        <f>#REF!</f>
        <v>#REF!</v>
      </c>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4"/>
    </row>
    <row r="19" spans="1:86" ht="11.25" customHeight="1">
      <c r="A19" s="3" t="s">
        <v>141</v>
      </c>
      <c r="B19" s="3"/>
      <c r="C19" s="13" t="e">
        <f>#REF!</f>
        <v>#REF!</v>
      </c>
      <c r="D19" s="13" t="e">
        <f>#REF!</f>
        <v>#REF!</v>
      </c>
      <c r="E19" s="13" t="e">
        <f>#REF!</f>
        <v>#REF!</v>
      </c>
      <c r="F19" s="13" t="e">
        <f>#REF!</f>
        <v>#REF!</v>
      </c>
      <c r="G19" s="13" t="e">
        <f>#REF!</f>
        <v>#REF!</v>
      </c>
      <c r="H19" s="13" t="e">
        <f>#REF!</f>
        <v>#REF!</v>
      </c>
      <c r="I19" s="13" t="e">
        <f>#REF!</f>
        <v>#REF!</v>
      </c>
      <c r="J19" s="15" t="e">
        <f>#REF!</f>
        <v>#REF!</v>
      </c>
      <c r="K19" s="13" t="e">
        <f>#REF!</f>
        <v>#REF!</v>
      </c>
      <c r="L19" s="13" t="e">
        <f>#REF!</f>
        <v>#REF!</v>
      </c>
      <c r="M19" s="13" t="e">
        <f>#REF!</f>
        <v>#REF!</v>
      </c>
      <c r="N19" s="13" t="e">
        <f>#REF!</f>
        <v>#REF!</v>
      </c>
      <c r="O19" s="13" t="e">
        <f>#REF!</f>
        <v>#REF!</v>
      </c>
      <c r="P19" s="13" t="e">
        <f>#REF!</f>
        <v>#REF!</v>
      </c>
      <c r="Q19" s="13" t="e">
        <f>#REF!</f>
        <v>#REF!</v>
      </c>
      <c r="R19" s="3"/>
      <c r="S19" s="3"/>
      <c r="T19" s="15" t="e">
        <f>#REF!</f>
        <v>#REF!</v>
      </c>
      <c r="U19" s="13" t="e">
        <f>#REF!</f>
        <v>#REF!</v>
      </c>
      <c r="V19" s="13" t="e">
        <f>#REF!</f>
        <v>#REF!</v>
      </c>
      <c r="W19" s="14" t="e">
        <f>#REF!</f>
        <v>#REF!</v>
      </c>
      <c r="X19" s="13" t="e">
        <f>#REF!</f>
        <v>#REF!</v>
      </c>
      <c r="Y19" s="13" t="e">
        <f>#REF!</f>
        <v>#REF!</v>
      </c>
      <c r="Z19" s="13" t="e">
        <f>#REF!</f>
        <v>#REF!</v>
      </c>
      <c r="AA19" s="14" t="e">
        <f>#REF!</f>
        <v>#REF!</v>
      </c>
      <c r="AB19" s="13" t="e">
        <f>#REF!</f>
        <v>#REF!</v>
      </c>
      <c r="AC19" s="13" t="e">
        <f>#REF!</f>
        <v>#REF!</v>
      </c>
      <c r="AD19" s="13" t="e">
        <f>#REF!</f>
        <v>#REF!</v>
      </c>
      <c r="AE19" s="14" t="e">
        <f>#REF!</f>
        <v>#REF!</v>
      </c>
      <c r="AF19" s="13" t="e">
        <f>#REF!</f>
        <v>#REF!</v>
      </c>
      <c r="AG19" s="13" t="e">
        <f>#REF!</f>
        <v>#REF!</v>
      </c>
      <c r="AH19" s="13" t="e">
        <f>#REF!</f>
        <v>#REF!</v>
      </c>
      <c r="AI19" s="14" t="e">
        <f>#REF!</f>
        <v>#REF!</v>
      </c>
      <c r="AJ19" s="13" t="e">
        <f>#REF!</f>
        <v>#REF!</v>
      </c>
      <c r="AK19" s="13" t="e">
        <f>#REF!</f>
        <v>#REF!</v>
      </c>
      <c r="AL19" s="13" t="e">
        <f>#REF!</f>
        <v>#REF!</v>
      </c>
      <c r="AM19" s="14" t="e">
        <f>#REF!</f>
        <v>#REF!</v>
      </c>
      <c r="AN19" s="13" t="e">
        <f>#REF!</f>
        <v>#REF!</v>
      </c>
      <c r="AO19" s="13" t="e">
        <f>#REF!</f>
        <v>#REF!</v>
      </c>
      <c r="AP19" s="13" t="e">
        <f>#REF!</f>
        <v>#REF!</v>
      </c>
      <c r="AQ19" s="14" t="e">
        <f>#REF!</f>
        <v>#REF!</v>
      </c>
      <c r="AR19" s="13" t="e">
        <f>#REF!</f>
        <v>#REF!</v>
      </c>
      <c r="AS19" s="13" t="e">
        <f>#REF!</f>
        <v>#REF!</v>
      </c>
      <c r="AT19" s="13" t="e">
        <f>#REF!</f>
        <v>#REF!</v>
      </c>
      <c r="AU19" s="14" t="e">
        <f>#REF!</f>
        <v>#REF!</v>
      </c>
      <c r="AV19" s="13" t="e">
        <f>#REF!</f>
        <v>#REF!</v>
      </c>
      <c r="AW19" s="13" t="e">
        <f>#REF!</f>
        <v>#REF!</v>
      </c>
      <c r="AX19" s="13" t="e">
        <f>#REF!</f>
        <v>#REF!</v>
      </c>
      <c r="AY19" s="14" t="e">
        <f>#REF!</f>
        <v>#REF!</v>
      </c>
      <c r="AZ19" s="13" t="e">
        <f>#REF!</f>
        <v>#REF!</v>
      </c>
      <c r="BA19" s="13" t="e">
        <f>#REF!</f>
        <v>#REF!</v>
      </c>
      <c r="BB19" s="13" t="e">
        <f>#REF!</f>
        <v>#REF!</v>
      </c>
      <c r="BC19" s="13" t="e">
        <f>#REF!</f>
        <v>#REF!</v>
      </c>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4"/>
    </row>
    <row r="20" spans="1:86" ht="11.25" customHeight="1">
      <c r="A20" s="2" t="s">
        <v>142</v>
      </c>
      <c r="B20" s="3"/>
      <c r="C20" s="3"/>
      <c r="D20" s="3"/>
      <c r="E20" s="3"/>
      <c r="F20" s="3"/>
      <c r="G20" s="3"/>
      <c r="H20" s="3"/>
      <c r="I20" s="3"/>
      <c r="J20" s="9"/>
      <c r="K20" s="3"/>
      <c r="L20" s="3"/>
      <c r="M20" s="3"/>
      <c r="N20" s="3"/>
      <c r="O20" s="3"/>
      <c r="P20" s="3"/>
      <c r="Q20" s="3"/>
      <c r="R20" s="3"/>
      <c r="S20" s="3"/>
      <c r="T20" s="9"/>
      <c r="U20" s="3"/>
      <c r="V20" s="3"/>
      <c r="W20" s="10"/>
      <c r="X20" s="3"/>
      <c r="Y20" s="3"/>
      <c r="Z20" s="3"/>
      <c r="AA20" s="10"/>
      <c r="AB20" s="3"/>
      <c r="AC20" s="3"/>
      <c r="AD20" s="3"/>
      <c r="AE20" s="10"/>
      <c r="AF20" s="3"/>
      <c r="AG20" s="3"/>
      <c r="AH20" s="3"/>
      <c r="AI20" s="10"/>
      <c r="AJ20" s="3"/>
      <c r="AK20" s="3"/>
      <c r="AL20" s="3"/>
      <c r="AM20" s="10"/>
      <c r="AN20" s="3"/>
      <c r="AO20" s="3"/>
      <c r="AP20" s="3"/>
      <c r="AQ20" s="10"/>
      <c r="AR20" s="3"/>
      <c r="AS20" s="3"/>
      <c r="AT20" s="3"/>
      <c r="AU20" s="10"/>
      <c r="AV20" s="3"/>
      <c r="AW20" s="3"/>
      <c r="AX20" s="3"/>
      <c r="AY20" s="10"/>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4"/>
    </row>
    <row r="21" spans="1:86" ht="11.25" customHeight="1">
      <c r="A21" s="3" t="s">
        <v>143</v>
      </c>
      <c r="B21" s="3"/>
      <c r="C21" s="24">
        <v>284235210</v>
      </c>
      <c r="D21" s="24">
        <v>287077562.10000002</v>
      </c>
      <c r="E21" s="24">
        <v>293222228</v>
      </c>
      <c r="F21" s="24">
        <v>295675658</v>
      </c>
      <c r="G21" s="24">
        <v>297787438</v>
      </c>
      <c r="H21" s="24">
        <v>300888812</v>
      </c>
      <c r="I21" s="24">
        <v>303146284</v>
      </c>
      <c r="J21" s="142">
        <v>305571454.27200001</v>
      </c>
      <c r="K21" s="24">
        <v>308016025.90617603</v>
      </c>
      <c r="L21" s="24">
        <v>310480154.11342543</v>
      </c>
      <c r="M21" s="24">
        <v>312963995.34633285</v>
      </c>
      <c r="N21" s="24">
        <v>315467707.30910349</v>
      </c>
      <c r="O21" s="24">
        <f t="shared" ref="O21:Q25" si="0">N21*(1+((N21/M21)-1))</f>
        <v>317991448.96757632</v>
      </c>
      <c r="P21" s="24">
        <f t="shared" si="0"/>
        <v>320535380.55931693</v>
      </c>
      <c r="Q21" s="24">
        <f t="shared" si="0"/>
        <v>323099663.60379148</v>
      </c>
      <c r="R21" s="8"/>
      <c r="S21" s="8"/>
      <c r="T21" s="142">
        <v>282265263.00000006</v>
      </c>
      <c r="U21" s="24">
        <v>282828105</v>
      </c>
      <c r="V21" s="24">
        <v>283531657.5</v>
      </c>
      <c r="W21" s="143">
        <v>284235210</v>
      </c>
      <c r="X21" s="24">
        <v>284945798.02500004</v>
      </c>
      <c r="Y21" s="24">
        <v>285656386.05000001</v>
      </c>
      <c r="Z21" s="24">
        <v>286366974.07500005</v>
      </c>
      <c r="AA21" s="143">
        <v>287077562.10000002</v>
      </c>
      <c r="AB21" s="24">
        <v>288613728.57499999</v>
      </c>
      <c r="AC21" s="24">
        <v>290809777</v>
      </c>
      <c r="AD21" s="24">
        <v>292345943.47499996</v>
      </c>
      <c r="AE21" s="143">
        <v>293222228</v>
      </c>
      <c r="AF21" s="24">
        <v>293835585.5</v>
      </c>
      <c r="AG21" s="24">
        <v>294678000</v>
      </c>
      <c r="AH21" s="24">
        <v>295291357.5</v>
      </c>
      <c r="AI21" s="143">
        <v>295675658</v>
      </c>
      <c r="AJ21" s="24">
        <v>296203603</v>
      </c>
      <c r="AK21" s="24">
        <v>296507061</v>
      </c>
      <c r="AL21" s="24">
        <v>297035006</v>
      </c>
      <c r="AM21" s="143">
        <v>297787438</v>
      </c>
      <c r="AN21" s="24">
        <v>298562781.50000006</v>
      </c>
      <c r="AO21" s="24">
        <v>299398484</v>
      </c>
      <c r="AP21" s="24">
        <v>300173827.5</v>
      </c>
      <c r="AQ21" s="143">
        <v>300888812</v>
      </c>
      <c r="AR21" s="24">
        <v>301453180</v>
      </c>
      <c r="AS21" s="24">
        <v>302225862</v>
      </c>
      <c r="AT21" s="24">
        <v>302790230.00000006</v>
      </c>
      <c r="AU21" s="143">
        <v>303146284</v>
      </c>
      <c r="AV21" s="24">
        <v>303904149.70999998</v>
      </c>
      <c r="AW21" s="24">
        <v>304662015.41999996</v>
      </c>
      <c r="AX21" s="24">
        <v>305419881.12999994</v>
      </c>
      <c r="AY21" s="143">
        <v>306177746.83999997</v>
      </c>
      <c r="AZ21" s="24">
        <f t="shared" ref="AZ21:BB25" si="1">AV21*(1+((AV21/AR21)-1))</f>
        <v>306375047.06687146</v>
      </c>
      <c r="BA21" s="24">
        <f t="shared" si="1"/>
        <v>307117805.95327175</v>
      </c>
      <c r="BB21" s="24">
        <f t="shared" si="1"/>
        <v>308072370.06776369</v>
      </c>
      <c r="BC21" s="24">
        <f>K21</f>
        <v>308016025.90617603</v>
      </c>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4"/>
    </row>
    <row r="22" spans="1:86" ht="11.25" customHeight="1">
      <c r="A22" s="3" t="s">
        <v>144</v>
      </c>
      <c r="B22" s="3"/>
      <c r="C22" s="24">
        <v>108209000</v>
      </c>
      <c r="D22" s="24">
        <v>109297000</v>
      </c>
      <c r="E22" s="24">
        <v>113100000</v>
      </c>
      <c r="F22" s="24">
        <v>113800000</v>
      </c>
      <c r="G22" s="24">
        <v>115200000</v>
      </c>
      <c r="H22" s="24">
        <v>116665264.8</v>
      </c>
      <c r="I22" s="24">
        <v>117601390.6199103</v>
      </c>
      <c r="J22" s="17">
        <v>118953806.61203928</v>
      </c>
      <c r="K22" s="24">
        <v>120321775.38807774</v>
      </c>
      <c r="L22" s="24">
        <v>121705475.80504064</v>
      </c>
      <c r="M22" s="24">
        <v>123105088.77679862</v>
      </c>
      <c r="N22" s="24">
        <v>124520797.29773182</v>
      </c>
      <c r="O22" s="24">
        <f t="shared" si="0"/>
        <v>125952786.46665575</v>
      </c>
      <c r="P22" s="24">
        <f t="shared" si="0"/>
        <v>127401243.5110223</v>
      </c>
      <c r="Q22" s="24">
        <f t="shared" si="0"/>
        <v>128866357.81139906</v>
      </c>
      <c r="R22" s="8"/>
      <c r="S22" s="8"/>
      <c r="T22" s="142">
        <v>107299230.9594461</v>
      </c>
      <c r="U22" s="24">
        <v>107567479.03684472</v>
      </c>
      <c r="V22" s="24">
        <v>107836397.73443682</v>
      </c>
      <c r="W22" s="143">
        <v>108209000</v>
      </c>
      <c r="X22" s="24">
        <v>108479522.5</v>
      </c>
      <c r="Y22" s="24">
        <v>108750721.30624999</v>
      </c>
      <c r="Z22" s="24">
        <v>109022598.10951561</v>
      </c>
      <c r="AA22" s="143">
        <v>109297000</v>
      </c>
      <c r="AB22" s="24">
        <v>109679539.5</v>
      </c>
      <c r="AC22" s="24">
        <v>110063417.88825001</v>
      </c>
      <c r="AD22" s="24">
        <v>110448639.8508589</v>
      </c>
      <c r="AE22" s="143">
        <v>113100000</v>
      </c>
      <c r="AF22" s="24">
        <v>113269650</v>
      </c>
      <c r="AG22" s="24">
        <v>113439554.47500001</v>
      </c>
      <c r="AH22" s="24">
        <v>113609713.80671251</v>
      </c>
      <c r="AI22" s="143">
        <v>113800000</v>
      </c>
      <c r="AJ22" s="24">
        <v>114500000</v>
      </c>
      <c r="AK22" s="24">
        <v>114400000</v>
      </c>
      <c r="AL22" s="24">
        <v>114300087.33624455</v>
      </c>
      <c r="AM22" s="143">
        <v>115200000</v>
      </c>
      <c r="AN22" s="24">
        <v>115500000</v>
      </c>
      <c r="AO22" s="24">
        <v>116200000</v>
      </c>
      <c r="AP22" s="24">
        <v>116432400</v>
      </c>
      <c r="AQ22" s="143">
        <v>116665264.8</v>
      </c>
      <c r="AR22" s="24">
        <v>116898595.32959999</v>
      </c>
      <c r="AS22" s="24">
        <v>117132392.52025919</v>
      </c>
      <c r="AT22" s="24">
        <v>117366657.3052997</v>
      </c>
      <c r="AU22" s="143">
        <v>117601390.6199103</v>
      </c>
      <c r="AV22" s="24">
        <v>117836593.40115012</v>
      </c>
      <c r="AW22" s="24">
        <v>118072266.58795242</v>
      </c>
      <c r="AX22" s="24">
        <v>118308411.12112832</v>
      </c>
      <c r="AY22" s="143">
        <v>118545027.94337058</v>
      </c>
      <c r="AZ22" s="24">
        <f t="shared" si="1"/>
        <v>118782117.99925731</v>
      </c>
      <c r="BA22" s="24">
        <f t="shared" si="1"/>
        <v>119019682.23525582</v>
      </c>
      <c r="BB22" s="24">
        <f t="shared" si="1"/>
        <v>119257721.59972633</v>
      </c>
      <c r="BC22" s="24">
        <f>K22</f>
        <v>120321775.38807774</v>
      </c>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4"/>
    </row>
    <row r="23" spans="1:86" ht="11.25" customHeight="1">
      <c r="A23" s="3" t="s">
        <v>145</v>
      </c>
      <c r="B23" s="3"/>
      <c r="C23" s="24">
        <v>128374512</v>
      </c>
      <c r="D23" s="24">
        <v>140766842</v>
      </c>
      <c r="E23" s="24">
        <v>158721981</v>
      </c>
      <c r="F23" s="24">
        <v>182140362</v>
      </c>
      <c r="G23" s="24">
        <v>207896198.00000003</v>
      </c>
      <c r="H23" s="24">
        <v>233040781</v>
      </c>
      <c r="I23" s="24">
        <v>255395599.00000003</v>
      </c>
      <c r="J23" s="142">
        <v>268990657.79000574</v>
      </c>
      <c r="K23" s="24">
        <v>279612204.91737759</v>
      </c>
      <c r="L23" s="24">
        <v>287640049.22485852</v>
      </c>
      <c r="M23" s="24">
        <v>293264775.59822267</v>
      </c>
      <c r="N23" s="24">
        <v>296414831.44503802</v>
      </c>
      <c r="O23" s="24">
        <f t="shared" si="0"/>
        <v>299598723.10393757</v>
      </c>
      <c r="P23" s="24">
        <f t="shared" si="0"/>
        <v>302816814.01678872</v>
      </c>
      <c r="Q23" s="24">
        <f t="shared" si="0"/>
        <v>306069471.52931052</v>
      </c>
      <c r="R23" s="8"/>
      <c r="S23" s="8"/>
      <c r="T23" s="142">
        <v>114478000</v>
      </c>
      <c r="U23" s="24">
        <v>118397734</v>
      </c>
      <c r="V23" s="24">
        <v>123678000</v>
      </c>
      <c r="W23" s="143">
        <v>128374512</v>
      </c>
      <c r="X23" s="24">
        <v>131467940.99999999</v>
      </c>
      <c r="Y23" s="24">
        <v>134561370</v>
      </c>
      <c r="Z23" s="24">
        <v>135236370.72</v>
      </c>
      <c r="AA23" s="143">
        <v>140766842</v>
      </c>
      <c r="AB23" s="24">
        <v>143878343.16</v>
      </c>
      <c r="AC23" s="24">
        <v>148065824</v>
      </c>
      <c r="AD23" s="24">
        <v>151000943.995</v>
      </c>
      <c r="AE23" s="143">
        <v>158721981</v>
      </c>
      <c r="AF23" s="24">
        <v>164145982.59761146</v>
      </c>
      <c r="AG23" s="24">
        <v>169467393</v>
      </c>
      <c r="AH23" s="24">
        <v>175114044.29035622</v>
      </c>
      <c r="AI23" s="143">
        <v>182140362</v>
      </c>
      <c r="AJ23" s="24">
        <v>188367083.54999998</v>
      </c>
      <c r="AK23" s="24">
        <v>194633364</v>
      </c>
      <c r="AL23" s="24">
        <v>199337670.80000001</v>
      </c>
      <c r="AM23" s="143">
        <v>207896198</v>
      </c>
      <c r="AN23" s="24">
        <v>215815263.15000001</v>
      </c>
      <c r="AO23" s="24">
        <v>219420457</v>
      </c>
      <c r="AP23" s="24">
        <v>223873271.34999999</v>
      </c>
      <c r="AQ23" s="143">
        <v>233040781</v>
      </c>
      <c r="AR23" s="24">
        <v>238607234.37999997</v>
      </c>
      <c r="AS23" s="24">
        <v>243428202</v>
      </c>
      <c r="AT23" s="24">
        <v>247975967.89999998</v>
      </c>
      <c r="AU23" s="143">
        <v>255395599</v>
      </c>
      <c r="AV23" s="24">
        <v>258774778.83050001</v>
      </c>
      <c r="AW23" s="24">
        <v>262500731.04586861</v>
      </c>
      <c r="AX23" s="24">
        <v>265499888.34357518</v>
      </c>
      <c r="AY23" s="143">
        <v>269605863.09173715</v>
      </c>
      <c r="AZ23" s="24">
        <f t="shared" si="1"/>
        <v>280646923.10262632</v>
      </c>
      <c r="BA23" s="24">
        <f t="shared" si="1"/>
        <v>283067587.21249336</v>
      </c>
      <c r="BB23" s="24">
        <f t="shared" si="1"/>
        <v>284262185.99891543</v>
      </c>
      <c r="BC23" s="24">
        <f>K23</f>
        <v>279612204.91737759</v>
      </c>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4"/>
    </row>
    <row r="24" spans="1:86" ht="11.25" customHeight="1">
      <c r="A24" s="3" t="s">
        <v>146</v>
      </c>
      <c r="B24" s="3"/>
      <c r="C24" s="24">
        <v>171673144.67926776</v>
      </c>
      <c r="D24" s="24">
        <v>166554078.40753675</v>
      </c>
      <c r="E24" s="24">
        <v>159839171</v>
      </c>
      <c r="F24" s="24">
        <v>155950175</v>
      </c>
      <c r="G24" s="24">
        <v>152727805.99999997</v>
      </c>
      <c r="H24" s="24">
        <v>142489377.96610168</v>
      </c>
      <c r="I24" s="24">
        <v>131928889</v>
      </c>
      <c r="J24" s="142">
        <v>119570535.362</v>
      </c>
      <c r="K24" s="24">
        <v>108197660.63343599</v>
      </c>
      <c r="L24" s="24">
        <v>99430489.702780798</v>
      </c>
      <c r="M24" s="24">
        <v>92506337.79391928</v>
      </c>
      <c r="N24" s="24">
        <v>86557028.720696107</v>
      </c>
      <c r="O24" s="24">
        <f t="shared" si="0"/>
        <v>80990334.280078813</v>
      </c>
      <c r="P24" s="24">
        <f t="shared" si="0"/>
        <v>75781647.588262513</v>
      </c>
      <c r="Q24" s="24">
        <f t="shared" si="0"/>
        <v>70907944.290386558</v>
      </c>
      <c r="R24" s="8"/>
      <c r="S24" s="8"/>
      <c r="T24" s="142">
        <v>166233989.5</v>
      </c>
      <c r="U24" s="24">
        <v>166116860</v>
      </c>
      <c r="V24" s="24">
        <v>165109543.50000003</v>
      </c>
      <c r="W24" s="143">
        <v>171673144.67926776</v>
      </c>
      <c r="X24" s="24">
        <v>163272201.5</v>
      </c>
      <c r="Y24" s="24">
        <v>161436818.5</v>
      </c>
      <c r="Z24" s="24">
        <v>159940752</v>
      </c>
      <c r="AA24" s="143">
        <v>166554078.40753675</v>
      </c>
      <c r="AB24" s="24">
        <v>156814774</v>
      </c>
      <c r="AC24" s="24">
        <v>154885400.99999997</v>
      </c>
      <c r="AD24" s="24">
        <v>153425718</v>
      </c>
      <c r="AE24" s="143">
        <v>159839171</v>
      </c>
      <c r="AF24" s="24">
        <v>161382627</v>
      </c>
      <c r="AG24" s="24">
        <v>159430582.00000003</v>
      </c>
      <c r="AH24" s="24">
        <v>157663221</v>
      </c>
      <c r="AI24" s="143">
        <v>155950175</v>
      </c>
      <c r="AJ24" s="24">
        <v>160416707.78126034</v>
      </c>
      <c r="AK24" s="24">
        <v>157711024.54801029</v>
      </c>
      <c r="AL24" s="24">
        <v>155201679.47368422</v>
      </c>
      <c r="AM24" s="143">
        <v>152727805.99999997</v>
      </c>
      <c r="AN24" s="24">
        <v>150467444</v>
      </c>
      <c r="AO24" s="24">
        <v>147461677</v>
      </c>
      <c r="AP24" s="24">
        <v>144884546</v>
      </c>
      <c r="AQ24" s="143">
        <v>142489377.96610168</v>
      </c>
      <c r="AR24" s="24">
        <v>140228460.68449199</v>
      </c>
      <c r="AS24" s="24">
        <v>137283047.00000003</v>
      </c>
      <c r="AT24" s="24">
        <v>134581196</v>
      </c>
      <c r="AU24" s="143">
        <v>131928889</v>
      </c>
      <c r="AV24" s="24">
        <v>129444977.00000001</v>
      </c>
      <c r="AW24" s="24">
        <v>126177381.39999999</v>
      </c>
      <c r="AX24" s="24">
        <v>122871559.60000001</v>
      </c>
      <c r="AY24" s="143">
        <v>119570535.362</v>
      </c>
      <c r="AZ24" s="24">
        <f t="shared" si="1"/>
        <v>119490736.67884594</v>
      </c>
      <c r="BA24" s="24">
        <f t="shared" si="1"/>
        <v>115970121.03731249</v>
      </c>
      <c r="BB24" s="24">
        <f t="shared" si="1"/>
        <v>112180754.86962052</v>
      </c>
      <c r="BC24" s="24">
        <f>K24</f>
        <v>108197660.63343599</v>
      </c>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4"/>
    </row>
    <row r="25" spans="1:86" ht="11.25" customHeight="1">
      <c r="A25" s="3" t="s">
        <v>147</v>
      </c>
      <c r="B25" s="3"/>
      <c r="C25" s="24">
        <v>4248551</v>
      </c>
      <c r="D25" s="24">
        <v>6836705</v>
      </c>
      <c r="E25" s="24">
        <v>10069476.999999998</v>
      </c>
      <c r="F25" s="24">
        <v>14997724</v>
      </c>
      <c r="G25" s="24">
        <v>18553936.079745866</v>
      </c>
      <c r="H25" s="24">
        <v>24277692.823739611</v>
      </c>
      <c r="I25" s="24">
        <v>28735997</v>
      </c>
      <c r="J25" s="142">
        <v>30822504.200000003</v>
      </c>
      <c r="K25" s="24">
        <v>32213708.165399998</v>
      </c>
      <c r="L25" s="24">
        <v>33476819.221733335</v>
      </c>
      <c r="M25" s="24">
        <v>34537147.755690835</v>
      </c>
      <c r="N25" s="24">
        <v>35236305.467805363</v>
      </c>
      <c r="O25" s="24">
        <f t="shared" si="0"/>
        <v>35949616.679504365</v>
      </c>
      <c r="P25" s="24">
        <f t="shared" si="0"/>
        <v>36677367.909189939</v>
      </c>
      <c r="Q25" s="24">
        <f t="shared" si="0"/>
        <v>37419851.475440614</v>
      </c>
      <c r="R25" s="8"/>
      <c r="S25" s="8"/>
      <c r="T25" s="142">
        <v>2352781</v>
      </c>
      <c r="U25" s="24">
        <v>2725419</v>
      </c>
      <c r="V25" s="24">
        <v>3185320</v>
      </c>
      <c r="W25" s="143">
        <v>4248551</v>
      </c>
      <c r="X25" s="24">
        <v>4861991</v>
      </c>
      <c r="Y25" s="24">
        <v>5437731</v>
      </c>
      <c r="Z25" s="24">
        <v>6125525</v>
      </c>
      <c r="AA25" s="143">
        <v>6836705</v>
      </c>
      <c r="AB25" s="24">
        <v>7549730</v>
      </c>
      <c r="AC25" s="24">
        <v>8211174.9999999991</v>
      </c>
      <c r="AD25" s="24">
        <v>9092253</v>
      </c>
      <c r="AE25" s="143">
        <v>10069476.999999998</v>
      </c>
      <c r="AF25" s="24">
        <v>11380384</v>
      </c>
      <c r="AG25" s="24">
        <v>12411631</v>
      </c>
      <c r="AH25" s="24">
        <v>13593968</v>
      </c>
      <c r="AI25" s="143">
        <v>14997724</v>
      </c>
      <c r="AJ25" s="24">
        <v>14567490.530577682</v>
      </c>
      <c r="AK25" s="24">
        <v>15551229.375516031</v>
      </c>
      <c r="AL25" s="24">
        <v>16995582.005420029</v>
      </c>
      <c r="AM25" s="143">
        <v>18553936.079745866</v>
      </c>
      <c r="AN25" s="24">
        <v>20297402.442906398</v>
      </c>
      <c r="AO25" s="24">
        <v>21522258.462224659</v>
      </c>
      <c r="AP25" s="24">
        <v>22917943.063855786</v>
      </c>
      <c r="AQ25" s="143">
        <v>24277692.823739611</v>
      </c>
      <c r="AR25" s="24">
        <v>25796257.708360661</v>
      </c>
      <c r="AS25" s="24">
        <v>26747723.583343096</v>
      </c>
      <c r="AT25" s="24">
        <v>27816495.290255088</v>
      </c>
      <c r="AU25" s="143">
        <v>28735997</v>
      </c>
      <c r="AV25" s="24">
        <v>29752098</v>
      </c>
      <c r="AW25" s="24">
        <v>29977856.999999996</v>
      </c>
      <c r="AX25" s="24">
        <v>30414879</v>
      </c>
      <c r="AY25" s="143">
        <v>30822504.200000003</v>
      </c>
      <c r="AZ25" s="24">
        <f t="shared" si="1"/>
        <v>34314563.973157682</v>
      </c>
      <c r="BA25" s="24">
        <f t="shared" si="1"/>
        <v>33598070.785810299</v>
      </c>
      <c r="BB25" s="24">
        <f t="shared" si="1"/>
        <v>33255981.92482277</v>
      </c>
      <c r="BC25" s="24">
        <f>K25</f>
        <v>32213708.165399998</v>
      </c>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4"/>
    </row>
    <row r="26" spans="1:86" ht="11.25" customHeight="1">
      <c r="A26" s="2" t="s">
        <v>148</v>
      </c>
      <c r="B26" s="3"/>
      <c r="C26" s="3"/>
      <c r="D26" s="3"/>
      <c r="E26" s="3"/>
      <c r="F26" s="3"/>
      <c r="G26" s="3"/>
      <c r="H26" s="3"/>
      <c r="I26" s="3"/>
      <c r="J26" s="9"/>
      <c r="K26" s="3"/>
      <c r="L26" s="3"/>
      <c r="M26" s="3"/>
      <c r="N26" s="3"/>
      <c r="O26" s="3"/>
      <c r="P26" s="3"/>
      <c r="Q26" s="3"/>
      <c r="R26" s="3"/>
      <c r="S26" s="3"/>
      <c r="T26" s="9"/>
      <c r="U26" s="3"/>
      <c r="V26" s="3"/>
      <c r="W26" s="10"/>
      <c r="X26" s="3"/>
      <c r="Y26" s="3"/>
      <c r="Z26" s="3"/>
      <c r="AA26" s="10"/>
      <c r="AB26" s="3"/>
      <c r="AC26" s="3"/>
      <c r="AD26" s="3"/>
      <c r="AE26" s="10"/>
      <c r="AF26" s="3"/>
      <c r="AG26" s="3"/>
      <c r="AH26" s="3"/>
      <c r="AI26" s="10"/>
      <c r="AJ26" s="3"/>
      <c r="AK26" s="3"/>
      <c r="AL26" s="3"/>
      <c r="AM26" s="10"/>
      <c r="AN26" s="3"/>
      <c r="AO26" s="3"/>
      <c r="AP26" s="3"/>
      <c r="AQ26" s="10"/>
      <c r="AR26" s="3"/>
      <c r="AS26" s="3"/>
      <c r="AT26" s="3"/>
      <c r="AU26" s="10"/>
      <c r="AV26" s="3"/>
      <c r="AW26" s="3"/>
      <c r="AX26" s="3"/>
      <c r="AY26" s="10"/>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4"/>
    </row>
    <row r="27" spans="1:86" ht="11.25" customHeight="1">
      <c r="A27" s="13" t="s">
        <v>149</v>
      </c>
      <c r="B27" s="3"/>
      <c r="C27" s="13" t="e">
        <f>#REF!</f>
        <v>#REF!</v>
      </c>
      <c r="D27" s="13" t="e">
        <f>#REF!</f>
        <v>#REF!</v>
      </c>
      <c r="E27" s="13" t="e">
        <f>#REF!</f>
        <v>#REF!</v>
      </c>
      <c r="F27" s="13" t="e">
        <f>#REF!</f>
        <v>#REF!</v>
      </c>
      <c r="G27" s="13" t="e">
        <f>#REF!</f>
        <v>#REF!</v>
      </c>
      <c r="H27" s="13" t="e">
        <f>#REF!</f>
        <v>#REF!</v>
      </c>
      <c r="I27" s="13" t="e">
        <f>#REF!</f>
        <v>#REF!</v>
      </c>
      <c r="J27" s="15" t="e">
        <f>#REF!</f>
        <v>#REF!</v>
      </c>
      <c r="K27" s="13" t="e">
        <f>#REF!</f>
        <v>#REF!</v>
      </c>
      <c r="L27" s="13" t="e">
        <f>#REF!</f>
        <v>#REF!</v>
      </c>
      <c r="M27" s="13" t="e">
        <f>#REF!</f>
        <v>#REF!</v>
      </c>
      <c r="N27" s="13" t="e">
        <f>#REF!</f>
        <v>#REF!</v>
      </c>
      <c r="O27" s="13" t="e">
        <f>#REF!</f>
        <v>#REF!</v>
      </c>
      <c r="P27" s="13" t="e">
        <f>#REF!</f>
        <v>#REF!</v>
      </c>
      <c r="Q27" s="13" t="e">
        <f>#REF!</f>
        <v>#REF!</v>
      </c>
      <c r="R27" s="3"/>
      <c r="S27" s="3"/>
      <c r="T27" s="15" t="e">
        <f>#REF!</f>
        <v>#REF!</v>
      </c>
      <c r="U27" s="13" t="e">
        <f>#REF!</f>
        <v>#REF!</v>
      </c>
      <c r="V27" s="13" t="e">
        <f>#REF!</f>
        <v>#REF!</v>
      </c>
      <c r="W27" s="14" t="e">
        <f>#REF!</f>
        <v>#REF!</v>
      </c>
      <c r="X27" s="13" t="e">
        <f>#REF!</f>
        <v>#REF!</v>
      </c>
      <c r="Y27" s="13" t="e">
        <f>#REF!</f>
        <v>#REF!</v>
      </c>
      <c r="Z27" s="13" t="e">
        <f>#REF!</f>
        <v>#REF!</v>
      </c>
      <c r="AA27" s="14" t="e">
        <f>#REF!</f>
        <v>#REF!</v>
      </c>
      <c r="AB27" s="13" t="e">
        <f>#REF!</f>
        <v>#REF!</v>
      </c>
      <c r="AC27" s="13" t="e">
        <f>#REF!</f>
        <v>#REF!</v>
      </c>
      <c r="AD27" s="13" t="e">
        <f>#REF!</f>
        <v>#REF!</v>
      </c>
      <c r="AE27" s="14" t="e">
        <f>#REF!</f>
        <v>#REF!</v>
      </c>
      <c r="AF27" s="13" t="e">
        <f>#REF!</f>
        <v>#REF!</v>
      </c>
      <c r="AG27" s="13" t="e">
        <f>#REF!</f>
        <v>#REF!</v>
      </c>
      <c r="AH27" s="13" t="e">
        <f>#REF!</f>
        <v>#REF!</v>
      </c>
      <c r="AI27" s="14" t="e">
        <f>#REF!</f>
        <v>#REF!</v>
      </c>
      <c r="AJ27" s="13" t="e">
        <f>#REF!</f>
        <v>#REF!</v>
      </c>
      <c r="AK27" s="13" t="e">
        <f>#REF!</f>
        <v>#REF!</v>
      </c>
      <c r="AL27" s="13" t="e">
        <f>#REF!</f>
        <v>#REF!</v>
      </c>
      <c r="AM27" s="14" t="e">
        <f>#REF!</f>
        <v>#REF!</v>
      </c>
      <c r="AN27" s="13" t="e">
        <f>#REF!</f>
        <v>#REF!</v>
      </c>
      <c r="AO27" s="13" t="e">
        <f>#REF!</f>
        <v>#REF!</v>
      </c>
      <c r="AP27" s="13" t="e">
        <f>#REF!</f>
        <v>#REF!</v>
      </c>
      <c r="AQ27" s="14" t="e">
        <f>#REF!</f>
        <v>#REF!</v>
      </c>
      <c r="AR27" s="13" t="e">
        <f>#REF!</f>
        <v>#REF!</v>
      </c>
      <c r="AS27" s="13" t="e">
        <f>#REF!</f>
        <v>#REF!</v>
      </c>
      <c r="AT27" s="13" t="e">
        <f>#REF!</f>
        <v>#REF!</v>
      </c>
      <c r="AU27" s="14" t="e">
        <f>#REF!</f>
        <v>#REF!</v>
      </c>
      <c r="AV27" s="13" t="e">
        <f>#REF!</f>
        <v>#REF!</v>
      </c>
      <c r="AW27" s="13" t="e">
        <f>#REF!</f>
        <v>#REF!</v>
      </c>
      <c r="AX27" s="13" t="e">
        <f>#REF!</f>
        <v>#REF!</v>
      </c>
      <c r="AY27" s="14" t="e">
        <f>#REF!</f>
        <v>#REF!</v>
      </c>
      <c r="AZ27" s="13" t="e">
        <f>#REF!</f>
        <v>#REF!</v>
      </c>
      <c r="BA27" s="13" t="e">
        <f>#REF!</f>
        <v>#REF!</v>
      </c>
      <c r="BB27" s="13" t="e">
        <f>#REF!</f>
        <v>#REF!</v>
      </c>
      <c r="BC27" s="13" t="e">
        <f>#REF!</f>
        <v>#REF!</v>
      </c>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4"/>
    </row>
    <row r="28" spans="1:86" ht="11.25" customHeight="1">
      <c r="A28" s="13" t="s">
        <v>150</v>
      </c>
      <c r="B28" s="13"/>
      <c r="C28" s="13" t="e">
        <f t="shared" ref="C28:Q28" si="2">AVERAGE(B27:C27)</f>
        <v>#REF!</v>
      </c>
      <c r="D28" s="13" t="e">
        <f t="shared" si="2"/>
        <v>#REF!</v>
      </c>
      <c r="E28" s="13" t="e">
        <f t="shared" si="2"/>
        <v>#REF!</v>
      </c>
      <c r="F28" s="13" t="e">
        <f t="shared" si="2"/>
        <v>#REF!</v>
      </c>
      <c r="G28" s="13" t="e">
        <f t="shared" si="2"/>
        <v>#REF!</v>
      </c>
      <c r="H28" s="13" t="e">
        <f t="shared" si="2"/>
        <v>#REF!</v>
      </c>
      <c r="I28" s="13" t="e">
        <f t="shared" si="2"/>
        <v>#REF!</v>
      </c>
      <c r="J28" s="15" t="e">
        <f t="shared" si="2"/>
        <v>#REF!</v>
      </c>
      <c r="K28" s="13" t="e">
        <f t="shared" si="2"/>
        <v>#REF!</v>
      </c>
      <c r="L28" s="13" t="e">
        <f t="shared" si="2"/>
        <v>#REF!</v>
      </c>
      <c r="M28" s="13" t="e">
        <f t="shared" si="2"/>
        <v>#REF!</v>
      </c>
      <c r="N28" s="13" t="e">
        <f t="shared" si="2"/>
        <v>#REF!</v>
      </c>
      <c r="O28" s="13" t="e">
        <f t="shared" si="2"/>
        <v>#REF!</v>
      </c>
      <c r="P28" s="13" t="e">
        <f t="shared" si="2"/>
        <v>#REF!</v>
      </c>
      <c r="Q28" s="13" t="e">
        <f t="shared" si="2"/>
        <v>#REF!</v>
      </c>
      <c r="R28" s="13"/>
      <c r="S28" s="13"/>
      <c r="T28" s="15" t="e">
        <f t="shared" ref="T28:BC28" si="3">AVERAGE(S27:T27)</f>
        <v>#REF!</v>
      </c>
      <c r="U28" s="13" t="e">
        <f t="shared" si="3"/>
        <v>#REF!</v>
      </c>
      <c r="V28" s="13" t="e">
        <f t="shared" si="3"/>
        <v>#REF!</v>
      </c>
      <c r="W28" s="14" t="e">
        <f t="shared" si="3"/>
        <v>#REF!</v>
      </c>
      <c r="X28" s="13" t="e">
        <f t="shared" si="3"/>
        <v>#REF!</v>
      </c>
      <c r="Y28" s="13" t="e">
        <f t="shared" si="3"/>
        <v>#REF!</v>
      </c>
      <c r="Z28" s="13" t="e">
        <f t="shared" si="3"/>
        <v>#REF!</v>
      </c>
      <c r="AA28" s="14" t="e">
        <f t="shared" si="3"/>
        <v>#REF!</v>
      </c>
      <c r="AB28" s="13" t="e">
        <f t="shared" si="3"/>
        <v>#REF!</v>
      </c>
      <c r="AC28" s="13" t="e">
        <f t="shared" si="3"/>
        <v>#REF!</v>
      </c>
      <c r="AD28" s="13" t="e">
        <f t="shared" si="3"/>
        <v>#REF!</v>
      </c>
      <c r="AE28" s="14" t="e">
        <f t="shared" si="3"/>
        <v>#REF!</v>
      </c>
      <c r="AF28" s="13" t="e">
        <f t="shared" si="3"/>
        <v>#REF!</v>
      </c>
      <c r="AG28" s="13" t="e">
        <f t="shared" si="3"/>
        <v>#REF!</v>
      </c>
      <c r="AH28" s="13" t="e">
        <f t="shared" si="3"/>
        <v>#REF!</v>
      </c>
      <c r="AI28" s="14" t="e">
        <f t="shared" si="3"/>
        <v>#REF!</v>
      </c>
      <c r="AJ28" s="13" t="e">
        <f t="shared" si="3"/>
        <v>#REF!</v>
      </c>
      <c r="AK28" s="13" t="e">
        <f t="shared" si="3"/>
        <v>#REF!</v>
      </c>
      <c r="AL28" s="13" t="e">
        <f t="shared" si="3"/>
        <v>#REF!</v>
      </c>
      <c r="AM28" s="14" t="e">
        <f t="shared" si="3"/>
        <v>#REF!</v>
      </c>
      <c r="AN28" s="13" t="e">
        <f t="shared" si="3"/>
        <v>#REF!</v>
      </c>
      <c r="AO28" s="13" t="e">
        <f t="shared" si="3"/>
        <v>#REF!</v>
      </c>
      <c r="AP28" s="13" t="e">
        <f t="shared" si="3"/>
        <v>#REF!</v>
      </c>
      <c r="AQ28" s="14" t="e">
        <f t="shared" si="3"/>
        <v>#REF!</v>
      </c>
      <c r="AR28" s="13" t="e">
        <f t="shared" si="3"/>
        <v>#REF!</v>
      </c>
      <c r="AS28" s="13" t="e">
        <f t="shared" si="3"/>
        <v>#REF!</v>
      </c>
      <c r="AT28" s="13" t="e">
        <f t="shared" si="3"/>
        <v>#REF!</v>
      </c>
      <c r="AU28" s="14" t="e">
        <f t="shared" si="3"/>
        <v>#REF!</v>
      </c>
      <c r="AV28" s="13" t="e">
        <f t="shared" si="3"/>
        <v>#REF!</v>
      </c>
      <c r="AW28" s="13" t="e">
        <f t="shared" si="3"/>
        <v>#REF!</v>
      </c>
      <c r="AX28" s="13" t="e">
        <f t="shared" si="3"/>
        <v>#REF!</v>
      </c>
      <c r="AY28" s="14" t="e">
        <f t="shared" si="3"/>
        <v>#REF!</v>
      </c>
      <c r="AZ28" s="13" t="e">
        <f t="shared" si="3"/>
        <v>#REF!</v>
      </c>
      <c r="BA28" s="13" t="e">
        <f t="shared" si="3"/>
        <v>#REF!</v>
      </c>
      <c r="BB28" s="13" t="e">
        <f t="shared" si="3"/>
        <v>#REF!</v>
      </c>
      <c r="BC28" s="13" t="e">
        <f t="shared" si="3"/>
        <v>#REF!</v>
      </c>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26"/>
    </row>
    <row r="29" spans="1:86" ht="11.25" customHeight="1">
      <c r="A29" s="2" t="s">
        <v>151</v>
      </c>
      <c r="B29" s="3"/>
      <c r="C29" s="3"/>
      <c r="D29" s="3"/>
      <c r="E29" s="3"/>
      <c r="F29" s="3"/>
      <c r="G29" s="3"/>
      <c r="H29" s="3"/>
      <c r="I29" s="3"/>
      <c r="J29" s="9"/>
      <c r="K29" s="3"/>
      <c r="L29" s="3"/>
      <c r="M29" s="3"/>
      <c r="N29" s="3"/>
      <c r="O29" s="3"/>
      <c r="P29" s="3"/>
      <c r="Q29" s="3"/>
      <c r="R29" s="3"/>
      <c r="S29" s="3"/>
      <c r="T29" s="9"/>
      <c r="U29" s="3"/>
      <c r="V29" s="3"/>
      <c r="W29" s="10"/>
      <c r="X29" s="3"/>
      <c r="Y29" s="3"/>
      <c r="Z29" s="3"/>
      <c r="AA29" s="10"/>
      <c r="AB29" s="3"/>
      <c r="AC29" s="3"/>
      <c r="AD29" s="3"/>
      <c r="AE29" s="10"/>
      <c r="AF29" s="3"/>
      <c r="AG29" s="3"/>
      <c r="AH29" s="3"/>
      <c r="AI29" s="10"/>
      <c r="AJ29" s="3"/>
      <c r="AK29" s="3"/>
      <c r="AL29" s="3"/>
      <c r="AM29" s="10"/>
      <c r="AN29" s="3"/>
      <c r="AO29" s="3"/>
      <c r="AP29" s="3"/>
      <c r="AQ29" s="10"/>
      <c r="AR29" s="3"/>
      <c r="AS29" s="3"/>
      <c r="AT29" s="3"/>
      <c r="AU29" s="10"/>
      <c r="AV29" s="3"/>
      <c r="AW29" s="3"/>
      <c r="AX29" s="3"/>
      <c r="AY29" s="10"/>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4"/>
    </row>
    <row r="30" spans="1:86" ht="11.25" customHeight="1">
      <c r="A30" s="3" t="s">
        <v>152</v>
      </c>
      <c r="B30" s="3"/>
      <c r="C30" s="13" t="e">
        <f>#REF!</f>
        <v>#REF!</v>
      </c>
      <c r="D30" s="13" t="e">
        <f>#REF!</f>
        <v>#REF!</v>
      </c>
      <c r="E30" s="13" t="e">
        <f>#REF!</f>
        <v>#REF!</v>
      </c>
      <c r="F30" s="13" t="e">
        <f>#REF!</f>
        <v>#REF!</v>
      </c>
      <c r="G30" s="13" t="e">
        <f>#REF!</f>
        <v>#REF!</v>
      </c>
      <c r="H30" s="13" t="e">
        <f>#REF!</f>
        <v>#REF!</v>
      </c>
      <c r="I30" s="13" t="e">
        <f>#REF!</f>
        <v>#REF!</v>
      </c>
      <c r="J30" s="15" t="e">
        <f>#REF!</f>
        <v>#REF!</v>
      </c>
      <c r="K30" s="13" t="e">
        <f>#REF!</f>
        <v>#REF!</v>
      </c>
      <c r="L30" s="13" t="e">
        <f>#REF!</f>
        <v>#REF!</v>
      </c>
      <c r="M30" s="13" t="e">
        <f>#REF!</f>
        <v>#REF!</v>
      </c>
      <c r="N30" s="13" t="e">
        <f>#REF!</f>
        <v>#REF!</v>
      </c>
      <c r="O30" s="13" t="e">
        <f>#REF!</f>
        <v>#REF!</v>
      </c>
      <c r="P30" s="13" t="e">
        <f>#REF!</f>
        <v>#REF!</v>
      </c>
      <c r="Q30" s="13" t="e">
        <f>#REF!</f>
        <v>#REF!</v>
      </c>
      <c r="R30" s="13"/>
      <c r="S30" s="3"/>
      <c r="T30" s="22" t="e">
        <f>#REF!</f>
        <v>#REF!</v>
      </c>
      <c r="U30" s="20" t="e">
        <f>#REF!</f>
        <v>#REF!</v>
      </c>
      <c r="V30" s="20" t="e">
        <f>#REF!</f>
        <v>#REF!</v>
      </c>
      <c r="W30" s="21" t="e">
        <f>#REF!</f>
        <v>#REF!</v>
      </c>
      <c r="X30" s="20" t="e">
        <f>#REF!</f>
        <v>#REF!</v>
      </c>
      <c r="Y30" s="20" t="e">
        <f>#REF!</f>
        <v>#REF!</v>
      </c>
      <c r="Z30" s="20" t="e">
        <f>#REF!</f>
        <v>#REF!</v>
      </c>
      <c r="AA30" s="21" t="e">
        <f>#REF!</f>
        <v>#REF!</v>
      </c>
      <c r="AB30" s="20" t="e">
        <f>#REF!</f>
        <v>#REF!</v>
      </c>
      <c r="AC30" s="20" t="e">
        <f>#REF!</f>
        <v>#REF!</v>
      </c>
      <c r="AD30" s="20" t="e">
        <f>#REF!</f>
        <v>#REF!</v>
      </c>
      <c r="AE30" s="21" t="e">
        <f>#REF!</f>
        <v>#REF!</v>
      </c>
      <c r="AF30" s="20" t="e">
        <f>#REF!</f>
        <v>#REF!</v>
      </c>
      <c r="AG30" s="20" t="e">
        <f>#REF!</f>
        <v>#REF!</v>
      </c>
      <c r="AH30" s="20" t="e">
        <f>#REF!</f>
        <v>#REF!</v>
      </c>
      <c r="AI30" s="21" t="e">
        <f>#REF!</f>
        <v>#REF!</v>
      </c>
      <c r="AJ30" s="20" t="e">
        <f>#REF!</f>
        <v>#REF!</v>
      </c>
      <c r="AK30" s="20" t="e">
        <f>#REF!</f>
        <v>#REF!</v>
      </c>
      <c r="AL30" s="20" t="e">
        <f>#REF!</f>
        <v>#REF!</v>
      </c>
      <c r="AM30" s="21" t="e">
        <f>#REF!</f>
        <v>#REF!</v>
      </c>
      <c r="AN30" s="20" t="e">
        <f>#REF!</f>
        <v>#REF!</v>
      </c>
      <c r="AO30" s="20" t="e">
        <f>#REF!</f>
        <v>#REF!</v>
      </c>
      <c r="AP30" s="20" t="e">
        <f>#REF!</f>
        <v>#REF!</v>
      </c>
      <c r="AQ30" s="21" t="e">
        <f>#REF!</f>
        <v>#REF!</v>
      </c>
      <c r="AR30" s="20" t="e">
        <f>#REF!</f>
        <v>#REF!</v>
      </c>
      <c r="AS30" s="20" t="e">
        <f>#REF!</f>
        <v>#REF!</v>
      </c>
      <c r="AT30" s="20" t="e">
        <f>#REF!</f>
        <v>#REF!</v>
      </c>
      <c r="AU30" s="21" t="e">
        <f>#REF!</f>
        <v>#REF!</v>
      </c>
      <c r="AV30" s="20" t="e">
        <f>#REF!</f>
        <v>#REF!</v>
      </c>
      <c r="AW30" s="20" t="e">
        <f>#REF!</f>
        <v>#REF!</v>
      </c>
      <c r="AX30" s="20" t="e">
        <f>#REF!</f>
        <v>#REF!</v>
      </c>
      <c r="AY30" s="21" t="e">
        <f>#REF!</f>
        <v>#REF!</v>
      </c>
      <c r="AZ30" s="20" t="e">
        <f>#REF!</f>
        <v>#REF!</v>
      </c>
      <c r="BA30" s="20" t="e">
        <f>#REF!</f>
        <v>#REF!</v>
      </c>
      <c r="BB30" s="20" t="e">
        <f>#REF!</f>
        <v>#REF!</v>
      </c>
      <c r="BC30" s="20" t="e">
        <f>#REF!</f>
        <v>#REF!</v>
      </c>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4"/>
    </row>
    <row r="31" spans="1:86" ht="11.25" customHeight="1">
      <c r="A31" s="3" t="s">
        <v>153</v>
      </c>
      <c r="B31" s="3"/>
      <c r="C31" s="13">
        <v>0</v>
      </c>
      <c r="D31" s="13">
        <v>0</v>
      </c>
      <c r="E31" s="13">
        <v>0</v>
      </c>
      <c r="F31" s="13">
        <v>0</v>
      </c>
      <c r="G31" s="13">
        <v>120</v>
      </c>
      <c r="H31" s="13">
        <v>38</v>
      </c>
      <c r="I31" s="13">
        <v>2449</v>
      </c>
      <c r="J31" s="15">
        <v>0</v>
      </c>
      <c r="K31" s="13">
        <v>0</v>
      </c>
      <c r="L31" s="13">
        <v>0</v>
      </c>
      <c r="M31" s="13">
        <v>0</v>
      </c>
      <c r="N31" s="13">
        <v>0</v>
      </c>
      <c r="O31" s="13">
        <v>0</v>
      </c>
      <c r="P31" s="13">
        <v>0</v>
      </c>
      <c r="Q31" s="13">
        <v>0</v>
      </c>
      <c r="R31" s="13"/>
      <c r="S31" s="3"/>
      <c r="T31" s="22">
        <v>0</v>
      </c>
      <c r="U31" s="20">
        <v>0</v>
      </c>
      <c r="V31" s="20">
        <v>0</v>
      </c>
      <c r="W31" s="21">
        <v>0</v>
      </c>
      <c r="X31" s="20">
        <v>0</v>
      </c>
      <c r="Y31" s="20">
        <v>0</v>
      </c>
      <c r="Z31" s="20">
        <v>0</v>
      </c>
      <c r="AA31" s="21">
        <v>0</v>
      </c>
      <c r="AB31" s="20">
        <v>0</v>
      </c>
      <c r="AC31" s="20">
        <v>0</v>
      </c>
      <c r="AD31" s="20">
        <v>0</v>
      </c>
      <c r="AE31" s="21">
        <v>0</v>
      </c>
      <c r="AF31" s="20">
        <v>0</v>
      </c>
      <c r="AG31" s="20">
        <v>28</v>
      </c>
      <c r="AH31" s="20">
        <v>29</v>
      </c>
      <c r="AI31" s="21">
        <v>39</v>
      </c>
      <c r="AJ31" s="20">
        <v>32</v>
      </c>
      <c r="AK31" s="20">
        <v>32</v>
      </c>
      <c r="AL31" s="20">
        <v>23</v>
      </c>
      <c r="AM31" s="21">
        <v>33</v>
      </c>
      <c r="AN31" s="20">
        <v>30</v>
      </c>
      <c r="AO31" s="20">
        <v>62</v>
      </c>
      <c r="AP31" s="20">
        <v>73</v>
      </c>
      <c r="AQ31" s="21">
        <v>-127</v>
      </c>
      <c r="AR31" s="20">
        <v>586</v>
      </c>
      <c r="AS31" s="20">
        <v>640</v>
      </c>
      <c r="AT31" s="20">
        <v>568</v>
      </c>
      <c r="AU31" s="21">
        <v>655</v>
      </c>
      <c r="AV31" s="20">
        <v>0</v>
      </c>
      <c r="AW31" s="20">
        <v>0</v>
      </c>
      <c r="AX31" s="20">
        <v>0</v>
      </c>
      <c r="AY31" s="21">
        <v>0</v>
      </c>
      <c r="AZ31" s="20">
        <v>0</v>
      </c>
      <c r="BA31" s="20">
        <v>0</v>
      </c>
      <c r="BB31" s="20">
        <v>0</v>
      </c>
      <c r="BC31" s="20">
        <v>0</v>
      </c>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4"/>
    </row>
    <row r="32" spans="1:86" ht="11.25" customHeight="1">
      <c r="A32" s="3"/>
      <c r="B32" s="3"/>
      <c r="C32" s="3"/>
      <c r="D32" s="3"/>
      <c r="E32" s="3"/>
      <c r="F32" s="3"/>
      <c r="G32" s="3"/>
      <c r="H32" s="3"/>
      <c r="I32" s="3"/>
      <c r="J32" s="9"/>
      <c r="K32" s="3"/>
      <c r="L32" s="3"/>
      <c r="M32" s="3"/>
      <c r="N32" s="3"/>
      <c r="O32" s="3"/>
      <c r="P32" s="3"/>
      <c r="Q32" s="3"/>
      <c r="R32" s="3"/>
      <c r="S32" s="3"/>
      <c r="T32" s="9"/>
      <c r="U32" s="3"/>
      <c r="V32" s="3"/>
      <c r="W32" s="10"/>
      <c r="X32" s="3"/>
      <c r="Y32" s="3"/>
      <c r="Z32" s="3"/>
      <c r="AA32" s="10"/>
      <c r="AB32" s="3"/>
      <c r="AC32" s="3"/>
      <c r="AD32" s="3"/>
      <c r="AE32" s="10"/>
      <c r="AF32" s="3"/>
      <c r="AG32" s="3"/>
      <c r="AH32" s="3"/>
      <c r="AI32" s="10"/>
      <c r="AJ32" s="3"/>
      <c r="AK32" s="3"/>
      <c r="AL32" s="3"/>
      <c r="AM32" s="10"/>
      <c r="AN32" s="3"/>
      <c r="AO32" s="3"/>
      <c r="AP32" s="3"/>
      <c r="AQ32" s="10"/>
      <c r="AR32" s="3"/>
      <c r="AS32" s="3"/>
      <c r="AT32" s="3"/>
      <c r="AU32" s="10"/>
      <c r="AV32" s="3"/>
      <c r="AW32" s="3"/>
      <c r="AX32" s="3"/>
      <c r="AY32" s="10"/>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4"/>
    </row>
    <row r="33" spans="1:86" ht="11.25" customHeight="1">
      <c r="A33" s="3"/>
      <c r="B33" s="3"/>
      <c r="C33" s="3"/>
      <c r="D33" s="3"/>
      <c r="E33" s="3"/>
      <c r="F33" s="3"/>
      <c r="G33" s="3"/>
      <c r="H33" s="3"/>
      <c r="I33" s="3"/>
      <c r="J33" s="9"/>
      <c r="K33" s="3"/>
      <c r="L33" s="3"/>
      <c r="M33" s="3"/>
      <c r="N33" s="3"/>
      <c r="O33" s="3"/>
      <c r="P33" s="3"/>
      <c r="Q33" s="3"/>
      <c r="R33" s="3"/>
      <c r="S33" s="3"/>
      <c r="T33" s="9"/>
      <c r="U33" s="3"/>
      <c r="V33" s="3"/>
      <c r="W33" s="10"/>
      <c r="X33" s="3"/>
      <c r="Y33" s="3"/>
      <c r="Z33" s="3"/>
      <c r="AA33" s="10"/>
      <c r="AB33" s="3"/>
      <c r="AC33" s="3"/>
      <c r="AD33" s="3"/>
      <c r="AE33" s="10"/>
      <c r="AF33" s="3"/>
      <c r="AG33" s="3"/>
      <c r="AH33" s="3"/>
      <c r="AI33" s="10"/>
      <c r="AJ33" s="3"/>
      <c r="AK33" s="3"/>
      <c r="AL33" s="3"/>
      <c r="AM33" s="10"/>
      <c r="AN33" s="3"/>
      <c r="AO33" s="3"/>
      <c r="AP33" s="3"/>
      <c r="AQ33" s="10"/>
      <c r="AR33" s="3"/>
      <c r="AS33" s="3"/>
      <c r="AT33" s="3"/>
      <c r="AU33" s="10"/>
      <c r="AV33" s="3"/>
      <c r="AW33" s="3"/>
      <c r="AX33" s="3"/>
      <c r="AY33" s="10"/>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4"/>
    </row>
    <row r="34" spans="1:86" ht="11.25" customHeight="1">
      <c r="A34" s="3"/>
      <c r="B34" s="3"/>
      <c r="C34" s="3"/>
      <c r="D34" s="3"/>
      <c r="E34" s="3"/>
      <c r="F34" s="3"/>
      <c r="G34" s="3"/>
      <c r="H34" s="3"/>
      <c r="I34" s="3"/>
      <c r="J34" s="9"/>
      <c r="K34" s="3"/>
      <c r="L34" s="3"/>
      <c r="M34" s="3"/>
      <c r="N34" s="3"/>
      <c r="O34" s="3"/>
      <c r="P34" s="3"/>
      <c r="Q34" s="3"/>
      <c r="R34" s="3"/>
      <c r="S34" s="3"/>
      <c r="T34" s="9"/>
      <c r="U34" s="3"/>
      <c r="V34" s="3"/>
      <c r="W34" s="10"/>
      <c r="X34" s="3"/>
      <c r="Y34" s="3"/>
      <c r="Z34" s="3"/>
      <c r="AA34" s="10"/>
      <c r="AB34" s="3"/>
      <c r="AC34" s="3"/>
      <c r="AD34" s="3"/>
      <c r="AE34" s="10"/>
      <c r="AF34" s="3"/>
      <c r="AG34" s="3"/>
      <c r="AH34" s="3"/>
      <c r="AI34" s="10"/>
      <c r="AJ34" s="3"/>
      <c r="AK34" s="3"/>
      <c r="AL34" s="3"/>
      <c r="AM34" s="10"/>
      <c r="AN34" s="3"/>
      <c r="AO34" s="3"/>
      <c r="AP34" s="3"/>
      <c r="AQ34" s="10"/>
      <c r="AR34" s="3"/>
      <c r="AS34" s="3"/>
      <c r="AT34" s="3"/>
      <c r="AU34" s="10"/>
      <c r="AV34" s="3"/>
      <c r="AW34" s="3"/>
      <c r="AX34" s="3"/>
      <c r="AY34" s="10"/>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4"/>
    </row>
    <row r="35" spans="1:86" ht="11.25" customHeight="1">
      <c r="A35" s="3"/>
      <c r="B35" s="3"/>
      <c r="C35" s="3"/>
      <c r="D35" s="3"/>
      <c r="E35" s="3"/>
      <c r="F35" s="3"/>
      <c r="G35" s="3"/>
      <c r="H35" s="3"/>
      <c r="I35" s="3"/>
      <c r="J35" s="9"/>
      <c r="K35" s="3"/>
      <c r="L35" s="3"/>
      <c r="M35" s="3"/>
      <c r="N35" s="3"/>
      <c r="O35" s="3"/>
      <c r="P35" s="3"/>
      <c r="Q35" s="3"/>
      <c r="R35" s="3"/>
      <c r="S35" s="3"/>
      <c r="T35" s="9"/>
      <c r="U35" s="3"/>
      <c r="V35" s="3"/>
      <c r="W35" s="10"/>
      <c r="X35" s="3"/>
      <c r="Y35" s="3"/>
      <c r="Z35" s="3"/>
      <c r="AA35" s="10"/>
      <c r="AB35" s="3"/>
      <c r="AC35" s="3"/>
      <c r="AD35" s="3"/>
      <c r="AE35" s="10"/>
      <c r="AF35" s="3"/>
      <c r="AG35" s="3"/>
      <c r="AH35" s="3"/>
      <c r="AI35" s="10"/>
      <c r="AJ35" s="3"/>
      <c r="AK35" s="3"/>
      <c r="AL35" s="3"/>
      <c r="AM35" s="10"/>
      <c r="AN35" s="3"/>
      <c r="AO35" s="3"/>
      <c r="AP35" s="3"/>
      <c r="AQ35" s="10"/>
      <c r="AR35" s="3"/>
      <c r="AS35" s="3"/>
      <c r="AT35" s="3"/>
      <c r="AU35" s="10"/>
      <c r="AV35" s="3"/>
      <c r="AW35" s="3"/>
      <c r="AX35" s="3"/>
      <c r="AY35" s="10"/>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4"/>
    </row>
    <row r="36" spans="1:86" ht="11.25" customHeight="1">
      <c r="A36" s="3"/>
      <c r="B36" s="3"/>
      <c r="C36" s="3"/>
      <c r="D36" s="3"/>
      <c r="E36" s="3"/>
      <c r="F36" s="3"/>
      <c r="G36" s="3"/>
      <c r="H36" s="3"/>
      <c r="I36" s="3"/>
      <c r="J36" s="9"/>
      <c r="K36" s="3"/>
      <c r="L36" s="3"/>
      <c r="M36" s="3"/>
      <c r="N36" s="3"/>
      <c r="O36" s="3"/>
      <c r="P36" s="3"/>
      <c r="Q36" s="3"/>
      <c r="R36" s="3"/>
      <c r="S36" s="3"/>
      <c r="T36" s="9"/>
      <c r="U36" s="3"/>
      <c r="V36" s="3"/>
      <c r="W36" s="10"/>
      <c r="X36" s="3"/>
      <c r="Y36" s="3"/>
      <c r="Z36" s="3"/>
      <c r="AA36" s="10"/>
      <c r="AB36" s="3"/>
      <c r="AC36" s="3"/>
      <c r="AD36" s="3"/>
      <c r="AE36" s="10"/>
      <c r="AF36" s="3"/>
      <c r="AG36" s="3"/>
      <c r="AH36" s="3"/>
      <c r="AI36" s="10"/>
      <c r="AJ36" s="3"/>
      <c r="AK36" s="3"/>
      <c r="AL36" s="3"/>
      <c r="AM36" s="10"/>
      <c r="AN36" s="3"/>
      <c r="AO36" s="3"/>
      <c r="AP36" s="3"/>
      <c r="AQ36" s="10"/>
      <c r="AR36" s="3"/>
      <c r="AS36" s="3"/>
      <c r="AT36" s="3"/>
      <c r="AU36" s="10"/>
      <c r="AV36" s="3"/>
      <c r="AW36" s="3"/>
      <c r="AX36" s="3"/>
      <c r="AY36" s="10"/>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4"/>
    </row>
    <row r="37" spans="1:86" ht="11.25" customHeight="1">
      <c r="A37" s="3"/>
      <c r="B37" s="3"/>
      <c r="C37" s="3"/>
      <c r="D37" s="3"/>
      <c r="E37" s="3"/>
      <c r="F37" s="3"/>
      <c r="G37" s="3"/>
      <c r="H37" s="3"/>
      <c r="I37" s="3"/>
      <c r="J37" s="9"/>
      <c r="K37" s="3"/>
      <c r="L37" s="3"/>
      <c r="M37" s="3"/>
      <c r="N37" s="3"/>
      <c r="O37" s="3"/>
      <c r="P37" s="3"/>
      <c r="Q37" s="3"/>
      <c r="R37" s="3"/>
      <c r="S37" s="3"/>
      <c r="T37" s="9"/>
      <c r="U37" s="3"/>
      <c r="V37" s="3"/>
      <c r="W37" s="10"/>
      <c r="X37" s="3"/>
      <c r="Y37" s="3"/>
      <c r="Z37" s="3"/>
      <c r="AA37" s="10"/>
      <c r="AB37" s="3"/>
      <c r="AC37" s="3"/>
      <c r="AD37" s="3"/>
      <c r="AE37" s="10"/>
      <c r="AF37" s="3"/>
      <c r="AG37" s="3"/>
      <c r="AH37" s="3"/>
      <c r="AI37" s="10"/>
      <c r="AJ37" s="3"/>
      <c r="AK37" s="3"/>
      <c r="AL37" s="3"/>
      <c r="AM37" s="10"/>
      <c r="AN37" s="3"/>
      <c r="AO37" s="3"/>
      <c r="AP37" s="3"/>
      <c r="AQ37" s="10"/>
      <c r="AR37" s="3"/>
      <c r="AS37" s="3"/>
      <c r="AT37" s="3"/>
      <c r="AU37" s="10"/>
      <c r="AV37" s="3"/>
      <c r="AW37" s="3"/>
      <c r="AX37" s="3"/>
      <c r="AY37" s="10"/>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4"/>
    </row>
    <row r="38" spans="1:86" ht="11.25" customHeight="1">
      <c r="A38" s="3"/>
      <c r="B38" s="3"/>
      <c r="C38" s="3"/>
      <c r="D38" s="3"/>
      <c r="E38" s="3"/>
      <c r="F38" s="3"/>
      <c r="G38" s="3"/>
      <c r="H38" s="3"/>
      <c r="I38" s="3"/>
      <c r="J38" s="9"/>
      <c r="K38" s="3"/>
      <c r="L38" s="3"/>
      <c r="M38" s="3"/>
      <c r="N38" s="3"/>
      <c r="O38" s="3"/>
      <c r="P38" s="3"/>
      <c r="Q38" s="3"/>
      <c r="R38" s="3"/>
      <c r="S38" s="3"/>
      <c r="T38" s="9"/>
      <c r="U38" s="3"/>
      <c r="V38" s="3"/>
      <c r="W38" s="10"/>
      <c r="X38" s="3"/>
      <c r="Y38" s="3"/>
      <c r="Z38" s="3"/>
      <c r="AA38" s="10"/>
      <c r="AB38" s="3"/>
      <c r="AC38" s="3"/>
      <c r="AD38" s="3"/>
      <c r="AE38" s="10"/>
      <c r="AF38" s="3"/>
      <c r="AG38" s="3"/>
      <c r="AH38" s="3"/>
      <c r="AI38" s="10"/>
      <c r="AJ38" s="3"/>
      <c r="AK38" s="3"/>
      <c r="AL38" s="3"/>
      <c r="AM38" s="10"/>
      <c r="AN38" s="3"/>
      <c r="AO38" s="3"/>
      <c r="AP38" s="3"/>
      <c r="AQ38" s="10"/>
      <c r="AR38" s="3"/>
      <c r="AS38" s="3"/>
      <c r="AT38" s="3"/>
      <c r="AU38" s="10"/>
      <c r="AV38" s="3"/>
      <c r="AW38" s="3"/>
      <c r="AX38" s="3"/>
      <c r="AY38" s="10"/>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4"/>
    </row>
    <row r="39" spans="1:86" ht="11.25" customHeight="1">
      <c r="A39" s="3"/>
      <c r="B39" s="3"/>
      <c r="C39" s="3"/>
      <c r="D39" s="3"/>
      <c r="E39" s="3"/>
      <c r="F39" s="3"/>
      <c r="G39" s="3"/>
      <c r="H39" s="3"/>
      <c r="I39" s="3"/>
      <c r="J39" s="9"/>
      <c r="K39" s="3"/>
      <c r="L39" s="3"/>
      <c r="M39" s="3"/>
      <c r="N39" s="3"/>
      <c r="O39" s="3"/>
      <c r="P39" s="3"/>
      <c r="Q39" s="3"/>
      <c r="R39" s="3"/>
      <c r="S39" s="3"/>
      <c r="T39" s="9"/>
      <c r="U39" s="3"/>
      <c r="V39" s="3"/>
      <c r="W39" s="10"/>
      <c r="X39" s="3"/>
      <c r="Y39" s="3"/>
      <c r="Z39" s="3"/>
      <c r="AA39" s="10"/>
      <c r="AB39" s="3"/>
      <c r="AC39" s="3"/>
      <c r="AD39" s="3"/>
      <c r="AE39" s="10"/>
      <c r="AF39" s="3"/>
      <c r="AG39" s="3"/>
      <c r="AH39" s="3"/>
      <c r="AI39" s="10"/>
      <c r="AJ39" s="3"/>
      <c r="AK39" s="3"/>
      <c r="AL39" s="3"/>
      <c r="AM39" s="10"/>
      <c r="AN39" s="3"/>
      <c r="AO39" s="3"/>
      <c r="AP39" s="3"/>
      <c r="AQ39" s="10"/>
      <c r="AR39" s="3"/>
      <c r="AS39" s="3"/>
      <c r="AT39" s="3"/>
      <c r="AU39" s="10"/>
      <c r="AV39" s="3"/>
      <c r="AW39" s="3"/>
      <c r="AX39" s="3"/>
      <c r="AY39" s="10"/>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4"/>
    </row>
    <row r="40" spans="1:86" ht="11.25" customHeight="1">
      <c r="A40" s="3"/>
      <c r="B40" s="3"/>
      <c r="C40" s="3"/>
      <c r="D40" s="3"/>
      <c r="E40" s="3"/>
      <c r="F40" s="3"/>
      <c r="G40" s="3"/>
      <c r="H40" s="3"/>
      <c r="I40" s="3"/>
      <c r="J40" s="9"/>
      <c r="K40" s="3"/>
      <c r="L40" s="3"/>
      <c r="M40" s="3"/>
      <c r="N40" s="3"/>
      <c r="O40" s="3"/>
      <c r="P40" s="3"/>
      <c r="Q40" s="3"/>
      <c r="R40" s="3"/>
      <c r="S40" s="3"/>
      <c r="T40" s="9"/>
      <c r="U40" s="3"/>
      <c r="V40" s="3"/>
      <c r="W40" s="10"/>
      <c r="X40" s="3"/>
      <c r="Y40" s="3"/>
      <c r="Z40" s="3"/>
      <c r="AA40" s="10"/>
      <c r="AB40" s="3"/>
      <c r="AC40" s="3"/>
      <c r="AD40" s="3"/>
      <c r="AE40" s="10"/>
      <c r="AF40" s="3"/>
      <c r="AG40" s="3"/>
      <c r="AH40" s="3"/>
      <c r="AI40" s="10"/>
      <c r="AJ40" s="3"/>
      <c r="AK40" s="3"/>
      <c r="AL40" s="3"/>
      <c r="AM40" s="10"/>
      <c r="AN40" s="3"/>
      <c r="AO40" s="3"/>
      <c r="AP40" s="3"/>
      <c r="AQ40" s="10"/>
      <c r="AR40" s="3"/>
      <c r="AS40" s="3"/>
      <c r="AT40" s="3"/>
      <c r="AU40" s="10"/>
      <c r="AV40" s="3"/>
      <c r="AW40" s="3"/>
      <c r="AX40" s="3"/>
      <c r="AY40" s="10"/>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4"/>
    </row>
    <row r="41" spans="1:86" ht="11.25" customHeight="1">
      <c r="A41" s="3"/>
      <c r="B41" s="3"/>
      <c r="C41" s="3"/>
      <c r="D41" s="3"/>
      <c r="E41" s="3"/>
      <c r="F41" s="3"/>
      <c r="G41" s="3"/>
      <c r="H41" s="3"/>
      <c r="I41" s="3"/>
      <c r="J41" s="9"/>
      <c r="K41" s="3"/>
      <c r="L41" s="3"/>
      <c r="M41" s="3"/>
      <c r="N41" s="3"/>
      <c r="O41" s="3"/>
      <c r="P41" s="3"/>
      <c r="Q41" s="3"/>
      <c r="R41" s="3"/>
      <c r="S41" s="3"/>
      <c r="T41" s="9"/>
      <c r="U41" s="3"/>
      <c r="V41" s="3"/>
      <c r="W41" s="10"/>
      <c r="X41" s="3"/>
      <c r="Y41" s="3"/>
      <c r="Z41" s="3"/>
      <c r="AA41" s="10"/>
      <c r="AB41" s="3"/>
      <c r="AC41" s="3"/>
      <c r="AD41" s="3"/>
      <c r="AE41" s="10"/>
      <c r="AF41" s="3"/>
      <c r="AG41" s="3"/>
      <c r="AH41" s="3"/>
      <c r="AI41" s="10"/>
      <c r="AJ41" s="3"/>
      <c r="AK41" s="3"/>
      <c r="AL41" s="3"/>
      <c r="AM41" s="10"/>
      <c r="AN41" s="3"/>
      <c r="AO41" s="3"/>
      <c r="AP41" s="3"/>
      <c r="AQ41" s="10"/>
      <c r="AR41" s="3"/>
      <c r="AS41" s="3"/>
      <c r="AT41" s="3"/>
      <c r="AU41" s="10"/>
      <c r="AV41" s="3"/>
      <c r="AW41" s="3"/>
      <c r="AX41" s="3"/>
      <c r="AY41" s="10"/>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4"/>
    </row>
    <row r="42" spans="1:86" ht="11.25" customHeight="1">
      <c r="A42" s="3"/>
      <c r="B42" s="3"/>
      <c r="C42" s="3"/>
      <c r="D42" s="3"/>
      <c r="E42" s="3"/>
      <c r="F42" s="3"/>
      <c r="G42" s="3"/>
      <c r="H42" s="3"/>
      <c r="I42" s="3"/>
      <c r="J42" s="9"/>
      <c r="K42" s="3"/>
      <c r="L42" s="3"/>
      <c r="M42" s="3"/>
      <c r="N42" s="3"/>
      <c r="O42" s="3"/>
      <c r="P42" s="3"/>
      <c r="Q42" s="3"/>
      <c r="R42" s="3"/>
      <c r="S42" s="3"/>
      <c r="T42" s="9"/>
      <c r="U42" s="3"/>
      <c r="V42" s="3"/>
      <c r="W42" s="10"/>
      <c r="X42" s="3"/>
      <c r="Y42" s="3"/>
      <c r="Z42" s="3"/>
      <c r="AA42" s="10"/>
      <c r="AB42" s="3"/>
      <c r="AC42" s="3"/>
      <c r="AD42" s="3"/>
      <c r="AE42" s="10"/>
      <c r="AF42" s="3"/>
      <c r="AG42" s="3"/>
      <c r="AH42" s="3"/>
      <c r="AI42" s="10"/>
      <c r="AJ42" s="3"/>
      <c r="AK42" s="3"/>
      <c r="AL42" s="3"/>
      <c r="AM42" s="10"/>
      <c r="AN42" s="3"/>
      <c r="AO42" s="3"/>
      <c r="AP42" s="3"/>
      <c r="AQ42" s="10"/>
      <c r="AR42" s="3"/>
      <c r="AS42" s="3"/>
      <c r="AT42" s="3"/>
      <c r="AU42" s="10"/>
      <c r="AV42" s="3"/>
      <c r="AW42" s="3"/>
      <c r="AX42" s="3"/>
      <c r="AY42" s="10"/>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4"/>
    </row>
    <row r="43" spans="1:86" ht="11.25" customHeight="1">
      <c r="A43" s="3"/>
      <c r="B43" s="3"/>
      <c r="C43" s="3"/>
      <c r="D43" s="3"/>
      <c r="E43" s="3"/>
      <c r="F43" s="3"/>
      <c r="G43" s="3"/>
      <c r="H43" s="3"/>
      <c r="I43" s="3"/>
      <c r="J43" s="9"/>
      <c r="K43" s="3"/>
      <c r="L43" s="3"/>
      <c r="M43" s="3"/>
      <c r="N43" s="3"/>
      <c r="O43" s="3"/>
      <c r="P43" s="3"/>
      <c r="Q43" s="3"/>
      <c r="R43" s="3"/>
      <c r="S43" s="3"/>
      <c r="T43" s="9"/>
      <c r="U43" s="3"/>
      <c r="V43" s="3"/>
      <c r="W43" s="10"/>
      <c r="X43" s="3"/>
      <c r="Y43" s="3"/>
      <c r="Z43" s="3"/>
      <c r="AA43" s="10"/>
      <c r="AB43" s="3"/>
      <c r="AC43" s="3"/>
      <c r="AD43" s="3"/>
      <c r="AE43" s="10"/>
      <c r="AF43" s="3"/>
      <c r="AG43" s="3"/>
      <c r="AH43" s="3"/>
      <c r="AI43" s="10"/>
      <c r="AJ43" s="3"/>
      <c r="AK43" s="3"/>
      <c r="AL43" s="3"/>
      <c r="AM43" s="10"/>
      <c r="AN43" s="3"/>
      <c r="AO43" s="3"/>
      <c r="AP43" s="3"/>
      <c r="AQ43" s="10"/>
      <c r="AR43" s="3"/>
      <c r="AS43" s="3"/>
      <c r="AT43" s="3"/>
      <c r="AU43" s="10"/>
      <c r="AV43" s="3"/>
      <c r="AW43" s="3"/>
      <c r="AX43" s="3"/>
      <c r="AY43" s="10"/>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4"/>
    </row>
    <row r="44" spans="1:86" ht="11.25" customHeight="1">
      <c r="A44" s="3"/>
      <c r="B44" s="3"/>
      <c r="C44" s="3"/>
      <c r="D44" s="3"/>
      <c r="E44" s="3"/>
      <c r="F44" s="3"/>
      <c r="G44" s="3"/>
      <c r="H44" s="3"/>
      <c r="I44" s="3"/>
      <c r="J44" s="9"/>
      <c r="K44" s="3"/>
      <c r="L44" s="3"/>
      <c r="M44" s="3"/>
      <c r="N44" s="3"/>
      <c r="O44" s="3"/>
      <c r="P44" s="3"/>
      <c r="Q44" s="3"/>
      <c r="R44" s="3"/>
      <c r="S44" s="3"/>
      <c r="T44" s="9"/>
      <c r="U44" s="3"/>
      <c r="V44" s="3"/>
      <c r="W44" s="10"/>
      <c r="X44" s="3"/>
      <c r="Y44" s="3"/>
      <c r="Z44" s="3"/>
      <c r="AA44" s="10"/>
      <c r="AB44" s="3"/>
      <c r="AC44" s="3"/>
      <c r="AD44" s="3"/>
      <c r="AE44" s="10"/>
      <c r="AF44" s="3"/>
      <c r="AG44" s="3"/>
      <c r="AH44" s="3"/>
      <c r="AI44" s="10"/>
      <c r="AJ44" s="3"/>
      <c r="AK44" s="3"/>
      <c r="AL44" s="3"/>
      <c r="AM44" s="10"/>
      <c r="AN44" s="3"/>
      <c r="AO44" s="3"/>
      <c r="AP44" s="3"/>
      <c r="AQ44" s="10"/>
      <c r="AR44" s="3"/>
      <c r="AS44" s="3"/>
      <c r="AT44" s="3"/>
      <c r="AU44" s="10"/>
      <c r="AV44" s="3"/>
      <c r="AW44" s="3"/>
      <c r="AX44" s="3"/>
      <c r="AY44" s="10"/>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4"/>
    </row>
    <row r="45" spans="1:86" ht="11.25" customHeight="1">
      <c r="A45" s="3"/>
      <c r="B45" s="3"/>
      <c r="C45" s="3"/>
      <c r="D45" s="3"/>
      <c r="E45" s="3"/>
      <c r="F45" s="3"/>
      <c r="G45" s="3"/>
      <c r="H45" s="3"/>
      <c r="I45" s="3"/>
      <c r="J45" s="9"/>
      <c r="K45" s="3"/>
      <c r="L45" s="3"/>
      <c r="M45" s="3"/>
      <c r="N45" s="3"/>
      <c r="O45" s="3"/>
      <c r="P45" s="3"/>
      <c r="Q45" s="3"/>
      <c r="R45" s="3"/>
      <c r="S45" s="3"/>
      <c r="T45" s="9"/>
      <c r="U45" s="3"/>
      <c r="V45" s="3"/>
      <c r="W45" s="10"/>
      <c r="X45" s="3"/>
      <c r="Y45" s="3"/>
      <c r="Z45" s="3"/>
      <c r="AA45" s="10"/>
      <c r="AB45" s="3"/>
      <c r="AC45" s="3"/>
      <c r="AD45" s="3"/>
      <c r="AE45" s="10"/>
      <c r="AF45" s="3"/>
      <c r="AG45" s="3"/>
      <c r="AH45" s="3"/>
      <c r="AI45" s="10"/>
      <c r="AJ45" s="3"/>
      <c r="AK45" s="3"/>
      <c r="AL45" s="3"/>
      <c r="AM45" s="10"/>
      <c r="AN45" s="3"/>
      <c r="AO45" s="3"/>
      <c r="AP45" s="3"/>
      <c r="AQ45" s="10"/>
      <c r="AR45" s="3"/>
      <c r="AS45" s="3"/>
      <c r="AT45" s="3"/>
      <c r="AU45" s="10"/>
      <c r="AV45" s="3"/>
      <c r="AW45" s="3"/>
      <c r="AX45" s="3"/>
      <c r="AY45" s="10"/>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4"/>
    </row>
    <row r="46" spans="1:86" ht="11.25" customHeight="1">
      <c r="A46" s="3"/>
      <c r="B46" s="3"/>
      <c r="C46" s="3"/>
      <c r="D46" s="3"/>
      <c r="E46" s="3"/>
      <c r="F46" s="3"/>
      <c r="G46" s="3"/>
      <c r="H46" s="3"/>
      <c r="I46" s="3"/>
      <c r="J46" s="9"/>
      <c r="K46" s="3"/>
      <c r="L46" s="3"/>
      <c r="M46" s="3"/>
      <c r="N46" s="3"/>
      <c r="O46" s="3"/>
      <c r="P46" s="3"/>
      <c r="Q46" s="3"/>
      <c r="R46" s="3"/>
      <c r="S46" s="3"/>
      <c r="T46" s="9"/>
      <c r="U46" s="3"/>
      <c r="V46" s="3"/>
      <c r="W46" s="10"/>
      <c r="X46" s="3"/>
      <c r="Y46" s="3"/>
      <c r="Z46" s="3"/>
      <c r="AA46" s="10"/>
      <c r="AB46" s="3"/>
      <c r="AC46" s="3"/>
      <c r="AD46" s="3"/>
      <c r="AE46" s="10"/>
      <c r="AF46" s="3"/>
      <c r="AG46" s="3"/>
      <c r="AH46" s="3"/>
      <c r="AI46" s="10"/>
      <c r="AJ46" s="3"/>
      <c r="AK46" s="3"/>
      <c r="AL46" s="3"/>
      <c r="AM46" s="10"/>
      <c r="AN46" s="3"/>
      <c r="AO46" s="3"/>
      <c r="AP46" s="3"/>
      <c r="AQ46" s="10"/>
      <c r="AR46" s="3"/>
      <c r="AS46" s="3"/>
      <c r="AT46" s="3"/>
      <c r="AU46" s="10"/>
      <c r="AV46" s="3"/>
      <c r="AW46" s="3"/>
      <c r="AX46" s="3"/>
      <c r="AY46" s="10"/>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4"/>
    </row>
    <row r="47" spans="1:86" ht="11.25" customHeight="1">
      <c r="A47" s="3"/>
      <c r="B47" s="3"/>
      <c r="C47" s="3"/>
      <c r="D47" s="3"/>
      <c r="E47" s="3"/>
      <c r="F47" s="3"/>
      <c r="G47" s="3"/>
      <c r="H47" s="3"/>
      <c r="I47" s="3"/>
      <c r="J47" s="9"/>
      <c r="K47" s="3"/>
      <c r="L47" s="3"/>
      <c r="M47" s="3"/>
      <c r="N47" s="3"/>
      <c r="O47" s="3"/>
      <c r="P47" s="3"/>
      <c r="Q47" s="3"/>
      <c r="R47" s="3"/>
      <c r="S47" s="3"/>
      <c r="T47" s="9"/>
      <c r="U47" s="3"/>
      <c r="V47" s="3"/>
      <c r="W47" s="10"/>
      <c r="X47" s="3"/>
      <c r="Y47" s="3"/>
      <c r="Z47" s="3"/>
      <c r="AA47" s="10"/>
      <c r="AB47" s="3"/>
      <c r="AC47" s="3"/>
      <c r="AD47" s="3"/>
      <c r="AE47" s="10"/>
      <c r="AF47" s="3"/>
      <c r="AG47" s="3"/>
      <c r="AH47" s="3"/>
      <c r="AI47" s="10"/>
      <c r="AJ47" s="3"/>
      <c r="AK47" s="3"/>
      <c r="AL47" s="3"/>
      <c r="AM47" s="10"/>
      <c r="AN47" s="3"/>
      <c r="AO47" s="3"/>
      <c r="AP47" s="3"/>
      <c r="AQ47" s="10"/>
      <c r="AR47" s="3"/>
      <c r="AS47" s="3"/>
      <c r="AT47" s="3"/>
      <c r="AU47" s="10"/>
      <c r="AV47" s="3"/>
      <c r="AW47" s="3"/>
      <c r="AX47" s="3"/>
      <c r="AY47" s="10"/>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4"/>
    </row>
    <row r="48" spans="1:86" ht="11.25" customHeight="1">
      <c r="A48" s="3"/>
      <c r="B48" s="3"/>
      <c r="C48" s="3"/>
      <c r="D48" s="3"/>
      <c r="E48" s="3"/>
      <c r="F48" s="3"/>
      <c r="G48" s="3"/>
      <c r="H48" s="3"/>
      <c r="I48" s="3"/>
      <c r="J48" s="9"/>
      <c r="K48" s="3"/>
      <c r="L48" s="3"/>
      <c r="M48" s="3"/>
      <c r="N48" s="3"/>
      <c r="O48" s="3"/>
      <c r="P48" s="3"/>
      <c r="Q48" s="3"/>
      <c r="R48" s="3"/>
      <c r="S48" s="3"/>
      <c r="T48" s="9"/>
      <c r="U48" s="3"/>
      <c r="V48" s="3"/>
      <c r="W48" s="10"/>
      <c r="X48" s="3"/>
      <c r="Y48" s="3"/>
      <c r="Z48" s="3"/>
      <c r="AA48" s="10"/>
      <c r="AB48" s="3"/>
      <c r="AC48" s="3"/>
      <c r="AD48" s="3"/>
      <c r="AE48" s="10"/>
      <c r="AF48" s="3"/>
      <c r="AG48" s="3"/>
      <c r="AH48" s="3"/>
      <c r="AI48" s="10"/>
      <c r="AJ48" s="3"/>
      <c r="AK48" s="3"/>
      <c r="AL48" s="3"/>
      <c r="AM48" s="10"/>
      <c r="AN48" s="3"/>
      <c r="AO48" s="3"/>
      <c r="AP48" s="3"/>
      <c r="AQ48" s="10"/>
      <c r="AR48" s="3"/>
      <c r="AS48" s="3"/>
      <c r="AT48" s="3"/>
      <c r="AU48" s="10"/>
      <c r="AV48" s="3"/>
      <c r="AW48" s="3"/>
      <c r="AX48" s="3"/>
      <c r="AY48" s="10"/>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4"/>
    </row>
    <row r="49" spans="1:86" ht="11.25" customHeight="1">
      <c r="A49" s="3"/>
      <c r="B49" s="3"/>
      <c r="C49" s="3"/>
      <c r="D49" s="3"/>
      <c r="E49" s="3"/>
      <c r="F49" s="3"/>
      <c r="G49" s="3"/>
      <c r="H49" s="3"/>
      <c r="I49" s="3"/>
      <c r="J49" s="9"/>
      <c r="K49" s="3"/>
      <c r="L49" s="3"/>
      <c r="M49" s="3"/>
      <c r="N49" s="3"/>
      <c r="O49" s="3"/>
      <c r="P49" s="3"/>
      <c r="Q49" s="3"/>
      <c r="R49" s="3"/>
      <c r="S49" s="3"/>
      <c r="T49" s="9"/>
      <c r="U49" s="3"/>
      <c r="V49" s="3"/>
      <c r="W49" s="10"/>
      <c r="X49" s="3"/>
      <c r="Y49" s="3"/>
      <c r="Z49" s="3"/>
      <c r="AA49" s="10"/>
      <c r="AB49" s="3"/>
      <c r="AC49" s="3"/>
      <c r="AD49" s="3"/>
      <c r="AE49" s="10"/>
      <c r="AF49" s="3"/>
      <c r="AG49" s="3"/>
      <c r="AH49" s="3"/>
      <c r="AI49" s="10"/>
      <c r="AJ49" s="3"/>
      <c r="AK49" s="3"/>
      <c r="AL49" s="3"/>
      <c r="AM49" s="10"/>
      <c r="AN49" s="3"/>
      <c r="AO49" s="3"/>
      <c r="AP49" s="3"/>
      <c r="AQ49" s="10"/>
      <c r="AR49" s="3"/>
      <c r="AS49" s="3"/>
      <c r="AT49" s="3"/>
      <c r="AU49" s="10"/>
      <c r="AV49" s="3"/>
      <c r="AW49" s="3"/>
      <c r="AX49" s="3"/>
      <c r="AY49" s="10"/>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4"/>
    </row>
    <row r="50" spans="1:86" ht="11.25" customHeight="1">
      <c r="A50" s="3"/>
      <c r="B50" s="3"/>
      <c r="C50" s="3"/>
      <c r="D50" s="3"/>
      <c r="E50" s="3"/>
      <c r="F50" s="3"/>
      <c r="G50" s="3"/>
      <c r="H50" s="3"/>
      <c r="I50" s="3"/>
      <c r="J50" s="9"/>
      <c r="K50" s="3"/>
      <c r="L50" s="3"/>
      <c r="M50" s="3"/>
      <c r="N50" s="3"/>
      <c r="O50" s="3"/>
      <c r="P50" s="3"/>
      <c r="Q50" s="3"/>
      <c r="R50" s="3"/>
      <c r="S50" s="3"/>
      <c r="T50" s="9"/>
      <c r="U50" s="3"/>
      <c r="V50" s="3"/>
      <c r="W50" s="10"/>
      <c r="X50" s="3"/>
      <c r="Y50" s="3"/>
      <c r="Z50" s="3"/>
      <c r="AA50" s="10"/>
      <c r="AB50" s="3"/>
      <c r="AC50" s="3"/>
      <c r="AD50" s="3"/>
      <c r="AE50" s="10"/>
      <c r="AF50" s="3"/>
      <c r="AG50" s="3"/>
      <c r="AH50" s="3"/>
      <c r="AI50" s="10"/>
      <c r="AJ50" s="3"/>
      <c r="AK50" s="3"/>
      <c r="AL50" s="3"/>
      <c r="AM50" s="10"/>
      <c r="AN50" s="3"/>
      <c r="AO50" s="3"/>
      <c r="AP50" s="3"/>
      <c r="AQ50" s="10"/>
      <c r="AR50" s="3"/>
      <c r="AS50" s="3"/>
      <c r="AT50" s="3"/>
      <c r="AU50" s="10"/>
      <c r="AV50" s="3"/>
      <c r="AW50" s="3"/>
      <c r="AX50" s="3"/>
      <c r="AY50" s="10"/>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4"/>
    </row>
    <row r="51" spans="1:86" ht="11.25" customHeight="1">
      <c r="A51" s="3"/>
      <c r="B51" s="3"/>
      <c r="C51" s="3"/>
      <c r="D51" s="3"/>
      <c r="E51" s="3"/>
      <c r="F51" s="3"/>
      <c r="G51" s="3"/>
      <c r="H51" s="3"/>
      <c r="I51" s="3"/>
      <c r="J51" s="9"/>
      <c r="K51" s="3"/>
      <c r="L51" s="3"/>
      <c r="M51" s="3"/>
      <c r="N51" s="3"/>
      <c r="O51" s="3"/>
      <c r="P51" s="3"/>
      <c r="Q51" s="3"/>
      <c r="R51" s="3"/>
      <c r="S51" s="3"/>
      <c r="T51" s="9"/>
      <c r="U51" s="3"/>
      <c r="V51" s="3"/>
      <c r="W51" s="10"/>
      <c r="X51" s="3"/>
      <c r="Y51" s="3"/>
      <c r="Z51" s="3"/>
      <c r="AA51" s="10"/>
      <c r="AB51" s="3"/>
      <c r="AC51" s="3"/>
      <c r="AD51" s="3"/>
      <c r="AE51" s="10"/>
      <c r="AF51" s="3"/>
      <c r="AG51" s="3"/>
      <c r="AH51" s="3"/>
      <c r="AI51" s="10"/>
      <c r="AJ51" s="3"/>
      <c r="AK51" s="3"/>
      <c r="AL51" s="3"/>
      <c r="AM51" s="10"/>
      <c r="AN51" s="3"/>
      <c r="AO51" s="3"/>
      <c r="AP51" s="3"/>
      <c r="AQ51" s="10"/>
      <c r="AR51" s="3"/>
      <c r="AS51" s="3"/>
      <c r="AT51" s="3"/>
      <c r="AU51" s="10"/>
      <c r="AV51" s="3"/>
      <c r="AW51" s="3"/>
      <c r="AX51" s="3"/>
      <c r="AY51" s="10"/>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4"/>
    </row>
    <row r="52" spans="1:86" ht="11.25" customHeight="1">
      <c r="A52" s="3"/>
      <c r="B52" s="3"/>
      <c r="C52" s="3"/>
      <c r="D52" s="3"/>
      <c r="E52" s="3"/>
      <c r="F52" s="3"/>
      <c r="G52" s="3"/>
      <c r="H52" s="3"/>
      <c r="I52" s="3"/>
      <c r="J52" s="9"/>
      <c r="K52" s="3"/>
      <c r="L52" s="3"/>
      <c r="M52" s="3"/>
      <c r="N52" s="3"/>
      <c r="O52" s="3"/>
      <c r="P52" s="3"/>
      <c r="Q52" s="3"/>
      <c r="R52" s="3"/>
      <c r="S52" s="3"/>
      <c r="T52" s="9"/>
      <c r="U52" s="3"/>
      <c r="V52" s="3"/>
      <c r="W52" s="10"/>
      <c r="X52" s="3"/>
      <c r="Y52" s="3"/>
      <c r="Z52" s="3"/>
      <c r="AA52" s="10"/>
      <c r="AB52" s="3"/>
      <c r="AC52" s="3"/>
      <c r="AD52" s="3"/>
      <c r="AE52" s="10"/>
      <c r="AF52" s="3"/>
      <c r="AG52" s="3"/>
      <c r="AH52" s="3"/>
      <c r="AI52" s="10"/>
      <c r="AJ52" s="3"/>
      <c r="AK52" s="3"/>
      <c r="AL52" s="3"/>
      <c r="AM52" s="10"/>
      <c r="AN52" s="3"/>
      <c r="AO52" s="3"/>
      <c r="AP52" s="3"/>
      <c r="AQ52" s="10"/>
      <c r="AR52" s="3"/>
      <c r="AS52" s="3"/>
      <c r="AT52" s="3"/>
      <c r="AU52" s="10"/>
      <c r="AV52" s="3"/>
      <c r="AW52" s="3"/>
      <c r="AX52" s="3"/>
      <c r="AY52" s="10"/>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4"/>
    </row>
    <row r="53" spans="1:86" ht="11.25" customHeight="1">
      <c r="A53" s="3"/>
      <c r="B53" s="3"/>
      <c r="C53" s="3"/>
      <c r="D53" s="3"/>
      <c r="E53" s="3"/>
      <c r="F53" s="3"/>
      <c r="G53" s="3"/>
      <c r="H53" s="3"/>
      <c r="I53" s="3"/>
      <c r="J53" s="9"/>
      <c r="K53" s="3"/>
      <c r="L53" s="3"/>
      <c r="M53" s="3"/>
      <c r="N53" s="3"/>
      <c r="O53" s="3"/>
      <c r="P53" s="3"/>
      <c r="Q53" s="3"/>
      <c r="R53" s="3"/>
      <c r="S53" s="3"/>
      <c r="T53" s="9"/>
      <c r="U53" s="3"/>
      <c r="V53" s="3"/>
      <c r="W53" s="10"/>
      <c r="X53" s="3"/>
      <c r="Y53" s="3"/>
      <c r="Z53" s="3"/>
      <c r="AA53" s="10"/>
      <c r="AB53" s="3"/>
      <c r="AC53" s="3"/>
      <c r="AD53" s="3"/>
      <c r="AE53" s="10"/>
      <c r="AF53" s="3"/>
      <c r="AG53" s="3"/>
      <c r="AH53" s="3"/>
      <c r="AI53" s="10"/>
      <c r="AJ53" s="3"/>
      <c r="AK53" s="3"/>
      <c r="AL53" s="3"/>
      <c r="AM53" s="10"/>
      <c r="AN53" s="3"/>
      <c r="AO53" s="3"/>
      <c r="AP53" s="3"/>
      <c r="AQ53" s="10"/>
      <c r="AR53" s="3"/>
      <c r="AS53" s="3"/>
      <c r="AT53" s="3"/>
      <c r="AU53" s="10"/>
      <c r="AV53" s="3"/>
      <c r="AW53" s="3"/>
      <c r="AX53" s="3"/>
      <c r="AY53" s="10"/>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4"/>
    </row>
    <row r="54" spans="1:86" ht="11.25" customHeight="1">
      <c r="A54" s="3"/>
      <c r="B54" s="3"/>
      <c r="C54" s="3"/>
      <c r="D54" s="3"/>
      <c r="E54" s="3"/>
      <c r="F54" s="3"/>
      <c r="G54" s="3"/>
      <c r="H54" s="3"/>
      <c r="I54" s="3"/>
      <c r="J54" s="9"/>
      <c r="K54" s="3"/>
      <c r="L54" s="3"/>
      <c r="M54" s="3"/>
      <c r="N54" s="3"/>
      <c r="O54" s="3"/>
      <c r="P54" s="3"/>
      <c r="Q54" s="3"/>
      <c r="R54" s="3"/>
      <c r="S54" s="3"/>
      <c r="T54" s="9"/>
      <c r="U54" s="3"/>
      <c r="V54" s="3"/>
      <c r="W54" s="10"/>
      <c r="X54" s="3"/>
      <c r="Y54" s="3"/>
      <c r="Z54" s="3"/>
      <c r="AA54" s="10"/>
      <c r="AB54" s="3"/>
      <c r="AC54" s="3"/>
      <c r="AD54" s="3"/>
      <c r="AE54" s="10"/>
      <c r="AF54" s="3"/>
      <c r="AG54" s="3"/>
      <c r="AH54" s="3"/>
      <c r="AI54" s="10"/>
      <c r="AJ54" s="3"/>
      <c r="AK54" s="3"/>
      <c r="AL54" s="3"/>
      <c r="AM54" s="10"/>
      <c r="AN54" s="3"/>
      <c r="AO54" s="3"/>
      <c r="AP54" s="3"/>
      <c r="AQ54" s="10"/>
      <c r="AR54" s="3"/>
      <c r="AS54" s="3"/>
      <c r="AT54" s="3"/>
      <c r="AU54" s="10"/>
      <c r="AV54" s="3"/>
      <c r="AW54" s="3"/>
      <c r="AX54" s="3"/>
      <c r="AY54" s="10"/>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4"/>
    </row>
    <row r="55" spans="1:86" ht="11.25" customHeight="1">
      <c r="A55" s="3"/>
      <c r="B55" s="3"/>
      <c r="C55" s="3"/>
      <c r="D55" s="3"/>
      <c r="E55" s="3"/>
      <c r="F55" s="3"/>
      <c r="G55" s="3"/>
      <c r="H55" s="3"/>
      <c r="I55" s="3"/>
      <c r="J55" s="9"/>
      <c r="K55" s="3"/>
      <c r="L55" s="3"/>
      <c r="M55" s="3"/>
      <c r="N55" s="3"/>
      <c r="O55" s="3"/>
      <c r="P55" s="3"/>
      <c r="Q55" s="3"/>
      <c r="R55" s="3"/>
      <c r="S55" s="3"/>
      <c r="T55" s="9"/>
      <c r="U55" s="3"/>
      <c r="V55" s="3"/>
      <c r="W55" s="10"/>
      <c r="X55" s="3"/>
      <c r="Y55" s="3"/>
      <c r="Z55" s="3"/>
      <c r="AA55" s="10"/>
      <c r="AB55" s="3"/>
      <c r="AC55" s="3"/>
      <c r="AD55" s="3"/>
      <c r="AE55" s="10"/>
      <c r="AF55" s="3"/>
      <c r="AG55" s="3"/>
      <c r="AH55" s="3"/>
      <c r="AI55" s="10"/>
      <c r="AJ55" s="3"/>
      <c r="AK55" s="3"/>
      <c r="AL55" s="3"/>
      <c r="AM55" s="10"/>
      <c r="AN55" s="3"/>
      <c r="AO55" s="3"/>
      <c r="AP55" s="3"/>
      <c r="AQ55" s="10"/>
      <c r="AR55" s="3"/>
      <c r="AS55" s="3"/>
      <c r="AT55" s="3"/>
      <c r="AU55" s="10"/>
      <c r="AV55" s="3"/>
      <c r="AW55" s="3"/>
      <c r="AX55" s="3"/>
      <c r="AY55" s="10"/>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4"/>
    </row>
    <row r="56" spans="1:86" ht="11.25" customHeight="1">
      <c r="A56" s="3"/>
      <c r="B56" s="3"/>
      <c r="C56" s="3"/>
      <c r="D56" s="3"/>
      <c r="E56" s="3"/>
      <c r="F56" s="3"/>
      <c r="G56" s="3"/>
      <c r="H56" s="3"/>
      <c r="I56" s="3"/>
      <c r="J56" s="9"/>
      <c r="K56" s="3"/>
      <c r="L56" s="3"/>
      <c r="M56" s="3"/>
      <c r="N56" s="3"/>
      <c r="O56" s="3"/>
      <c r="P56" s="3"/>
      <c r="Q56" s="3"/>
      <c r="R56" s="3"/>
      <c r="S56" s="3"/>
      <c r="T56" s="9"/>
      <c r="U56" s="3"/>
      <c r="V56" s="3"/>
      <c r="W56" s="10"/>
      <c r="X56" s="3"/>
      <c r="Y56" s="3"/>
      <c r="Z56" s="3"/>
      <c r="AA56" s="10"/>
      <c r="AB56" s="3"/>
      <c r="AC56" s="3"/>
      <c r="AD56" s="3"/>
      <c r="AE56" s="10"/>
      <c r="AF56" s="3"/>
      <c r="AG56" s="3"/>
      <c r="AH56" s="3"/>
      <c r="AI56" s="10"/>
      <c r="AJ56" s="3"/>
      <c r="AK56" s="3"/>
      <c r="AL56" s="3"/>
      <c r="AM56" s="10"/>
      <c r="AN56" s="3"/>
      <c r="AO56" s="3"/>
      <c r="AP56" s="3"/>
      <c r="AQ56" s="10"/>
      <c r="AR56" s="3"/>
      <c r="AS56" s="3"/>
      <c r="AT56" s="3"/>
      <c r="AU56" s="10"/>
      <c r="AV56" s="3"/>
      <c r="AW56" s="3"/>
      <c r="AX56" s="3"/>
      <c r="AY56" s="10"/>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4"/>
    </row>
    <row r="57" spans="1:86" ht="11.25" customHeight="1">
      <c r="A57" s="3"/>
      <c r="B57" s="3"/>
      <c r="C57" s="3"/>
      <c r="D57" s="3"/>
      <c r="E57" s="3"/>
      <c r="F57" s="3"/>
      <c r="G57" s="3"/>
      <c r="H57" s="3"/>
      <c r="I57" s="3"/>
      <c r="J57" s="9"/>
      <c r="K57" s="3"/>
      <c r="L57" s="3"/>
      <c r="M57" s="3"/>
      <c r="N57" s="3"/>
      <c r="O57" s="3"/>
      <c r="P57" s="3"/>
      <c r="Q57" s="3"/>
      <c r="R57" s="3"/>
      <c r="S57" s="3"/>
      <c r="T57" s="9"/>
      <c r="U57" s="3"/>
      <c r="V57" s="3"/>
      <c r="W57" s="10"/>
      <c r="X57" s="3"/>
      <c r="Y57" s="3"/>
      <c r="Z57" s="3"/>
      <c r="AA57" s="10"/>
      <c r="AB57" s="3"/>
      <c r="AC57" s="3"/>
      <c r="AD57" s="3"/>
      <c r="AE57" s="10"/>
      <c r="AF57" s="3"/>
      <c r="AG57" s="3"/>
      <c r="AH57" s="3"/>
      <c r="AI57" s="10"/>
      <c r="AJ57" s="3"/>
      <c r="AK57" s="3"/>
      <c r="AL57" s="3"/>
      <c r="AM57" s="10"/>
      <c r="AN57" s="3"/>
      <c r="AO57" s="3"/>
      <c r="AP57" s="3"/>
      <c r="AQ57" s="10"/>
      <c r="AR57" s="3"/>
      <c r="AS57" s="3"/>
      <c r="AT57" s="3"/>
      <c r="AU57" s="10"/>
      <c r="AV57" s="3"/>
      <c r="AW57" s="3"/>
      <c r="AX57" s="3"/>
      <c r="AY57" s="10"/>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4"/>
    </row>
    <row r="58" spans="1:86" ht="11.25" customHeight="1">
      <c r="A58" s="3"/>
      <c r="B58" s="3"/>
      <c r="C58" s="3"/>
      <c r="D58" s="3"/>
      <c r="E58" s="3"/>
      <c r="F58" s="3"/>
      <c r="G58" s="3"/>
      <c r="H58" s="3"/>
      <c r="I58" s="3"/>
      <c r="J58" s="9"/>
      <c r="K58" s="3"/>
      <c r="L58" s="3"/>
      <c r="M58" s="3"/>
      <c r="N58" s="3"/>
      <c r="O58" s="3"/>
      <c r="P58" s="3"/>
      <c r="Q58" s="3"/>
      <c r="R58" s="3"/>
      <c r="S58" s="3"/>
      <c r="T58" s="9"/>
      <c r="U58" s="3"/>
      <c r="V58" s="3"/>
      <c r="W58" s="10"/>
      <c r="X58" s="3"/>
      <c r="Y58" s="3"/>
      <c r="Z58" s="3"/>
      <c r="AA58" s="10"/>
      <c r="AB58" s="3"/>
      <c r="AC58" s="3"/>
      <c r="AD58" s="3"/>
      <c r="AE58" s="10"/>
      <c r="AF58" s="3"/>
      <c r="AG58" s="3"/>
      <c r="AH58" s="3"/>
      <c r="AI58" s="10"/>
      <c r="AJ58" s="3"/>
      <c r="AK58" s="3"/>
      <c r="AL58" s="3"/>
      <c r="AM58" s="10"/>
      <c r="AN58" s="3"/>
      <c r="AO58" s="3"/>
      <c r="AP58" s="3"/>
      <c r="AQ58" s="10"/>
      <c r="AR58" s="3"/>
      <c r="AS58" s="3"/>
      <c r="AT58" s="3"/>
      <c r="AU58" s="10"/>
      <c r="AV58" s="3"/>
      <c r="AW58" s="3"/>
      <c r="AX58" s="3"/>
      <c r="AY58" s="10"/>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4"/>
    </row>
    <row r="59" spans="1:86" ht="11.25" customHeight="1">
      <c r="A59" s="3"/>
      <c r="B59" s="3"/>
      <c r="C59" s="3"/>
      <c r="D59" s="3"/>
      <c r="E59" s="3"/>
      <c r="F59" s="3"/>
      <c r="G59" s="3"/>
      <c r="H59" s="3"/>
      <c r="I59" s="3"/>
      <c r="J59" s="9"/>
      <c r="K59" s="3"/>
      <c r="L59" s="3"/>
      <c r="M59" s="3"/>
      <c r="N59" s="3"/>
      <c r="O59" s="3"/>
      <c r="P59" s="3"/>
      <c r="Q59" s="3"/>
      <c r="R59" s="3"/>
      <c r="S59" s="3"/>
      <c r="T59" s="9"/>
      <c r="U59" s="3"/>
      <c r="V59" s="3"/>
      <c r="W59" s="10"/>
      <c r="X59" s="3"/>
      <c r="Y59" s="3"/>
      <c r="Z59" s="3"/>
      <c r="AA59" s="10"/>
      <c r="AB59" s="3"/>
      <c r="AC59" s="3"/>
      <c r="AD59" s="3"/>
      <c r="AE59" s="10"/>
      <c r="AF59" s="3"/>
      <c r="AG59" s="3"/>
      <c r="AH59" s="3"/>
      <c r="AI59" s="10"/>
      <c r="AJ59" s="3"/>
      <c r="AK59" s="3"/>
      <c r="AL59" s="3"/>
      <c r="AM59" s="10"/>
      <c r="AN59" s="3"/>
      <c r="AO59" s="3"/>
      <c r="AP59" s="3"/>
      <c r="AQ59" s="10"/>
      <c r="AR59" s="3"/>
      <c r="AS59" s="3"/>
      <c r="AT59" s="3"/>
      <c r="AU59" s="10"/>
      <c r="AV59" s="3"/>
      <c r="AW59" s="3"/>
      <c r="AX59" s="3"/>
      <c r="AY59" s="10"/>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4"/>
    </row>
    <row r="60" spans="1:86" ht="11.25" customHeight="1">
      <c r="A60" s="3"/>
      <c r="B60" s="3"/>
      <c r="C60" s="3"/>
      <c r="D60" s="3"/>
      <c r="E60" s="3"/>
      <c r="F60" s="3"/>
      <c r="G60" s="3"/>
      <c r="H60" s="3"/>
      <c r="I60" s="3"/>
      <c r="J60" s="9"/>
      <c r="K60" s="3"/>
      <c r="L60" s="3"/>
      <c r="M60" s="3"/>
      <c r="N60" s="3"/>
      <c r="O60" s="3"/>
      <c r="P60" s="3"/>
      <c r="Q60" s="3"/>
      <c r="R60" s="3"/>
      <c r="S60" s="3"/>
      <c r="T60" s="9"/>
      <c r="U60" s="3"/>
      <c r="V60" s="3"/>
      <c r="W60" s="10"/>
      <c r="X60" s="3"/>
      <c r="Y60" s="3"/>
      <c r="Z60" s="3"/>
      <c r="AA60" s="10"/>
      <c r="AB60" s="3"/>
      <c r="AC60" s="3"/>
      <c r="AD60" s="3"/>
      <c r="AE60" s="10"/>
      <c r="AF60" s="3"/>
      <c r="AG60" s="3"/>
      <c r="AH60" s="3"/>
      <c r="AI60" s="10"/>
      <c r="AJ60" s="3"/>
      <c r="AK60" s="3"/>
      <c r="AL60" s="3"/>
      <c r="AM60" s="10"/>
      <c r="AN60" s="3"/>
      <c r="AO60" s="3"/>
      <c r="AP60" s="3"/>
      <c r="AQ60" s="10"/>
      <c r="AR60" s="3"/>
      <c r="AS60" s="3"/>
      <c r="AT60" s="3"/>
      <c r="AU60" s="10"/>
      <c r="AV60" s="3"/>
      <c r="AW60" s="3"/>
      <c r="AX60" s="3"/>
      <c r="AY60" s="10"/>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4"/>
    </row>
    <row r="61" spans="1:86" ht="11.25" customHeight="1">
      <c r="A61" s="3"/>
      <c r="B61" s="3"/>
      <c r="C61" s="3"/>
      <c r="D61" s="3"/>
      <c r="E61" s="3"/>
      <c r="F61" s="3"/>
      <c r="G61" s="3"/>
      <c r="H61" s="3"/>
      <c r="I61" s="3"/>
      <c r="J61" s="9"/>
      <c r="K61" s="3"/>
      <c r="L61" s="3"/>
      <c r="M61" s="3"/>
      <c r="N61" s="3"/>
      <c r="O61" s="3"/>
      <c r="P61" s="3"/>
      <c r="Q61" s="3"/>
      <c r="R61" s="3"/>
      <c r="S61" s="3"/>
      <c r="T61" s="9"/>
      <c r="U61" s="3"/>
      <c r="V61" s="3"/>
      <c r="W61" s="10"/>
      <c r="X61" s="3"/>
      <c r="Y61" s="3"/>
      <c r="Z61" s="3"/>
      <c r="AA61" s="10"/>
      <c r="AB61" s="3"/>
      <c r="AC61" s="3"/>
      <c r="AD61" s="3"/>
      <c r="AE61" s="10"/>
      <c r="AF61" s="3"/>
      <c r="AG61" s="3"/>
      <c r="AH61" s="3"/>
      <c r="AI61" s="10"/>
      <c r="AJ61" s="3"/>
      <c r="AK61" s="3"/>
      <c r="AL61" s="3"/>
      <c r="AM61" s="10"/>
      <c r="AN61" s="3"/>
      <c r="AO61" s="3"/>
      <c r="AP61" s="3"/>
      <c r="AQ61" s="10"/>
      <c r="AR61" s="3"/>
      <c r="AS61" s="3"/>
      <c r="AT61" s="3"/>
      <c r="AU61" s="10"/>
      <c r="AV61" s="3"/>
      <c r="AW61" s="3"/>
      <c r="AX61" s="3"/>
      <c r="AY61" s="10"/>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4"/>
    </row>
    <row r="62" spans="1:86" ht="11.25" customHeight="1">
      <c r="A62" s="3"/>
      <c r="B62" s="3"/>
      <c r="C62" s="3"/>
      <c r="D62" s="3"/>
      <c r="E62" s="3"/>
      <c r="F62" s="3"/>
      <c r="G62" s="3"/>
      <c r="H62" s="3"/>
      <c r="I62" s="3"/>
      <c r="J62" s="9"/>
      <c r="K62" s="3"/>
      <c r="L62" s="3"/>
      <c r="M62" s="3"/>
      <c r="N62" s="3"/>
      <c r="O62" s="3"/>
      <c r="P62" s="3"/>
      <c r="Q62" s="3"/>
      <c r="R62" s="3"/>
      <c r="S62" s="3"/>
      <c r="T62" s="9"/>
      <c r="U62" s="3"/>
      <c r="V62" s="3"/>
      <c r="W62" s="10"/>
      <c r="X62" s="3"/>
      <c r="Y62" s="3"/>
      <c r="Z62" s="3"/>
      <c r="AA62" s="10"/>
      <c r="AB62" s="3"/>
      <c r="AC62" s="3"/>
      <c r="AD62" s="3"/>
      <c r="AE62" s="10"/>
      <c r="AF62" s="3"/>
      <c r="AG62" s="3"/>
      <c r="AH62" s="3"/>
      <c r="AI62" s="10"/>
      <c r="AJ62" s="3"/>
      <c r="AK62" s="3"/>
      <c r="AL62" s="3"/>
      <c r="AM62" s="10"/>
      <c r="AN62" s="3"/>
      <c r="AO62" s="3"/>
      <c r="AP62" s="3"/>
      <c r="AQ62" s="10"/>
      <c r="AR62" s="3"/>
      <c r="AS62" s="3"/>
      <c r="AT62" s="3"/>
      <c r="AU62" s="10"/>
      <c r="AV62" s="3"/>
      <c r="AW62" s="3"/>
      <c r="AX62" s="3"/>
      <c r="AY62" s="10"/>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4"/>
    </row>
    <row r="63" spans="1:86" ht="11.25" customHeight="1">
      <c r="A63" s="3"/>
      <c r="B63" s="3"/>
      <c r="C63" s="3"/>
      <c r="D63" s="3"/>
      <c r="E63" s="3"/>
      <c r="F63" s="3"/>
      <c r="G63" s="3"/>
      <c r="H63" s="3"/>
      <c r="I63" s="3"/>
      <c r="J63" s="9"/>
      <c r="K63" s="3"/>
      <c r="L63" s="3"/>
      <c r="M63" s="3"/>
      <c r="N63" s="3"/>
      <c r="O63" s="3"/>
      <c r="P63" s="3"/>
      <c r="Q63" s="3"/>
      <c r="R63" s="3"/>
      <c r="S63" s="3"/>
      <c r="T63" s="9"/>
      <c r="U63" s="3"/>
      <c r="V63" s="3"/>
      <c r="W63" s="10"/>
      <c r="X63" s="3"/>
      <c r="Y63" s="3"/>
      <c r="Z63" s="3"/>
      <c r="AA63" s="10"/>
      <c r="AB63" s="3"/>
      <c r="AC63" s="3"/>
      <c r="AD63" s="3"/>
      <c r="AE63" s="10"/>
      <c r="AF63" s="3"/>
      <c r="AG63" s="3"/>
      <c r="AH63" s="3"/>
      <c r="AI63" s="10"/>
      <c r="AJ63" s="3"/>
      <c r="AK63" s="3"/>
      <c r="AL63" s="3"/>
      <c r="AM63" s="10"/>
      <c r="AN63" s="3"/>
      <c r="AO63" s="3"/>
      <c r="AP63" s="3"/>
      <c r="AQ63" s="10"/>
      <c r="AR63" s="3"/>
      <c r="AS63" s="3"/>
      <c r="AT63" s="3"/>
      <c r="AU63" s="10"/>
      <c r="AV63" s="3"/>
      <c r="AW63" s="3"/>
      <c r="AX63" s="3"/>
      <c r="AY63" s="10"/>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4"/>
    </row>
    <row r="64" spans="1:86" ht="11.25" customHeight="1">
      <c r="A64" s="3"/>
      <c r="B64" s="3"/>
      <c r="C64" s="3"/>
      <c r="D64" s="3"/>
      <c r="E64" s="3"/>
      <c r="F64" s="3"/>
      <c r="G64" s="3"/>
      <c r="H64" s="3"/>
      <c r="I64" s="3"/>
      <c r="J64" s="9"/>
      <c r="K64" s="3"/>
      <c r="L64" s="3"/>
      <c r="M64" s="3"/>
      <c r="N64" s="3"/>
      <c r="O64" s="3"/>
      <c r="P64" s="3"/>
      <c r="Q64" s="3"/>
      <c r="R64" s="3"/>
      <c r="S64" s="3"/>
      <c r="T64" s="9"/>
      <c r="U64" s="3"/>
      <c r="V64" s="3"/>
      <c r="W64" s="10"/>
      <c r="X64" s="3"/>
      <c r="Y64" s="3"/>
      <c r="Z64" s="3"/>
      <c r="AA64" s="10"/>
      <c r="AB64" s="3"/>
      <c r="AC64" s="3"/>
      <c r="AD64" s="3"/>
      <c r="AE64" s="10"/>
      <c r="AF64" s="3"/>
      <c r="AG64" s="3"/>
      <c r="AH64" s="3"/>
      <c r="AI64" s="10"/>
      <c r="AJ64" s="3"/>
      <c r="AK64" s="3"/>
      <c r="AL64" s="3"/>
      <c r="AM64" s="10"/>
      <c r="AN64" s="3"/>
      <c r="AO64" s="3"/>
      <c r="AP64" s="3"/>
      <c r="AQ64" s="10"/>
      <c r="AR64" s="3"/>
      <c r="AS64" s="3"/>
      <c r="AT64" s="3"/>
      <c r="AU64" s="10"/>
      <c r="AV64" s="3"/>
      <c r="AW64" s="3"/>
      <c r="AX64" s="3"/>
      <c r="AY64" s="10"/>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4"/>
    </row>
    <row r="65" spans="1:86" ht="11.25" customHeight="1">
      <c r="A65" s="3"/>
      <c r="B65" s="3"/>
      <c r="C65" s="3"/>
      <c r="D65" s="3"/>
      <c r="E65" s="3"/>
      <c r="F65" s="3"/>
      <c r="G65" s="3"/>
      <c r="H65" s="3"/>
      <c r="I65" s="3"/>
      <c r="J65" s="9"/>
      <c r="K65" s="3"/>
      <c r="L65" s="3"/>
      <c r="M65" s="3"/>
      <c r="N65" s="3"/>
      <c r="O65" s="3"/>
      <c r="P65" s="3"/>
      <c r="Q65" s="3"/>
      <c r="R65" s="3"/>
      <c r="S65" s="3"/>
      <c r="T65" s="9"/>
      <c r="U65" s="3"/>
      <c r="V65" s="3"/>
      <c r="W65" s="10"/>
      <c r="X65" s="3"/>
      <c r="Y65" s="3"/>
      <c r="Z65" s="3"/>
      <c r="AA65" s="10"/>
      <c r="AB65" s="3"/>
      <c r="AC65" s="3"/>
      <c r="AD65" s="3"/>
      <c r="AE65" s="10"/>
      <c r="AF65" s="3"/>
      <c r="AG65" s="3"/>
      <c r="AH65" s="3"/>
      <c r="AI65" s="10"/>
      <c r="AJ65" s="3"/>
      <c r="AK65" s="3"/>
      <c r="AL65" s="3"/>
      <c r="AM65" s="10"/>
      <c r="AN65" s="3"/>
      <c r="AO65" s="3"/>
      <c r="AP65" s="3"/>
      <c r="AQ65" s="10"/>
      <c r="AR65" s="3"/>
      <c r="AS65" s="3"/>
      <c r="AT65" s="3"/>
      <c r="AU65" s="10"/>
      <c r="AV65" s="3"/>
      <c r="AW65" s="3"/>
      <c r="AX65" s="3"/>
      <c r="AY65" s="10"/>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4"/>
    </row>
    <row r="66" spans="1:86" ht="11.25" customHeight="1">
      <c r="A66" s="3"/>
      <c r="B66" s="3"/>
      <c r="C66" s="3"/>
      <c r="D66" s="3"/>
      <c r="E66" s="3"/>
      <c r="F66" s="3"/>
      <c r="G66" s="3"/>
      <c r="H66" s="3"/>
      <c r="I66" s="3"/>
      <c r="J66" s="9"/>
      <c r="K66" s="3"/>
      <c r="L66" s="3"/>
      <c r="M66" s="3"/>
      <c r="N66" s="3"/>
      <c r="O66" s="3"/>
      <c r="P66" s="3"/>
      <c r="Q66" s="3"/>
      <c r="R66" s="3"/>
      <c r="S66" s="3"/>
      <c r="T66" s="9"/>
      <c r="U66" s="3"/>
      <c r="V66" s="3"/>
      <c r="W66" s="10"/>
      <c r="X66" s="3"/>
      <c r="Y66" s="3"/>
      <c r="Z66" s="3"/>
      <c r="AA66" s="10"/>
      <c r="AB66" s="3"/>
      <c r="AC66" s="3"/>
      <c r="AD66" s="3"/>
      <c r="AE66" s="10"/>
      <c r="AF66" s="3"/>
      <c r="AG66" s="3"/>
      <c r="AH66" s="3"/>
      <c r="AI66" s="10"/>
      <c r="AJ66" s="3"/>
      <c r="AK66" s="3"/>
      <c r="AL66" s="3"/>
      <c r="AM66" s="10"/>
      <c r="AN66" s="3"/>
      <c r="AO66" s="3"/>
      <c r="AP66" s="3"/>
      <c r="AQ66" s="10"/>
      <c r="AR66" s="3"/>
      <c r="AS66" s="3"/>
      <c r="AT66" s="3"/>
      <c r="AU66" s="10"/>
      <c r="AV66" s="3"/>
      <c r="AW66" s="3"/>
      <c r="AX66" s="3"/>
      <c r="AY66" s="10"/>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4"/>
    </row>
    <row r="67" spans="1:86" ht="11.25" customHeight="1">
      <c r="A67" s="3"/>
      <c r="B67" s="3"/>
      <c r="C67" s="3"/>
      <c r="D67" s="3"/>
      <c r="E67" s="3"/>
      <c r="F67" s="3"/>
      <c r="G67" s="3"/>
      <c r="H67" s="3"/>
      <c r="I67" s="3"/>
      <c r="J67" s="9"/>
      <c r="K67" s="3"/>
      <c r="L67" s="3"/>
      <c r="M67" s="3"/>
      <c r="N67" s="3"/>
      <c r="O67" s="3"/>
      <c r="P67" s="3"/>
      <c r="Q67" s="3"/>
      <c r="R67" s="3"/>
      <c r="S67" s="3"/>
      <c r="T67" s="9"/>
      <c r="U67" s="3"/>
      <c r="V67" s="3"/>
      <c r="W67" s="10"/>
      <c r="X67" s="3"/>
      <c r="Y67" s="3"/>
      <c r="Z67" s="3"/>
      <c r="AA67" s="10"/>
      <c r="AB67" s="3"/>
      <c r="AC67" s="3"/>
      <c r="AD67" s="3"/>
      <c r="AE67" s="10"/>
      <c r="AF67" s="3"/>
      <c r="AG67" s="3"/>
      <c r="AH67" s="3"/>
      <c r="AI67" s="10"/>
      <c r="AJ67" s="3"/>
      <c r="AK67" s="3"/>
      <c r="AL67" s="3"/>
      <c r="AM67" s="10"/>
      <c r="AN67" s="3"/>
      <c r="AO67" s="3"/>
      <c r="AP67" s="3"/>
      <c r="AQ67" s="10"/>
      <c r="AR67" s="3"/>
      <c r="AS67" s="3"/>
      <c r="AT67" s="3"/>
      <c r="AU67" s="10"/>
      <c r="AV67" s="3"/>
      <c r="AW67" s="3"/>
      <c r="AX67" s="3"/>
      <c r="AY67" s="10"/>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4"/>
    </row>
    <row r="68" spans="1:86" ht="11.25" customHeight="1">
      <c r="A68" s="3"/>
      <c r="B68" s="3"/>
      <c r="C68" s="3"/>
      <c r="D68" s="3"/>
      <c r="E68" s="3"/>
      <c r="F68" s="3"/>
      <c r="G68" s="3"/>
      <c r="H68" s="3"/>
      <c r="I68" s="3"/>
      <c r="J68" s="9"/>
      <c r="K68" s="3"/>
      <c r="L68" s="3"/>
      <c r="M68" s="3"/>
      <c r="N68" s="3"/>
      <c r="O68" s="3"/>
      <c r="P68" s="3"/>
      <c r="Q68" s="3"/>
      <c r="R68" s="3"/>
      <c r="S68" s="3"/>
      <c r="T68" s="9"/>
      <c r="U68" s="3"/>
      <c r="V68" s="3"/>
      <c r="W68" s="10"/>
      <c r="X68" s="3"/>
      <c r="Y68" s="3"/>
      <c r="Z68" s="3"/>
      <c r="AA68" s="10"/>
      <c r="AB68" s="3"/>
      <c r="AC68" s="3"/>
      <c r="AD68" s="3"/>
      <c r="AE68" s="10"/>
      <c r="AF68" s="3"/>
      <c r="AG68" s="3"/>
      <c r="AH68" s="3"/>
      <c r="AI68" s="10"/>
      <c r="AJ68" s="3"/>
      <c r="AK68" s="3"/>
      <c r="AL68" s="3"/>
      <c r="AM68" s="10"/>
      <c r="AN68" s="3"/>
      <c r="AO68" s="3"/>
      <c r="AP68" s="3"/>
      <c r="AQ68" s="10"/>
      <c r="AR68" s="3"/>
      <c r="AS68" s="3"/>
      <c r="AT68" s="3"/>
      <c r="AU68" s="10"/>
      <c r="AV68" s="3"/>
      <c r="AW68" s="3"/>
      <c r="AX68" s="3"/>
      <c r="AY68" s="10"/>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4"/>
    </row>
    <row r="69" spans="1:86" ht="11.25" customHeight="1">
      <c r="A69" s="3"/>
      <c r="B69" s="3"/>
      <c r="C69" s="3"/>
      <c r="D69" s="3"/>
      <c r="E69" s="3"/>
      <c r="F69" s="3"/>
      <c r="G69" s="3"/>
      <c r="H69" s="3"/>
      <c r="I69" s="3"/>
      <c r="J69" s="9"/>
      <c r="K69" s="3"/>
      <c r="L69" s="3"/>
      <c r="M69" s="3"/>
      <c r="N69" s="3"/>
      <c r="O69" s="3"/>
      <c r="P69" s="3"/>
      <c r="Q69" s="3"/>
      <c r="R69" s="3"/>
      <c r="S69" s="3"/>
      <c r="T69" s="9"/>
      <c r="U69" s="3"/>
      <c r="V69" s="3"/>
      <c r="W69" s="10"/>
      <c r="X69" s="3"/>
      <c r="Y69" s="3"/>
      <c r="Z69" s="3"/>
      <c r="AA69" s="10"/>
      <c r="AB69" s="3"/>
      <c r="AC69" s="3"/>
      <c r="AD69" s="3"/>
      <c r="AE69" s="10"/>
      <c r="AF69" s="3"/>
      <c r="AG69" s="3"/>
      <c r="AH69" s="3"/>
      <c r="AI69" s="10"/>
      <c r="AJ69" s="3"/>
      <c r="AK69" s="3"/>
      <c r="AL69" s="3"/>
      <c r="AM69" s="10"/>
      <c r="AN69" s="3"/>
      <c r="AO69" s="3"/>
      <c r="AP69" s="3"/>
      <c r="AQ69" s="10"/>
      <c r="AR69" s="3"/>
      <c r="AS69" s="3"/>
      <c r="AT69" s="3"/>
      <c r="AU69" s="10"/>
      <c r="AV69" s="3"/>
      <c r="AW69" s="3"/>
      <c r="AX69" s="3"/>
      <c r="AY69" s="10"/>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4"/>
    </row>
    <row r="70" spans="1:86" ht="11.25" customHeight="1">
      <c r="A70" s="3"/>
      <c r="B70" s="3"/>
      <c r="C70" s="3"/>
      <c r="D70" s="3"/>
      <c r="E70" s="3"/>
      <c r="F70" s="3"/>
      <c r="G70" s="3"/>
      <c r="H70" s="3"/>
      <c r="I70" s="3"/>
      <c r="J70" s="9"/>
      <c r="K70" s="3"/>
      <c r="L70" s="3"/>
      <c r="M70" s="3"/>
      <c r="N70" s="3"/>
      <c r="O70" s="3"/>
      <c r="P70" s="3"/>
      <c r="Q70" s="3"/>
      <c r="R70" s="3"/>
      <c r="S70" s="3"/>
      <c r="T70" s="9"/>
      <c r="U70" s="3"/>
      <c r="V70" s="3"/>
      <c r="W70" s="10"/>
      <c r="X70" s="3"/>
      <c r="Y70" s="3"/>
      <c r="Z70" s="3"/>
      <c r="AA70" s="10"/>
      <c r="AB70" s="3"/>
      <c r="AC70" s="3"/>
      <c r="AD70" s="3"/>
      <c r="AE70" s="10"/>
      <c r="AF70" s="3"/>
      <c r="AG70" s="3"/>
      <c r="AH70" s="3"/>
      <c r="AI70" s="10"/>
      <c r="AJ70" s="3"/>
      <c r="AK70" s="3"/>
      <c r="AL70" s="3"/>
      <c r="AM70" s="10"/>
      <c r="AN70" s="3"/>
      <c r="AO70" s="3"/>
      <c r="AP70" s="3"/>
      <c r="AQ70" s="10"/>
      <c r="AR70" s="3"/>
      <c r="AS70" s="3"/>
      <c r="AT70" s="3"/>
      <c r="AU70" s="10"/>
      <c r="AV70" s="3"/>
      <c r="AW70" s="3"/>
      <c r="AX70" s="3"/>
      <c r="AY70" s="10"/>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4"/>
    </row>
    <row r="71" spans="1:86" ht="11.25" customHeight="1">
      <c r="A71" s="3"/>
      <c r="B71" s="3"/>
      <c r="C71" s="3"/>
      <c r="D71" s="3"/>
      <c r="E71" s="3"/>
      <c r="F71" s="3"/>
      <c r="G71" s="3"/>
      <c r="H71" s="3"/>
      <c r="I71" s="3"/>
      <c r="J71" s="9"/>
      <c r="K71" s="3"/>
      <c r="L71" s="3"/>
      <c r="M71" s="3"/>
      <c r="N71" s="3"/>
      <c r="O71" s="3"/>
      <c r="P71" s="3"/>
      <c r="Q71" s="3"/>
      <c r="R71" s="3"/>
      <c r="S71" s="3"/>
      <c r="T71" s="9"/>
      <c r="U71" s="3"/>
      <c r="V71" s="3"/>
      <c r="W71" s="10"/>
      <c r="X71" s="3"/>
      <c r="Y71" s="3"/>
      <c r="Z71" s="3"/>
      <c r="AA71" s="10"/>
      <c r="AB71" s="3"/>
      <c r="AC71" s="3"/>
      <c r="AD71" s="3"/>
      <c r="AE71" s="10"/>
      <c r="AF71" s="3"/>
      <c r="AG71" s="3"/>
      <c r="AH71" s="3"/>
      <c r="AI71" s="10"/>
      <c r="AJ71" s="3"/>
      <c r="AK71" s="3"/>
      <c r="AL71" s="3"/>
      <c r="AM71" s="10"/>
      <c r="AN71" s="3"/>
      <c r="AO71" s="3"/>
      <c r="AP71" s="3"/>
      <c r="AQ71" s="10"/>
      <c r="AR71" s="3"/>
      <c r="AS71" s="3"/>
      <c r="AT71" s="3"/>
      <c r="AU71" s="10"/>
      <c r="AV71" s="3"/>
      <c r="AW71" s="3"/>
      <c r="AX71" s="3"/>
      <c r="AY71" s="10"/>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4"/>
    </row>
    <row r="72" spans="1:86" ht="11.25" customHeight="1">
      <c r="A72" s="3"/>
      <c r="B72" s="3"/>
      <c r="C72" s="3"/>
      <c r="D72" s="3"/>
      <c r="E72" s="3"/>
      <c r="F72" s="3"/>
      <c r="G72" s="3"/>
      <c r="H72" s="3"/>
      <c r="I72" s="3"/>
      <c r="J72" s="9"/>
      <c r="K72" s="3"/>
      <c r="L72" s="3"/>
      <c r="M72" s="3"/>
      <c r="N72" s="3"/>
      <c r="O72" s="3"/>
      <c r="P72" s="3"/>
      <c r="Q72" s="3"/>
      <c r="R72" s="3"/>
      <c r="S72" s="3"/>
      <c r="T72" s="9"/>
      <c r="U72" s="3"/>
      <c r="V72" s="3"/>
      <c r="W72" s="10"/>
      <c r="X72" s="3"/>
      <c r="Y72" s="3"/>
      <c r="Z72" s="3"/>
      <c r="AA72" s="10"/>
      <c r="AB72" s="3"/>
      <c r="AC72" s="3"/>
      <c r="AD72" s="3"/>
      <c r="AE72" s="10"/>
      <c r="AF72" s="3"/>
      <c r="AG72" s="3"/>
      <c r="AH72" s="3"/>
      <c r="AI72" s="10"/>
      <c r="AJ72" s="3"/>
      <c r="AK72" s="3"/>
      <c r="AL72" s="3"/>
      <c r="AM72" s="10"/>
      <c r="AN72" s="3"/>
      <c r="AO72" s="3"/>
      <c r="AP72" s="3"/>
      <c r="AQ72" s="10"/>
      <c r="AR72" s="3"/>
      <c r="AS72" s="3"/>
      <c r="AT72" s="3"/>
      <c r="AU72" s="10"/>
      <c r="AV72" s="3"/>
      <c r="AW72" s="3"/>
      <c r="AX72" s="3"/>
      <c r="AY72" s="10"/>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4"/>
    </row>
    <row r="73" spans="1:86" ht="11.25" customHeight="1">
      <c r="A73" s="3"/>
      <c r="B73" s="3"/>
      <c r="C73" s="3"/>
      <c r="D73" s="3"/>
      <c r="E73" s="3"/>
      <c r="F73" s="3"/>
      <c r="G73" s="3"/>
      <c r="H73" s="3"/>
      <c r="I73" s="3"/>
      <c r="J73" s="9"/>
      <c r="K73" s="3"/>
      <c r="L73" s="3"/>
      <c r="M73" s="3"/>
      <c r="N73" s="3"/>
      <c r="O73" s="3"/>
      <c r="P73" s="3"/>
      <c r="Q73" s="3"/>
      <c r="R73" s="3"/>
      <c r="S73" s="3"/>
      <c r="T73" s="9"/>
      <c r="U73" s="3"/>
      <c r="V73" s="3"/>
      <c r="W73" s="10"/>
      <c r="X73" s="3"/>
      <c r="Y73" s="3"/>
      <c r="Z73" s="3"/>
      <c r="AA73" s="10"/>
      <c r="AB73" s="3"/>
      <c r="AC73" s="3"/>
      <c r="AD73" s="3"/>
      <c r="AE73" s="10"/>
      <c r="AF73" s="3"/>
      <c r="AG73" s="3"/>
      <c r="AH73" s="3"/>
      <c r="AI73" s="10"/>
      <c r="AJ73" s="3"/>
      <c r="AK73" s="3"/>
      <c r="AL73" s="3"/>
      <c r="AM73" s="10"/>
      <c r="AN73" s="3"/>
      <c r="AO73" s="3"/>
      <c r="AP73" s="3"/>
      <c r="AQ73" s="10"/>
      <c r="AR73" s="3"/>
      <c r="AS73" s="3"/>
      <c r="AT73" s="3"/>
      <c r="AU73" s="10"/>
      <c r="AV73" s="3"/>
      <c r="AW73" s="3"/>
      <c r="AX73" s="3"/>
      <c r="AY73" s="10"/>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4"/>
    </row>
    <row r="74" spans="1:86" ht="11.25" customHeight="1">
      <c r="A74" s="3"/>
      <c r="B74" s="3"/>
      <c r="C74" s="3"/>
      <c r="D74" s="3"/>
      <c r="E74" s="3"/>
      <c r="F74" s="3"/>
      <c r="G74" s="3"/>
      <c r="H74" s="3"/>
      <c r="I74" s="3"/>
      <c r="J74" s="9"/>
      <c r="K74" s="3"/>
      <c r="L74" s="3"/>
      <c r="M74" s="3"/>
      <c r="N74" s="3"/>
      <c r="O74" s="3"/>
      <c r="P74" s="3"/>
      <c r="Q74" s="3"/>
      <c r="R74" s="3"/>
      <c r="S74" s="3"/>
      <c r="T74" s="9"/>
      <c r="U74" s="3"/>
      <c r="V74" s="3"/>
      <c r="W74" s="10"/>
      <c r="X74" s="3"/>
      <c r="Y74" s="3"/>
      <c r="Z74" s="3"/>
      <c r="AA74" s="10"/>
      <c r="AB74" s="3"/>
      <c r="AC74" s="3"/>
      <c r="AD74" s="3"/>
      <c r="AE74" s="10"/>
      <c r="AF74" s="3"/>
      <c r="AG74" s="3"/>
      <c r="AH74" s="3"/>
      <c r="AI74" s="10"/>
      <c r="AJ74" s="3"/>
      <c r="AK74" s="3"/>
      <c r="AL74" s="3"/>
      <c r="AM74" s="10"/>
      <c r="AN74" s="3"/>
      <c r="AO74" s="3"/>
      <c r="AP74" s="3"/>
      <c r="AQ74" s="10"/>
      <c r="AR74" s="3"/>
      <c r="AS74" s="3"/>
      <c r="AT74" s="3"/>
      <c r="AU74" s="10"/>
      <c r="AV74" s="3"/>
      <c r="AW74" s="3"/>
      <c r="AX74" s="3"/>
      <c r="AY74" s="10"/>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4"/>
    </row>
  </sheetData>
  <phoneticPr fontId="30"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A435C5CB-4258-494C-A000-1375DE80A1E3}">
  <ds:schemaRefs>
    <ds:schemaRef ds:uri="thomsonreuters.linking.metadata"/>
  </ds:schemaRefs>
</ds:datastoreItem>
</file>

<file path=customXml/itemProps2.xml><?xml version="1.0" encoding="utf-8"?>
<ds:datastoreItem xmlns:ds="http://schemas.openxmlformats.org/officeDocument/2006/customXml" ds:itemID="{8DA1DC05-0906-4824-A39E-3191D5576991}">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134</vt:i4>
      </vt:variant>
    </vt:vector>
  </HeadingPairs>
  <TitlesOfParts>
    <vt:vector size="136" baseType="lpstr">
      <vt:lpstr>ImportantDisclosures</vt:lpstr>
      <vt:lpstr>CircularReferenceAlert</vt:lpstr>
      <vt:lpstr>abc</vt:lpstr>
      <vt:lpstr>AdditionalInstructions</vt:lpstr>
      <vt:lpstr>ImportantDisclosures!Address</vt:lpstr>
      <vt:lpstr>ModPubIndex!ANA</vt:lpstr>
      <vt:lpstr>attMobility</vt:lpstr>
      <vt:lpstr>ImportantDisclosures!Authors</vt:lpstr>
      <vt:lpstr>IndexInformation!Authors</vt:lpstr>
      <vt:lpstr>balanceSheet</vt:lpstr>
      <vt:lpstr>ModPubIndex!BRO</vt:lpstr>
      <vt:lpstr>bs_eighteen</vt:lpstr>
      <vt:lpstr>bsseventeen</vt:lpstr>
      <vt:lpstr>CircularReferenceAlert!Buttons</vt:lpstr>
      <vt:lpstr>cfs</vt:lpstr>
      <vt:lpstr>cfs_eighteen</vt:lpstr>
      <vt:lpstr>cfsseventeen</vt:lpstr>
      <vt:lpstr>CopyrightStamp</vt:lpstr>
      <vt:lpstr>ModPubIndex!COU</vt:lpstr>
      <vt:lpstr>IndexInformation!CQEnd</vt:lpstr>
      <vt:lpstr>IndexInformation!Currency</vt:lpstr>
      <vt:lpstr>OPEB!Currency_ISOcode</vt:lpstr>
      <vt:lpstr>Pension!Currency_ISOcode</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del</vt:lpstr>
      <vt:lpstr>IndexInformation!Deleted</vt:lpstr>
      <vt:lpstr>IndexInformation!Description</vt:lpstr>
      <vt:lpstr>DiffTable</vt:lpstr>
      <vt:lpstr>IndexInformation!Discipline</vt:lpstr>
      <vt:lpstr>ModPubIndex!DISCIPLINE</vt:lpstr>
      <vt:lpstr>DisclosuresText</vt:lpstr>
      <vt:lpstr>IndexInformation!Distribution</vt:lpstr>
      <vt:lpstr>ModPubIndex!DOCDAT</vt:lpstr>
      <vt:lpstr>ModPubIndex!DOCTIME</vt:lpstr>
      <vt:lpstr>IndexInformation!DocType</vt:lpstr>
      <vt:lpstr>dropDown</vt:lpstr>
      <vt:lpstr>dropDown2</vt:lpstr>
      <vt:lpstr>eighteenguide</vt:lpstr>
      <vt:lpstr>ModPubIndex!EMAIL_ALERT</vt:lpstr>
      <vt:lpstr>IndexInformation!EmailAlert</vt:lpstr>
      <vt:lpstr>'E&amp;I + International'!EntertainmentInternet</vt:lpstr>
      <vt:lpstr>'E&amp;I + International'!entertainmentseventeen</vt:lpstr>
      <vt:lpstr>est</vt:lpstr>
      <vt:lpstr>estimates</vt:lpstr>
      <vt:lpstr>IndexInformation!FiveYearGrowthRate</vt:lpstr>
      <vt:lpstr>IndexInformation!FollowingYearEPS</vt:lpstr>
      <vt:lpstr>IndexInformation!FollowingYearTotalRevenue</vt:lpstr>
      <vt:lpstr>IndexInformation!FollowingYearTotalRevenueActual</vt:lpstr>
      <vt:lpstr>guidance</vt:lpstr>
      <vt:lpstr>ModPubIndex!HL</vt:lpstr>
      <vt:lpstr>incomeStmt</vt:lpstr>
      <vt:lpstr>ModPubIndex!IND</vt:lpstr>
      <vt:lpstr>ImportantDisclosures!Industry</vt:lpstr>
      <vt:lpstr>IndustryId</vt:lpstr>
      <vt:lpstr>ImportantDisclosures!IndustryRating</vt:lpstr>
      <vt:lpstr>is_eighteen</vt:lpstr>
      <vt:lpstr>isseventeen</vt:lpstr>
      <vt:lpstr>IndexInformation!KeepVersions</vt:lpstr>
      <vt:lpstr>LanguageCode</vt:lpstr>
      <vt:lpstr>ImportantDisclosures!LastCell</vt:lpstr>
      <vt:lpstr>'E&amp;I + International'!Linking_10</vt:lpstr>
      <vt:lpstr>'E&amp;I + International'!Linking_11</vt:lpstr>
      <vt:lpstr>Linking_14</vt:lpstr>
      <vt:lpstr>Linking_15</vt:lpstr>
      <vt:lpstr>Linking_16</vt:lpstr>
      <vt:lpstr>Linking_17</vt:lpstr>
      <vt:lpstr>Linking_18</vt:lpstr>
      <vt:lpstr>'E&amp;I + International'!Linking_19</vt:lpstr>
      <vt:lpstr>Linking_5</vt:lpstr>
      <vt:lpstr>Linking_6</vt:lpstr>
      <vt:lpstr>Linking_7</vt:lpstr>
      <vt:lpstr>Linking_8</vt:lpstr>
      <vt:lpstr>Linking_9</vt:lpstr>
      <vt:lpstr>Q!Linking_Range_24</vt:lpstr>
      <vt:lpstr>IndexInformation!MacroVersion</vt:lpstr>
      <vt:lpstr>CircularReferenceAlert!MaxChange</vt:lpstr>
      <vt:lpstr>CircularReferenceAlert!MaxIterations</vt:lpstr>
      <vt:lpstr>Mobility</vt:lpstr>
      <vt:lpstr>ImportantDisclosures!ModelPrice</vt:lpstr>
      <vt:lpstr>mstagrange</vt:lpstr>
      <vt:lpstr>mstagrange1</vt:lpstr>
      <vt:lpstr>IndexInformation!Multiplier</vt:lpstr>
      <vt:lpstr>IndexInformation!NextYearEPS</vt:lpstr>
      <vt:lpstr>IndexInformation!NextYearTotalRevenue</vt:lpstr>
      <vt:lpstr>IndexInformation!NextYearTotalRevenueActual</vt:lpstr>
      <vt:lpstr>ObjectType</vt:lpstr>
      <vt:lpstr>OPEB_Guide</vt:lpstr>
      <vt:lpstr>ModPubIndex!PANA</vt:lpstr>
      <vt:lpstr>IndexInformation!PathName</vt:lpstr>
      <vt:lpstr>Pension_Guide</vt:lpstr>
      <vt:lpstr>'AT&amp;T Mobility'!Print_Area</vt:lpstr>
      <vt:lpstr>'Balance Sheet'!Print_Area</vt:lpstr>
      <vt:lpstr>'Business Solutions'!Print_Area</vt:lpstr>
      <vt:lpstr>'Cash Flow'!Print_Area</vt:lpstr>
      <vt:lpstr>'Consumer Mobility'!Print_Area</vt:lpstr>
      <vt:lpstr>'E&amp;I + International'!Print_Area</vt:lpstr>
      <vt:lpstr>'Income Statement'!Print_Area</vt:lpstr>
      <vt:lpstr>OPEB!Print_Area</vt:lpstr>
      <vt:lpstr>Pension!Print_Area</vt:lpstr>
      <vt:lpstr>Q!Print_Area</vt:lpstr>
      <vt:lpstr>'AT&amp;T Mobility'!Print_Titles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Pension!rngStartYear</vt:lpstr>
      <vt:lpstr>Pension!rngTicker</vt:lpstr>
      <vt:lpstr>IndexInformation!SEDOL</vt:lpstr>
      <vt:lpstr>seventeenguide</vt:lpstr>
      <vt:lpstr>sixteenguide</vt:lpstr>
      <vt:lpstr>ImportantDisclosures!SourceDefined</vt:lpstr>
      <vt:lpstr>ImportantDisclosures!StockRating</vt:lpstr>
      <vt:lpstr>IndexInformation!SubjectCode</vt:lpstr>
      <vt:lpstr>SubmitterUserId</vt:lpstr>
      <vt:lpstr>ModPubIndex!SUPPRESSED</vt:lpstr>
      <vt:lpstr>Table</vt:lpstr>
      <vt:lpstr>ImportantDisclosures!TargetPrice</vt:lpstr>
      <vt:lpstr>TemplateRegion</vt:lpstr>
      <vt:lpstr>ImportantDisclosures!Ticker</vt:lpstr>
      <vt:lpstr>TickerRegion</vt:lpstr>
      <vt:lpstr>IndexInformation!Tickers</vt:lpstr>
      <vt:lpstr>trEdate</vt:lpstr>
      <vt:lpstr>trSdate</vt:lpstr>
      <vt:lpstr>IndexInformation!UpdateReason</vt:lpstr>
      <vt:lpstr>wirelessseventeen</vt:lpstr>
      <vt:lpstr>YearRow</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2002-07-01T15:50:39Z</dcterms:created>
  <dc:creator>haydenn</dc:creator>
  <cp:lastModifiedBy>Shevlin, James (Research)</cp:lastModifiedBy>
  <cp:lastPrinted>2018-04-03T15:21:30Z</cp:lastPrinted>
  <dcterms:modified xsi:type="dcterms:W3CDTF">2018-04-04T22:18:48Z</dcterms:modified>
  <dc:title>Texas QuickFacts from the US Census Bureau</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Text_" pid="3">
    <vt:lpwstr>4</vt:lpwstr>
  </property>
  <property fmtid="{D5CDD505-2E9C-101B-9397-08002B2CF9AE}" name="LinkingAutoNameNumberLinking_Range_" pid="4">
    <vt:lpwstr>62</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759550</vt:lpwstr>
  </property>
  <property fmtid="{D5CDD505-2E9C-101B-9397-08002B2CF9AE}" name="ERModPubCompanyName" pid="8">
    <vt:lpwstr>AT&amp;T, Inc.</vt:lpwstr>
  </property>
  <property fmtid="{D5CDD505-2E9C-101B-9397-08002B2CF9AE}" name="ERModPubMaxIterations" pid="9">
    <vt:i4>100</vt:i4>
  </property>
  <property fmtid="{D5CDD505-2E9C-101B-9397-08002B2CF9AE}" name="ERModPubMaxChange" pid="10">
    <vt:r8>0.001</vt:r8>
  </property>
  <property fmtid="{D5CDD505-2E9C-101B-9397-08002B2CF9AE}" name="MSDH34TAG" pid="11">
    <vt:lpwstr>.TEZUF76X5TAHATHESADREYAK-00-INB160+*94600-06=f196d8b4/-3854/-11e8/-bf62/-2af41e5950fc,MD=20180404182958/-0400,ZZ=000Z-433a.</vt:lpwstr>
  </property>
</Properties>
</file>